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workbookProtection workbookPassword="9AF0" lockStructure="1"/>
  <bookViews>
    <workbookView xWindow="0" yWindow="0" windowWidth="38400" windowHeight="21080" tabRatio="669"/>
  </bookViews>
  <sheets>
    <sheet name="Construction Dashboard" sheetId="4" r:id="rId1"/>
    <sheet name="Army Dashboard" sheetId="7" r:id="rId2"/>
    <sheet name="Scratch" sheetId="5" r:id="rId3"/>
    <sheet name="About" sheetId="6" r:id="rId4"/>
    <sheet name="Statistics" sheetId="3" r:id="rId5"/>
    <sheet name="Calculations" sheetId="8" r:id="rId6"/>
  </sheets>
  <definedNames>
    <definedName name="Actionables">Statistics!$A$238:$A$291</definedName>
    <definedName name="AllNames">Upgrades[Building]</definedName>
    <definedName name="AQLevel">'Construction Dashboard'!$I$22</definedName>
    <definedName name="ArmyCap">'Construction Dashboard'!$N$12</definedName>
    <definedName name="BKLevel">'Construction Dashboard'!$I$21</definedName>
    <definedName name="Booleans">Statistics!$C$238:$C$239</definedName>
    <definedName name="LabLevel">'Construction Dashboard'!$J$13</definedName>
    <definedName name="NumBarracks">'Construction Dashboard'!$L$13</definedName>
    <definedName name="NumBuilders">'Construction Dashboard'!$I$19</definedName>
    <definedName name="NumDarkBarracks">'Construction Dashboard'!$L$14</definedName>
    <definedName name="SetToMax">'Construction Dashboard'!$I$20</definedName>
    <definedName name="SpellCap">'Construction Dashboard'!$N$13</definedName>
    <definedName name="THL">'Construction Dashboard'!#REF!</definedName>
    <definedName name="THLevel">'Construction Dashboard'!$J$12</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34" i="4" l="1"/>
  <c r="G7" i="8"/>
  <c r="G8" i="8"/>
  <c r="F7" i="8"/>
  <c r="F8" i="8"/>
  <c r="C7" i="8"/>
  <c r="C8" i="8"/>
  <c r="J12" i="4"/>
  <c r="D7" i="8"/>
  <c r="E7" i="8"/>
  <c r="D8" i="8"/>
  <c r="E8" i="8"/>
  <c r="B115" i="8"/>
  <c r="C115" i="8"/>
  <c r="D115" i="8"/>
  <c r="B72" i="4"/>
  <c r="J13" i="4"/>
  <c r="F72" i="4"/>
  <c r="E72" i="4"/>
  <c r="G72" i="4"/>
  <c r="F115" i="8"/>
  <c r="G115" i="8"/>
  <c r="H115" i="8"/>
  <c r="I115" i="8"/>
  <c r="J115" i="8"/>
  <c r="K115" i="8"/>
  <c r="L115" i="8"/>
  <c r="M115" i="8"/>
  <c r="N115" i="8"/>
  <c r="O115" i="8"/>
  <c r="P115" i="8"/>
  <c r="Q115" i="8"/>
  <c r="R115" i="8"/>
  <c r="E115" i="8"/>
  <c r="B114" i="8"/>
  <c r="C114" i="8"/>
  <c r="D114" i="8"/>
  <c r="B71" i="4"/>
  <c r="F71" i="4"/>
  <c r="E71" i="4"/>
  <c r="G71" i="4"/>
  <c r="F114" i="8"/>
  <c r="G114" i="8"/>
  <c r="H114" i="8"/>
  <c r="I114" i="8"/>
  <c r="J114" i="8"/>
  <c r="K114" i="8"/>
  <c r="L114" i="8"/>
  <c r="M114" i="8"/>
  <c r="N114" i="8"/>
  <c r="O114" i="8"/>
  <c r="P114" i="8"/>
  <c r="Q114" i="8"/>
  <c r="R114" i="8"/>
  <c r="E114" i="8"/>
  <c r="B113" i="8"/>
  <c r="C113" i="8"/>
  <c r="D113" i="8"/>
  <c r="B70" i="4"/>
  <c r="F70" i="4"/>
  <c r="E70" i="4"/>
  <c r="G70" i="4"/>
  <c r="F113" i="8"/>
  <c r="G113" i="8"/>
  <c r="H113" i="8"/>
  <c r="I113" i="8"/>
  <c r="J113" i="8"/>
  <c r="K113" i="8"/>
  <c r="L113" i="8"/>
  <c r="M113" i="8"/>
  <c r="N113" i="8"/>
  <c r="O113" i="8"/>
  <c r="P113" i="8"/>
  <c r="Q113" i="8"/>
  <c r="R113" i="8"/>
  <c r="E113" i="8"/>
  <c r="B112" i="8"/>
  <c r="C112" i="8"/>
  <c r="D112" i="8"/>
  <c r="B69" i="4"/>
  <c r="F69" i="4"/>
  <c r="E69" i="4"/>
  <c r="G69" i="4"/>
  <c r="F112" i="8"/>
  <c r="G112" i="8"/>
  <c r="H112" i="8"/>
  <c r="I112" i="8"/>
  <c r="J112" i="8"/>
  <c r="K112" i="8"/>
  <c r="L112" i="8"/>
  <c r="M112" i="8"/>
  <c r="N112" i="8"/>
  <c r="O112" i="8"/>
  <c r="P112" i="8"/>
  <c r="Q112" i="8"/>
  <c r="R112" i="8"/>
  <c r="E112" i="8"/>
  <c r="B111" i="8"/>
  <c r="C111" i="8"/>
  <c r="D111" i="8"/>
  <c r="B68" i="4"/>
  <c r="F68" i="4"/>
  <c r="E68" i="4"/>
  <c r="G68" i="4"/>
  <c r="F111" i="8"/>
  <c r="G111" i="8"/>
  <c r="H111" i="8"/>
  <c r="I111" i="8"/>
  <c r="J111" i="8"/>
  <c r="K111" i="8"/>
  <c r="L111" i="8"/>
  <c r="M111" i="8"/>
  <c r="N111" i="8"/>
  <c r="O111" i="8"/>
  <c r="P111" i="8"/>
  <c r="Q111" i="8"/>
  <c r="R111" i="8"/>
  <c r="E111" i="8"/>
  <c r="B110" i="8"/>
  <c r="C110" i="8"/>
  <c r="D110" i="8"/>
  <c r="B67" i="4"/>
  <c r="F67" i="4"/>
  <c r="E67" i="4"/>
  <c r="G67" i="4"/>
  <c r="F110" i="8"/>
  <c r="G110" i="8"/>
  <c r="H110" i="8"/>
  <c r="I110" i="8"/>
  <c r="J110" i="8"/>
  <c r="K110" i="8"/>
  <c r="L110" i="8"/>
  <c r="M110" i="8"/>
  <c r="N110" i="8"/>
  <c r="O110" i="8"/>
  <c r="P110" i="8"/>
  <c r="Q110" i="8"/>
  <c r="R110" i="8"/>
  <c r="E110" i="8"/>
  <c r="B109" i="8"/>
  <c r="C109" i="8"/>
  <c r="D109" i="8"/>
  <c r="B66" i="4"/>
  <c r="F66" i="4"/>
  <c r="E66" i="4"/>
  <c r="G66" i="4"/>
  <c r="F109" i="8"/>
  <c r="G109" i="8"/>
  <c r="H109" i="8"/>
  <c r="I109" i="8"/>
  <c r="J109" i="8"/>
  <c r="K109" i="8"/>
  <c r="L109" i="8"/>
  <c r="M109" i="8"/>
  <c r="N109" i="8"/>
  <c r="O109" i="8"/>
  <c r="P109" i="8"/>
  <c r="Q109" i="8"/>
  <c r="R109" i="8"/>
  <c r="E109" i="8"/>
  <c r="B108" i="8"/>
  <c r="C108" i="8"/>
  <c r="D108" i="8"/>
  <c r="B65" i="4"/>
  <c r="F65" i="4"/>
  <c r="E65" i="4"/>
  <c r="G65" i="4"/>
  <c r="F108" i="8"/>
  <c r="G108" i="8"/>
  <c r="H108" i="8"/>
  <c r="I108" i="8"/>
  <c r="J108" i="8"/>
  <c r="K108" i="8"/>
  <c r="L108" i="8"/>
  <c r="M108" i="8"/>
  <c r="N108" i="8"/>
  <c r="O108" i="8"/>
  <c r="P108" i="8"/>
  <c r="Q108" i="8"/>
  <c r="R108" i="8"/>
  <c r="E108" i="8"/>
  <c r="B107" i="8"/>
  <c r="C107" i="8"/>
  <c r="D107" i="8"/>
  <c r="B64" i="4"/>
  <c r="F64" i="4"/>
  <c r="E64" i="4"/>
  <c r="G64" i="4"/>
  <c r="F107" i="8"/>
  <c r="G107" i="8"/>
  <c r="H107" i="8"/>
  <c r="I107" i="8"/>
  <c r="J107" i="8"/>
  <c r="K107" i="8"/>
  <c r="L107" i="8"/>
  <c r="M107" i="8"/>
  <c r="N107" i="8"/>
  <c r="O107" i="8"/>
  <c r="P107" i="8"/>
  <c r="Q107" i="8"/>
  <c r="R107" i="8"/>
  <c r="E107" i="8"/>
  <c r="B106" i="8"/>
  <c r="C106" i="8"/>
  <c r="D106" i="8"/>
  <c r="B63" i="4"/>
  <c r="F63" i="4"/>
  <c r="E63" i="4"/>
  <c r="G63" i="4"/>
  <c r="F106" i="8"/>
  <c r="G106" i="8"/>
  <c r="H106" i="8"/>
  <c r="I106" i="8"/>
  <c r="J106" i="8"/>
  <c r="K106" i="8"/>
  <c r="L106" i="8"/>
  <c r="M106" i="8"/>
  <c r="N106" i="8"/>
  <c r="O106" i="8"/>
  <c r="P106" i="8"/>
  <c r="Q106" i="8"/>
  <c r="R106" i="8"/>
  <c r="E106" i="8"/>
  <c r="B105" i="8"/>
  <c r="C105" i="8"/>
  <c r="D105" i="8"/>
  <c r="B62" i="4"/>
  <c r="F62" i="4"/>
  <c r="E62" i="4"/>
  <c r="G62" i="4"/>
  <c r="F105" i="8"/>
  <c r="G105" i="8"/>
  <c r="H105" i="8"/>
  <c r="I105" i="8"/>
  <c r="J105" i="8"/>
  <c r="K105" i="8"/>
  <c r="L105" i="8"/>
  <c r="M105" i="8"/>
  <c r="N105" i="8"/>
  <c r="O105" i="8"/>
  <c r="P105" i="8"/>
  <c r="Q105" i="8"/>
  <c r="R105" i="8"/>
  <c r="E105" i="8"/>
  <c r="B104" i="8"/>
  <c r="C104" i="8"/>
  <c r="D104" i="8"/>
  <c r="B61" i="4"/>
  <c r="F61" i="4"/>
  <c r="E61" i="4"/>
  <c r="G61" i="4"/>
  <c r="F104" i="8"/>
  <c r="G104" i="8"/>
  <c r="H104" i="8"/>
  <c r="I104" i="8"/>
  <c r="J104" i="8"/>
  <c r="K104" i="8"/>
  <c r="L104" i="8"/>
  <c r="M104" i="8"/>
  <c r="N104" i="8"/>
  <c r="O104" i="8"/>
  <c r="P104" i="8"/>
  <c r="Q104" i="8"/>
  <c r="R104" i="8"/>
  <c r="E104" i="8"/>
  <c r="B103" i="8"/>
  <c r="C103" i="8"/>
  <c r="D103" i="8"/>
  <c r="B60" i="4"/>
  <c r="F60" i="4"/>
  <c r="E60" i="4"/>
  <c r="G60" i="4"/>
  <c r="F103" i="8"/>
  <c r="G103" i="8"/>
  <c r="H103" i="8"/>
  <c r="I103" i="8"/>
  <c r="J103" i="8"/>
  <c r="K103" i="8"/>
  <c r="L103" i="8"/>
  <c r="M103" i="8"/>
  <c r="N103" i="8"/>
  <c r="O103" i="8"/>
  <c r="P103" i="8"/>
  <c r="Q103" i="8"/>
  <c r="R103" i="8"/>
  <c r="E103" i="8"/>
  <c r="B102" i="8"/>
  <c r="C102" i="8"/>
  <c r="D102" i="8"/>
  <c r="B59" i="4"/>
  <c r="F59" i="4"/>
  <c r="E59" i="4"/>
  <c r="G59" i="4"/>
  <c r="F102" i="8"/>
  <c r="G102" i="8"/>
  <c r="H102" i="8"/>
  <c r="I102" i="8"/>
  <c r="J102" i="8"/>
  <c r="K102" i="8"/>
  <c r="L102" i="8"/>
  <c r="M102" i="8"/>
  <c r="N102" i="8"/>
  <c r="O102" i="8"/>
  <c r="P102" i="8"/>
  <c r="Q102" i="8"/>
  <c r="R102" i="8"/>
  <c r="E102" i="8"/>
  <c r="D101" i="8"/>
  <c r="R101" i="8"/>
  <c r="B58" i="4"/>
  <c r="F58" i="4"/>
  <c r="Q101" i="8"/>
  <c r="P101" i="8"/>
  <c r="O101" i="8"/>
  <c r="N101" i="8"/>
  <c r="M101" i="8"/>
  <c r="L101" i="8"/>
  <c r="E58" i="4"/>
  <c r="G58" i="4"/>
  <c r="K101" i="8"/>
  <c r="J101" i="8"/>
  <c r="I101" i="8"/>
  <c r="H101" i="8"/>
  <c r="G101" i="8"/>
  <c r="F101" i="8"/>
  <c r="E101" i="8"/>
  <c r="C101" i="8"/>
  <c r="B101" i="8"/>
  <c r="B100" i="8"/>
  <c r="C100" i="8"/>
  <c r="D100" i="8"/>
  <c r="B57" i="4"/>
  <c r="F57" i="4"/>
  <c r="E57" i="4"/>
  <c r="G57" i="4"/>
  <c r="F100" i="8"/>
  <c r="G100" i="8"/>
  <c r="H100" i="8"/>
  <c r="I100" i="8"/>
  <c r="J100" i="8"/>
  <c r="K100" i="8"/>
  <c r="L100" i="8"/>
  <c r="M100" i="8"/>
  <c r="N100" i="8"/>
  <c r="O100" i="8"/>
  <c r="P100" i="8"/>
  <c r="Q100" i="8"/>
  <c r="R100" i="8"/>
  <c r="E100" i="8"/>
  <c r="B99" i="8"/>
  <c r="C99" i="8"/>
  <c r="D99" i="8"/>
  <c r="B56" i="4"/>
  <c r="F56" i="4"/>
  <c r="E56" i="4"/>
  <c r="G56" i="4"/>
  <c r="F99" i="8"/>
  <c r="G99" i="8"/>
  <c r="H99" i="8"/>
  <c r="I99" i="8"/>
  <c r="J99" i="8"/>
  <c r="K99" i="8"/>
  <c r="L99" i="8"/>
  <c r="M99" i="8"/>
  <c r="N99" i="8"/>
  <c r="O99" i="8"/>
  <c r="P99" i="8"/>
  <c r="Q99" i="8"/>
  <c r="R99" i="8"/>
  <c r="E99" i="8"/>
  <c r="B98" i="8"/>
  <c r="C98" i="8"/>
  <c r="D98" i="8"/>
  <c r="B55" i="4"/>
  <c r="F55" i="4"/>
  <c r="E55" i="4"/>
  <c r="G55" i="4"/>
  <c r="F98" i="8"/>
  <c r="G98" i="8"/>
  <c r="H98" i="8"/>
  <c r="I98" i="8"/>
  <c r="J98" i="8"/>
  <c r="K98" i="8"/>
  <c r="L98" i="8"/>
  <c r="M98" i="8"/>
  <c r="N98" i="8"/>
  <c r="O98" i="8"/>
  <c r="P98" i="8"/>
  <c r="Q98" i="8"/>
  <c r="R98" i="8"/>
  <c r="E98" i="8"/>
  <c r="B97" i="8"/>
  <c r="C97" i="8"/>
  <c r="D97" i="8"/>
  <c r="B54" i="4"/>
  <c r="F54" i="4"/>
  <c r="E54" i="4"/>
  <c r="G54" i="4"/>
  <c r="F97" i="8"/>
  <c r="G97" i="8"/>
  <c r="H97" i="8"/>
  <c r="I97" i="8"/>
  <c r="J97" i="8"/>
  <c r="K97" i="8"/>
  <c r="L97" i="8"/>
  <c r="M97" i="8"/>
  <c r="N97" i="8"/>
  <c r="O97" i="8"/>
  <c r="P97" i="8"/>
  <c r="Q97" i="8"/>
  <c r="R97" i="8"/>
  <c r="E97" i="8"/>
  <c r="B96" i="8"/>
  <c r="C96" i="8"/>
  <c r="D96" i="8"/>
  <c r="B53" i="4"/>
  <c r="F53" i="4"/>
  <c r="E53" i="4"/>
  <c r="G53" i="4"/>
  <c r="F96" i="8"/>
  <c r="G96" i="8"/>
  <c r="H96" i="8"/>
  <c r="I96" i="8"/>
  <c r="J96" i="8"/>
  <c r="K96" i="8"/>
  <c r="L96" i="8"/>
  <c r="M96" i="8"/>
  <c r="N96" i="8"/>
  <c r="O96" i="8"/>
  <c r="P96" i="8"/>
  <c r="Q96" i="8"/>
  <c r="R96" i="8"/>
  <c r="E96" i="8"/>
  <c r="B95" i="8"/>
  <c r="C95" i="8"/>
  <c r="D95" i="8"/>
  <c r="B52" i="4"/>
  <c r="F52" i="4"/>
  <c r="E52" i="4"/>
  <c r="G52" i="4"/>
  <c r="F95" i="8"/>
  <c r="G95" i="8"/>
  <c r="H95" i="8"/>
  <c r="I95" i="8"/>
  <c r="J95" i="8"/>
  <c r="K95" i="8"/>
  <c r="L95" i="8"/>
  <c r="M95" i="8"/>
  <c r="N95" i="8"/>
  <c r="O95" i="8"/>
  <c r="P95" i="8"/>
  <c r="Q95" i="8"/>
  <c r="R95" i="8"/>
  <c r="E95" i="8"/>
  <c r="B94" i="8"/>
  <c r="C94" i="8"/>
  <c r="D94" i="8"/>
  <c r="B51" i="4"/>
  <c r="F51" i="4"/>
  <c r="E51" i="4"/>
  <c r="G51" i="4"/>
  <c r="F94" i="8"/>
  <c r="G94" i="8"/>
  <c r="H94" i="8"/>
  <c r="I94" i="8"/>
  <c r="J94" i="8"/>
  <c r="K94" i="8"/>
  <c r="L94" i="8"/>
  <c r="M94" i="8"/>
  <c r="N94" i="8"/>
  <c r="O94" i="8"/>
  <c r="P94" i="8"/>
  <c r="Q94" i="8"/>
  <c r="R94" i="8"/>
  <c r="E94" i="8"/>
  <c r="B93" i="8"/>
  <c r="C93" i="8"/>
  <c r="D93" i="8"/>
  <c r="B50" i="4"/>
  <c r="F50" i="4"/>
  <c r="E50" i="4"/>
  <c r="G50" i="4"/>
  <c r="F93" i="8"/>
  <c r="G93" i="8"/>
  <c r="H93" i="8"/>
  <c r="I93" i="8"/>
  <c r="J93" i="8"/>
  <c r="K93" i="8"/>
  <c r="L93" i="8"/>
  <c r="M93" i="8"/>
  <c r="N93" i="8"/>
  <c r="O93" i="8"/>
  <c r="P93" i="8"/>
  <c r="Q93" i="8"/>
  <c r="R93" i="8"/>
  <c r="E93" i="8"/>
  <c r="B92" i="8"/>
  <c r="C92" i="8"/>
  <c r="D92" i="8"/>
  <c r="B49" i="4"/>
  <c r="F49" i="4"/>
  <c r="E49" i="4"/>
  <c r="G49" i="4"/>
  <c r="F92" i="8"/>
  <c r="G92" i="8"/>
  <c r="H92" i="8"/>
  <c r="I92" i="8"/>
  <c r="J92" i="8"/>
  <c r="K92" i="8"/>
  <c r="L92" i="8"/>
  <c r="M92" i="8"/>
  <c r="N92" i="8"/>
  <c r="O92" i="8"/>
  <c r="P92" i="8"/>
  <c r="Q92" i="8"/>
  <c r="R92" i="8"/>
  <c r="E92" i="8"/>
  <c r="B91" i="8"/>
  <c r="C91" i="8"/>
  <c r="D91" i="8"/>
  <c r="B48" i="4"/>
  <c r="F48" i="4"/>
  <c r="E48" i="4"/>
  <c r="G48" i="4"/>
  <c r="F91" i="8"/>
  <c r="G91" i="8"/>
  <c r="H91" i="8"/>
  <c r="I91" i="8"/>
  <c r="J91" i="8"/>
  <c r="K91" i="8"/>
  <c r="L91" i="8"/>
  <c r="M91" i="8"/>
  <c r="N91" i="8"/>
  <c r="O91" i="8"/>
  <c r="P91" i="8"/>
  <c r="Q91" i="8"/>
  <c r="R91" i="8"/>
  <c r="E91" i="8"/>
  <c r="B90" i="8"/>
  <c r="C90" i="8"/>
  <c r="D90" i="8"/>
  <c r="B47" i="4"/>
  <c r="F47" i="4"/>
  <c r="E47" i="4"/>
  <c r="G47" i="4"/>
  <c r="F90" i="8"/>
  <c r="G90" i="8"/>
  <c r="H90" i="8"/>
  <c r="I90" i="8"/>
  <c r="J90" i="8"/>
  <c r="K90" i="8"/>
  <c r="L90" i="8"/>
  <c r="M90" i="8"/>
  <c r="N90" i="8"/>
  <c r="O90" i="8"/>
  <c r="P90" i="8"/>
  <c r="Q90" i="8"/>
  <c r="R90" i="8"/>
  <c r="E90" i="8"/>
  <c r="B89" i="8"/>
  <c r="C89" i="8"/>
  <c r="D89" i="8"/>
  <c r="B46" i="4"/>
  <c r="F46" i="4"/>
  <c r="E46" i="4"/>
  <c r="G46" i="4"/>
  <c r="F89" i="8"/>
  <c r="G89" i="8"/>
  <c r="H89" i="8"/>
  <c r="I89" i="8"/>
  <c r="J89" i="8"/>
  <c r="K89" i="8"/>
  <c r="L89" i="8"/>
  <c r="M89" i="8"/>
  <c r="N89" i="8"/>
  <c r="O89" i="8"/>
  <c r="P89" i="8"/>
  <c r="Q89" i="8"/>
  <c r="R89" i="8"/>
  <c r="E89" i="8"/>
  <c r="B88" i="8"/>
  <c r="C88" i="8"/>
  <c r="D88" i="8"/>
  <c r="B45" i="4"/>
  <c r="F45" i="4"/>
  <c r="E45" i="4"/>
  <c r="G45" i="4"/>
  <c r="F88" i="8"/>
  <c r="G88" i="8"/>
  <c r="H88" i="8"/>
  <c r="I88" i="8"/>
  <c r="J88" i="8"/>
  <c r="K88" i="8"/>
  <c r="L88" i="8"/>
  <c r="M88" i="8"/>
  <c r="N88" i="8"/>
  <c r="O88" i="8"/>
  <c r="P88" i="8"/>
  <c r="Q88" i="8"/>
  <c r="R88" i="8"/>
  <c r="E88" i="8"/>
  <c r="B87" i="8"/>
  <c r="C87" i="8"/>
  <c r="D87" i="8"/>
  <c r="B44" i="4"/>
  <c r="F44" i="4"/>
  <c r="E44" i="4"/>
  <c r="G44" i="4"/>
  <c r="F87" i="8"/>
  <c r="G87" i="8"/>
  <c r="H87" i="8"/>
  <c r="I87" i="8"/>
  <c r="J87" i="8"/>
  <c r="K87" i="8"/>
  <c r="L87" i="8"/>
  <c r="M87" i="8"/>
  <c r="N87" i="8"/>
  <c r="O87" i="8"/>
  <c r="P87" i="8"/>
  <c r="Q87" i="8"/>
  <c r="R87" i="8"/>
  <c r="E87" i="8"/>
  <c r="B86" i="8"/>
  <c r="C86" i="8"/>
  <c r="D86" i="8"/>
  <c r="B43" i="4"/>
  <c r="F43" i="4"/>
  <c r="E43" i="4"/>
  <c r="G43" i="4"/>
  <c r="F86" i="8"/>
  <c r="G86" i="8"/>
  <c r="H86" i="8"/>
  <c r="I86" i="8"/>
  <c r="J86" i="8"/>
  <c r="K86" i="8"/>
  <c r="L86" i="8"/>
  <c r="M86" i="8"/>
  <c r="N86" i="8"/>
  <c r="O86" i="8"/>
  <c r="P86" i="8"/>
  <c r="Q86" i="8"/>
  <c r="R86" i="8"/>
  <c r="E86" i="8"/>
  <c r="B85" i="8"/>
  <c r="C85" i="8"/>
  <c r="D85" i="8"/>
  <c r="B42" i="4"/>
  <c r="F42" i="4"/>
  <c r="E42" i="4"/>
  <c r="G42" i="4"/>
  <c r="F85" i="8"/>
  <c r="G85" i="8"/>
  <c r="H85" i="8"/>
  <c r="I85" i="8"/>
  <c r="J85" i="8"/>
  <c r="K85" i="8"/>
  <c r="L85" i="8"/>
  <c r="M85" i="8"/>
  <c r="N85" i="8"/>
  <c r="O85" i="8"/>
  <c r="P85" i="8"/>
  <c r="Q85" i="8"/>
  <c r="R85" i="8"/>
  <c r="E85" i="8"/>
  <c r="B84" i="8"/>
  <c r="C84" i="8"/>
  <c r="D84" i="8"/>
  <c r="B41" i="4"/>
  <c r="F41" i="4"/>
  <c r="E41" i="4"/>
  <c r="G41" i="4"/>
  <c r="F84" i="8"/>
  <c r="G84" i="8"/>
  <c r="H84" i="8"/>
  <c r="I84" i="8"/>
  <c r="J84" i="8"/>
  <c r="K84" i="8"/>
  <c r="L84" i="8"/>
  <c r="M84" i="8"/>
  <c r="N84" i="8"/>
  <c r="O84" i="8"/>
  <c r="P84" i="8"/>
  <c r="Q84" i="8"/>
  <c r="R84" i="8"/>
  <c r="E84" i="8"/>
  <c r="B83" i="8"/>
  <c r="C83" i="8"/>
  <c r="D83" i="8"/>
  <c r="B40" i="4"/>
  <c r="F40" i="4"/>
  <c r="E40" i="4"/>
  <c r="G40" i="4"/>
  <c r="F83" i="8"/>
  <c r="G83" i="8"/>
  <c r="H83" i="8"/>
  <c r="I83" i="8"/>
  <c r="J83" i="8"/>
  <c r="K83" i="8"/>
  <c r="L83" i="8"/>
  <c r="M83" i="8"/>
  <c r="N83" i="8"/>
  <c r="O83" i="8"/>
  <c r="P83" i="8"/>
  <c r="Q83" i="8"/>
  <c r="R83" i="8"/>
  <c r="E83" i="8"/>
  <c r="B82" i="8"/>
  <c r="C82" i="8"/>
  <c r="D82" i="8"/>
  <c r="B39" i="4"/>
  <c r="F39" i="4"/>
  <c r="E39" i="4"/>
  <c r="G39" i="4"/>
  <c r="F82" i="8"/>
  <c r="G82" i="8"/>
  <c r="H82" i="8"/>
  <c r="I82" i="8"/>
  <c r="J82" i="8"/>
  <c r="K82" i="8"/>
  <c r="L82" i="8"/>
  <c r="M82" i="8"/>
  <c r="N82" i="8"/>
  <c r="O82" i="8"/>
  <c r="P82" i="8"/>
  <c r="Q82" i="8"/>
  <c r="R82" i="8"/>
  <c r="E82" i="8"/>
  <c r="B81" i="8"/>
  <c r="C81" i="8"/>
  <c r="D81" i="8"/>
  <c r="B38" i="4"/>
  <c r="F38" i="4"/>
  <c r="E38" i="4"/>
  <c r="G38" i="4"/>
  <c r="F81" i="8"/>
  <c r="G81" i="8"/>
  <c r="H81" i="8"/>
  <c r="I81" i="8"/>
  <c r="J81" i="8"/>
  <c r="K81" i="8"/>
  <c r="L81" i="8"/>
  <c r="M81" i="8"/>
  <c r="N81" i="8"/>
  <c r="O81" i="8"/>
  <c r="P81" i="8"/>
  <c r="Q81" i="8"/>
  <c r="R81" i="8"/>
  <c r="E81" i="8"/>
  <c r="B80" i="8"/>
  <c r="C80" i="8"/>
  <c r="D80" i="8"/>
  <c r="B37" i="4"/>
  <c r="F37" i="4"/>
  <c r="E37" i="4"/>
  <c r="G37" i="4"/>
  <c r="F80" i="8"/>
  <c r="G80" i="8"/>
  <c r="H80" i="8"/>
  <c r="I80" i="8"/>
  <c r="J80" i="8"/>
  <c r="K80" i="8"/>
  <c r="L80" i="8"/>
  <c r="M80" i="8"/>
  <c r="N80" i="8"/>
  <c r="O80" i="8"/>
  <c r="P80" i="8"/>
  <c r="Q80" i="8"/>
  <c r="R80" i="8"/>
  <c r="E80" i="8"/>
  <c r="B79" i="8"/>
  <c r="C79" i="8"/>
  <c r="D79" i="8"/>
  <c r="B36" i="4"/>
  <c r="F36" i="4"/>
  <c r="E36" i="4"/>
  <c r="G36" i="4"/>
  <c r="F79" i="8"/>
  <c r="G79" i="8"/>
  <c r="H79" i="8"/>
  <c r="I79" i="8"/>
  <c r="J79" i="8"/>
  <c r="K79" i="8"/>
  <c r="L79" i="8"/>
  <c r="M79" i="8"/>
  <c r="N79" i="8"/>
  <c r="O79" i="8"/>
  <c r="P79" i="8"/>
  <c r="Q79" i="8"/>
  <c r="R79" i="8"/>
  <c r="E79" i="8"/>
  <c r="B78" i="8"/>
  <c r="C78" i="8"/>
  <c r="D78" i="8"/>
  <c r="B35" i="4"/>
  <c r="F35" i="4"/>
  <c r="E35" i="4"/>
  <c r="G35" i="4"/>
  <c r="F78" i="8"/>
  <c r="G78" i="8"/>
  <c r="H78" i="8"/>
  <c r="I78" i="8"/>
  <c r="J78" i="8"/>
  <c r="K78" i="8"/>
  <c r="L78" i="8"/>
  <c r="M78" i="8"/>
  <c r="N78" i="8"/>
  <c r="O78" i="8"/>
  <c r="P78" i="8"/>
  <c r="Q78" i="8"/>
  <c r="R78" i="8"/>
  <c r="E78" i="8"/>
  <c r="B77" i="8"/>
  <c r="C77" i="8"/>
  <c r="D77" i="8"/>
  <c r="B34" i="4"/>
  <c r="E34" i="4"/>
  <c r="G34" i="4"/>
  <c r="F77" i="8"/>
  <c r="G77" i="8"/>
  <c r="H77" i="8"/>
  <c r="I77" i="8"/>
  <c r="J77" i="8"/>
  <c r="K77" i="8"/>
  <c r="L77" i="8"/>
  <c r="M77" i="8"/>
  <c r="N77" i="8"/>
  <c r="O77" i="8"/>
  <c r="P77" i="8"/>
  <c r="Q77" i="8"/>
  <c r="R77" i="8"/>
  <c r="E77" i="8"/>
  <c r="B76" i="8"/>
  <c r="C76" i="8"/>
  <c r="D76" i="8"/>
  <c r="B33" i="4"/>
  <c r="F33" i="4"/>
  <c r="E33" i="4"/>
  <c r="G33" i="4"/>
  <c r="F76" i="8"/>
  <c r="G76" i="8"/>
  <c r="H76" i="8"/>
  <c r="I76" i="8"/>
  <c r="J76" i="8"/>
  <c r="K76" i="8"/>
  <c r="L76" i="8"/>
  <c r="M76" i="8"/>
  <c r="N76" i="8"/>
  <c r="O76" i="8"/>
  <c r="P76" i="8"/>
  <c r="Q76" i="8"/>
  <c r="R76" i="8"/>
  <c r="E76" i="8"/>
  <c r="B75" i="8"/>
  <c r="C75" i="8"/>
  <c r="D75" i="8"/>
  <c r="B32" i="4"/>
  <c r="F32" i="4"/>
  <c r="E32" i="4"/>
  <c r="G32" i="4"/>
  <c r="F75" i="8"/>
  <c r="G75" i="8"/>
  <c r="H75" i="8"/>
  <c r="I75" i="8"/>
  <c r="J75" i="8"/>
  <c r="K75" i="8"/>
  <c r="L75" i="8"/>
  <c r="M75" i="8"/>
  <c r="N75" i="8"/>
  <c r="O75" i="8"/>
  <c r="P75" i="8"/>
  <c r="Q75" i="8"/>
  <c r="R75" i="8"/>
  <c r="E75" i="8"/>
  <c r="B74" i="8"/>
  <c r="C74" i="8"/>
  <c r="D74" i="8"/>
  <c r="B31" i="4"/>
  <c r="F31" i="4"/>
  <c r="E31" i="4"/>
  <c r="G31" i="4"/>
  <c r="F74" i="8"/>
  <c r="G74" i="8"/>
  <c r="H74" i="8"/>
  <c r="I74" i="8"/>
  <c r="J74" i="8"/>
  <c r="K74" i="8"/>
  <c r="L74" i="8"/>
  <c r="M74" i="8"/>
  <c r="N74" i="8"/>
  <c r="O74" i="8"/>
  <c r="P74" i="8"/>
  <c r="Q74" i="8"/>
  <c r="R74" i="8"/>
  <c r="E74" i="8"/>
  <c r="B73" i="8"/>
  <c r="C73" i="8"/>
  <c r="D73" i="8"/>
  <c r="B30" i="4"/>
  <c r="F30" i="4"/>
  <c r="E30" i="4"/>
  <c r="G30" i="4"/>
  <c r="F73" i="8"/>
  <c r="G73" i="8"/>
  <c r="H73" i="8"/>
  <c r="I73" i="8"/>
  <c r="J73" i="8"/>
  <c r="K73" i="8"/>
  <c r="L73" i="8"/>
  <c r="M73" i="8"/>
  <c r="N73" i="8"/>
  <c r="O73" i="8"/>
  <c r="P73" i="8"/>
  <c r="Q73" i="8"/>
  <c r="R73" i="8"/>
  <c r="E73" i="8"/>
  <c r="B72" i="8"/>
  <c r="C72" i="8"/>
  <c r="D72" i="8"/>
  <c r="B29" i="4"/>
  <c r="F29" i="4"/>
  <c r="E29" i="4"/>
  <c r="G29" i="4"/>
  <c r="F72" i="8"/>
  <c r="G72" i="8"/>
  <c r="H72" i="8"/>
  <c r="I72" i="8"/>
  <c r="J72" i="8"/>
  <c r="K72" i="8"/>
  <c r="L72" i="8"/>
  <c r="M72" i="8"/>
  <c r="N72" i="8"/>
  <c r="O72" i="8"/>
  <c r="P72" i="8"/>
  <c r="Q72" i="8"/>
  <c r="R72" i="8"/>
  <c r="E72" i="8"/>
  <c r="B71" i="8"/>
  <c r="C71" i="8"/>
  <c r="D71" i="8"/>
  <c r="B28" i="4"/>
  <c r="F28" i="4"/>
  <c r="E28" i="4"/>
  <c r="G28" i="4"/>
  <c r="F71" i="8"/>
  <c r="G71" i="8"/>
  <c r="H71" i="8"/>
  <c r="I71" i="8"/>
  <c r="J71" i="8"/>
  <c r="K71" i="8"/>
  <c r="L71" i="8"/>
  <c r="M71" i="8"/>
  <c r="N71" i="8"/>
  <c r="O71" i="8"/>
  <c r="P71" i="8"/>
  <c r="Q71" i="8"/>
  <c r="R71" i="8"/>
  <c r="E71" i="8"/>
  <c r="B70" i="8"/>
  <c r="C70" i="8"/>
  <c r="D70" i="8"/>
  <c r="B27" i="4"/>
  <c r="F27" i="4"/>
  <c r="E27" i="4"/>
  <c r="G27" i="4"/>
  <c r="F70" i="8"/>
  <c r="G70" i="8"/>
  <c r="H70" i="8"/>
  <c r="I70" i="8"/>
  <c r="J70" i="8"/>
  <c r="K70" i="8"/>
  <c r="L70" i="8"/>
  <c r="M70" i="8"/>
  <c r="N70" i="8"/>
  <c r="O70" i="8"/>
  <c r="P70" i="8"/>
  <c r="Q70" i="8"/>
  <c r="R70" i="8"/>
  <c r="E70" i="8"/>
  <c r="B69" i="8"/>
  <c r="C69" i="8"/>
  <c r="D69" i="8"/>
  <c r="B26" i="4"/>
  <c r="F26" i="4"/>
  <c r="E26" i="4"/>
  <c r="G26" i="4"/>
  <c r="F69" i="8"/>
  <c r="G69" i="8"/>
  <c r="H69" i="8"/>
  <c r="I69" i="8"/>
  <c r="J69" i="8"/>
  <c r="K69" i="8"/>
  <c r="L69" i="8"/>
  <c r="M69" i="8"/>
  <c r="N69" i="8"/>
  <c r="O69" i="8"/>
  <c r="P69" i="8"/>
  <c r="Q69" i="8"/>
  <c r="R69" i="8"/>
  <c r="E69" i="8"/>
  <c r="B68" i="8"/>
  <c r="C68" i="8"/>
  <c r="D68" i="8"/>
  <c r="B25" i="4"/>
  <c r="F25" i="4"/>
  <c r="E25" i="4"/>
  <c r="G25" i="4"/>
  <c r="F68" i="8"/>
  <c r="G68" i="8"/>
  <c r="H68" i="8"/>
  <c r="I68" i="8"/>
  <c r="J68" i="8"/>
  <c r="K68" i="8"/>
  <c r="L68" i="8"/>
  <c r="M68" i="8"/>
  <c r="N68" i="8"/>
  <c r="O68" i="8"/>
  <c r="P68" i="8"/>
  <c r="Q68" i="8"/>
  <c r="R68" i="8"/>
  <c r="E68" i="8"/>
  <c r="B67" i="8"/>
  <c r="C67" i="8"/>
  <c r="D67" i="8"/>
  <c r="B24" i="4"/>
  <c r="F24" i="4"/>
  <c r="E24" i="4"/>
  <c r="G24" i="4"/>
  <c r="F67" i="8"/>
  <c r="G67" i="8"/>
  <c r="H67" i="8"/>
  <c r="I67" i="8"/>
  <c r="J67" i="8"/>
  <c r="K67" i="8"/>
  <c r="L67" i="8"/>
  <c r="M67" i="8"/>
  <c r="N67" i="8"/>
  <c r="O67" i="8"/>
  <c r="P67" i="8"/>
  <c r="Q67" i="8"/>
  <c r="R67" i="8"/>
  <c r="E67" i="8"/>
  <c r="B61" i="8"/>
  <c r="C61" i="8"/>
  <c r="D61" i="8"/>
  <c r="F61" i="8"/>
  <c r="G61" i="8"/>
  <c r="H61" i="8"/>
  <c r="I61" i="8"/>
  <c r="J61" i="8"/>
  <c r="K61" i="8"/>
  <c r="L61" i="8"/>
  <c r="M61" i="8"/>
  <c r="N61" i="8"/>
  <c r="O61" i="8"/>
  <c r="P61" i="8"/>
  <c r="Q61" i="8"/>
  <c r="R61" i="8"/>
  <c r="E61" i="8"/>
  <c r="B60" i="8"/>
  <c r="C60" i="8"/>
  <c r="D60" i="8"/>
  <c r="F60" i="8"/>
  <c r="G60" i="8"/>
  <c r="H60" i="8"/>
  <c r="I60" i="8"/>
  <c r="J60" i="8"/>
  <c r="K60" i="8"/>
  <c r="L60" i="8"/>
  <c r="M60" i="8"/>
  <c r="N60" i="8"/>
  <c r="O60" i="8"/>
  <c r="P60" i="8"/>
  <c r="Q60" i="8"/>
  <c r="R60" i="8"/>
  <c r="E60" i="8"/>
  <c r="B59" i="8"/>
  <c r="C59" i="8"/>
  <c r="D59" i="8"/>
  <c r="F59" i="8"/>
  <c r="G59" i="8"/>
  <c r="H59" i="8"/>
  <c r="I59" i="8"/>
  <c r="J59" i="8"/>
  <c r="K59" i="8"/>
  <c r="L59" i="8"/>
  <c r="M59" i="8"/>
  <c r="N59" i="8"/>
  <c r="O59" i="8"/>
  <c r="P59" i="8"/>
  <c r="Q59" i="8"/>
  <c r="R59" i="8"/>
  <c r="E59" i="8"/>
  <c r="B58" i="8"/>
  <c r="C58" i="8"/>
  <c r="D58" i="8"/>
  <c r="F58" i="8"/>
  <c r="G58" i="8"/>
  <c r="H58" i="8"/>
  <c r="I58" i="8"/>
  <c r="J58" i="8"/>
  <c r="K58" i="8"/>
  <c r="L58" i="8"/>
  <c r="M58" i="8"/>
  <c r="N58" i="8"/>
  <c r="O58" i="8"/>
  <c r="P58" i="8"/>
  <c r="Q58" i="8"/>
  <c r="R58" i="8"/>
  <c r="E58" i="8"/>
  <c r="B57" i="8"/>
  <c r="C57" i="8"/>
  <c r="D57" i="8"/>
  <c r="F57" i="8"/>
  <c r="G57" i="8"/>
  <c r="H57" i="8"/>
  <c r="I57" i="8"/>
  <c r="J57" i="8"/>
  <c r="K57" i="8"/>
  <c r="L57" i="8"/>
  <c r="M57" i="8"/>
  <c r="N57" i="8"/>
  <c r="O57" i="8"/>
  <c r="P57" i="8"/>
  <c r="Q57" i="8"/>
  <c r="R57" i="8"/>
  <c r="E57" i="8"/>
  <c r="B56" i="8"/>
  <c r="C56" i="8"/>
  <c r="D56" i="8"/>
  <c r="F56" i="8"/>
  <c r="G56" i="8"/>
  <c r="H56" i="8"/>
  <c r="I56" i="8"/>
  <c r="J56" i="8"/>
  <c r="K56" i="8"/>
  <c r="L56" i="8"/>
  <c r="M56" i="8"/>
  <c r="N56" i="8"/>
  <c r="O56" i="8"/>
  <c r="P56" i="8"/>
  <c r="Q56" i="8"/>
  <c r="R56" i="8"/>
  <c r="E56" i="8"/>
  <c r="B55" i="8"/>
  <c r="C55" i="8"/>
  <c r="D55" i="8"/>
  <c r="F55" i="8"/>
  <c r="G55" i="8"/>
  <c r="H55" i="8"/>
  <c r="I55" i="8"/>
  <c r="J55" i="8"/>
  <c r="K55" i="8"/>
  <c r="L55" i="8"/>
  <c r="M55" i="8"/>
  <c r="N55" i="8"/>
  <c r="O55" i="8"/>
  <c r="P55" i="8"/>
  <c r="Q55" i="8"/>
  <c r="R55" i="8"/>
  <c r="E55" i="8"/>
  <c r="B54" i="8"/>
  <c r="C54" i="8"/>
  <c r="D54" i="8"/>
  <c r="F54" i="8"/>
  <c r="G54" i="8"/>
  <c r="H54" i="8"/>
  <c r="I54" i="8"/>
  <c r="J54" i="8"/>
  <c r="K54" i="8"/>
  <c r="L54" i="8"/>
  <c r="M54" i="8"/>
  <c r="N54" i="8"/>
  <c r="O54" i="8"/>
  <c r="P54" i="8"/>
  <c r="Q54" i="8"/>
  <c r="R54" i="8"/>
  <c r="E54" i="8"/>
  <c r="B53" i="8"/>
  <c r="C53" i="8"/>
  <c r="D53" i="8"/>
  <c r="F53" i="8"/>
  <c r="G53" i="8"/>
  <c r="H53" i="8"/>
  <c r="I53" i="8"/>
  <c r="J53" i="8"/>
  <c r="K53" i="8"/>
  <c r="L53" i="8"/>
  <c r="M53" i="8"/>
  <c r="N53" i="8"/>
  <c r="O53" i="8"/>
  <c r="P53" i="8"/>
  <c r="Q53" i="8"/>
  <c r="R53" i="8"/>
  <c r="E53" i="8"/>
  <c r="B52" i="8"/>
  <c r="C52" i="8"/>
  <c r="D52" i="8"/>
  <c r="F52" i="8"/>
  <c r="G52" i="8"/>
  <c r="H52" i="8"/>
  <c r="I52" i="8"/>
  <c r="J52" i="8"/>
  <c r="K52" i="8"/>
  <c r="L52" i="8"/>
  <c r="M52" i="8"/>
  <c r="N52" i="8"/>
  <c r="O52" i="8"/>
  <c r="P52" i="8"/>
  <c r="Q52" i="8"/>
  <c r="R52" i="8"/>
  <c r="E52" i="8"/>
  <c r="B51" i="8"/>
  <c r="C51" i="8"/>
  <c r="D51" i="8"/>
  <c r="F51" i="8"/>
  <c r="G51" i="8"/>
  <c r="H51" i="8"/>
  <c r="I51" i="8"/>
  <c r="J51" i="8"/>
  <c r="K51" i="8"/>
  <c r="L51" i="8"/>
  <c r="M51" i="8"/>
  <c r="N51" i="8"/>
  <c r="O51" i="8"/>
  <c r="P51" i="8"/>
  <c r="Q51" i="8"/>
  <c r="R51" i="8"/>
  <c r="E51" i="8"/>
  <c r="B50" i="8"/>
  <c r="C50" i="8"/>
  <c r="D50" i="8"/>
  <c r="F50" i="8"/>
  <c r="G50" i="8"/>
  <c r="H50" i="8"/>
  <c r="I50" i="8"/>
  <c r="J50" i="8"/>
  <c r="K50" i="8"/>
  <c r="L50" i="8"/>
  <c r="M50" i="8"/>
  <c r="N50" i="8"/>
  <c r="O50" i="8"/>
  <c r="P50" i="8"/>
  <c r="Q50" i="8"/>
  <c r="R50" i="8"/>
  <c r="E50" i="8"/>
  <c r="B49" i="8"/>
  <c r="C49" i="8"/>
  <c r="D49" i="8"/>
  <c r="F49" i="8"/>
  <c r="G49" i="8"/>
  <c r="H49" i="8"/>
  <c r="I49" i="8"/>
  <c r="J49" i="8"/>
  <c r="K49" i="8"/>
  <c r="L49" i="8"/>
  <c r="M49" i="8"/>
  <c r="N49" i="8"/>
  <c r="O49" i="8"/>
  <c r="P49" i="8"/>
  <c r="Q49" i="8"/>
  <c r="R49" i="8"/>
  <c r="E49" i="8"/>
  <c r="B48" i="8"/>
  <c r="C48" i="8"/>
  <c r="D48" i="8"/>
  <c r="F48" i="8"/>
  <c r="G48" i="8"/>
  <c r="H48" i="8"/>
  <c r="I48" i="8"/>
  <c r="J48" i="8"/>
  <c r="K48" i="8"/>
  <c r="L48" i="8"/>
  <c r="M48" i="8"/>
  <c r="N48" i="8"/>
  <c r="O48" i="8"/>
  <c r="P48" i="8"/>
  <c r="Q48" i="8"/>
  <c r="R48" i="8"/>
  <c r="E48" i="8"/>
  <c r="D47" i="8"/>
  <c r="R47" i="8"/>
  <c r="Q47" i="8"/>
  <c r="P47" i="8"/>
  <c r="O47" i="8"/>
  <c r="N47" i="8"/>
  <c r="M47" i="8"/>
  <c r="L47" i="8"/>
  <c r="K47" i="8"/>
  <c r="J47" i="8"/>
  <c r="I47" i="8"/>
  <c r="H47" i="8"/>
  <c r="G47" i="8"/>
  <c r="F47" i="8"/>
  <c r="E47" i="8"/>
  <c r="C47" i="8"/>
  <c r="B47" i="8"/>
  <c r="B46" i="8"/>
  <c r="C46" i="8"/>
  <c r="D46" i="8"/>
  <c r="F46" i="8"/>
  <c r="G46" i="8"/>
  <c r="H46" i="8"/>
  <c r="I46" i="8"/>
  <c r="J46" i="8"/>
  <c r="K46" i="8"/>
  <c r="L46" i="8"/>
  <c r="M46" i="8"/>
  <c r="N46" i="8"/>
  <c r="O46" i="8"/>
  <c r="P46" i="8"/>
  <c r="Q46" i="8"/>
  <c r="R46" i="8"/>
  <c r="E46" i="8"/>
  <c r="B45" i="8"/>
  <c r="C45" i="8"/>
  <c r="D45" i="8"/>
  <c r="F45" i="8"/>
  <c r="G45" i="8"/>
  <c r="H45" i="8"/>
  <c r="I45" i="8"/>
  <c r="J45" i="8"/>
  <c r="K45" i="8"/>
  <c r="L45" i="8"/>
  <c r="M45" i="8"/>
  <c r="N45" i="8"/>
  <c r="O45" i="8"/>
  <c r="P45" i="8"/>
  <c r="Q45" i="8"/>
  <c r="R45" i="8"/>
  <c r="E45" i="8"/>
  <c r="B44" i="8"/>
  <c r="C44" i="8"/>
  <c r="D44" i="8"/>
  <c r="F44" i="8"/>
  <c r="G44" i="8"/>
  <c r="H44" i="8"/>
  <c r="I44" i="8"/>
  <c r="J44" i="8"/>
  <c r="K44" i="8"/>
  <c r="L44" i="8"/>
  <c r="M44" i="8"/>
  <c r="N44" i="8"/>
  <c r="O44" i="8"/>
  <c r="P44" i="8"/>
  <c r="Q44" i="8"/>
  <c r="R44" i="8"/>
  <c r="E44" i="8"/>
  <c r="B43" i="8"/>
  <c r="C43" i="8"/>
  <c r="D43" i="8"/>
  <c r="F43" i="8"/>
  <c r="G43" i="8"/>
  <c r="H43" i="8"/>
  <c r="I43" i="8"/>
  <c r="J43" i="8"/>
  <c r="K43" i="8"/>
  <c r="L43" i="8"/>
  <c r="M43" i="8"/>
  <c r="N43" i="8"/>
  <c r="O43" i="8"/>
  <c r="P43" i="8"/>
  <c r="Q43" i="8"/>
  <c r="R43" i="8"/>
  <c r="E43" i="8"/>
  <c r="B42" i="8"/>
  <c r="C42" i="8"/>
  <c r="D42" i="8"/>
  <c r="F42" i="8"/>
  <c r="G42" i="8"/>
  <c r="H42" i="8"/>
  <c r="I42" i="8"/>
  <c r="J42" i="8"/>
  <c r="K42" i="8"/>
  <c r="L42" i="8"/>
  <c r="M42" i="8"/>
  <c r="N42" i="8"/>
  <c r="O42" i="8"/>
  <c r="P42" i="8"/>
  <c r="Q42" i="8"/>
  <c r="R42" i="8"/>
  <c r="E42" i="8"/>
  <c r="B41" i="8"/>
  <c r="C41" i="8"/>
  <c r="D41" i="8"/>
  <c r="F41" i="8"/>
  <c r="G41" i="8"/>
  <c r="H41" i="8"/>
  <c r="I41" i="8"/>
  <c r="J41" i="8"/>
  <c r="K41" i="8"/>
  <c r="L41" i="8"/>
  <c r="M41" i="8"/>
  <c r="N41" i="8"/>
  <c r="O41" i="8"/>
  <c r="P41" i="8"/>
  <c r="Q41" i="8"/>
  <c r="R41" i="8"/>
  <c r="E41" i="8"/>
  <c r="B40" i="8"/>
  <c r="C40" i="8"/>
  <c r="D40" i="8"/>
  <c r="F40" i="8"/>
  <c r="G40" i="8"/>
  <c r="H40" i="8"/>
  <c r="I40" i="8"/>
  <c r="J40" i="8"/>
  <c r="K40" i="8"/>
  <c r="L40" i="8"/>
  <c r="M40" i="8"/>
  <c r="N40" i="8"/>
  <c r="O40" i="8"/>
  <c r="P40" i="8"/>
  <c r="Q40" i="8"/>
  <c r="R40" i="8"/>
  <c r="E40" i="8"/>
  <c r="B39" i="8"/>
  <c r="C39" i="8"/>
  <c r="D39" i="8"/>
  <c r="F39" i="8"/>
  <c r="G39" i="8"/>
  <c r="H39" i="8"/>
  <c r="I39" i="8"/>
  <c r="J39" i="8"/>
  <c r="K39" i="8"/>
  <c r="L39" i="8"/>
  <c r="M39" i="8"/>
  <c r="N39" i="8"/>
  <c r="O39" i="8"/>
  <c r="P39" i="8"/>
  <c r="Q39" i="8"/>
  <c r="R39" i="8"/>
  <c r="E39" i="8"/>
  <c r="B38" i="8"/>
  <c r="C38" i="8"/>
  <c r="D38" i="8"/>
  <c r="F38" i="8"/>
  <c r="G38" i="8"/>
  <c r="H38" i="8"/>
  <c r="I38" i="8"/>
  <c r="J38" i="8"/>
  <c r="K38" i="8"/>
  <c r="L38" i="8"/>
  <c r="M38" i="8"/>
  <c r="N38" i="8"/>
  <c r="O38" i="8"/>
  <c r="P38" i="8"/>
  <c r="Q38" i="8"/>
  <c r="R38" i="8"/>
  <c r="E38" i="8"/>
  <c r="B37" i="8"/>
  <c r="C37" i="8"/>
  <c r="D37" i="8"/>
  <c r="F37" i="8"/>
  <c r="G37" i="8"/>
  <c r="H37" i="8"/>
  <c r="I37" i="8"/>
  <c r="J37" i="8"/>
  <c r="K37" i="8"/>
  <c r="L37" i="8"/>
  <c r="M37" i="8"/>
  <c r="N37" i="8"/>
  <c r="O37" i="8"/>
  <c r="P37" i="8"/>
  <c r="Q37" i="8"/>
  <c r="R37" i="8"/>
  <c r="E37" i="8"/>
  <c r="B36" i="8"/>
  <c r="C36" i="8"/>
  <c r="D36" i="8"/>
  <c r="F36" i="8"/>
  <c r="G36" i="8"/>
  <c r="H36" i="8"/>
  <c r="I36" i="8"/>
  <c r="J36" i="8"/>
  <c r="K36" i="8"/>
  <c r="L36" i="8"/>
  <c r="M36" i="8"/>
  <c r="N36" i="8"/>
  <c r="O36" i="8"/>
  <c r="P36" i="8"/>
  <c r="Q36" i="8"/>
  <c r="R36" i="8"/>
  <c r="E36" i="8"/>
  <c r="B35" i="8"/>
  <c r="C35" i="8"/>
  <c r="D35" i="8"/>
  <c r="F35" i="8"/>
  <c r="G35" i="8"/>
  <c r="H35" i="8"/>
  <c r="I35" i="8"/>
  <c r="J35" i="8"/>
  <c r="K35" i="8"/>
  <c r="L35" i="8"/>
  <c r="M35" i="8"/>
  <c r="N35" i="8"/>
  <c r="O35" i="8"/>
  <c r="P35" i="8"/>
  <c r="Q35" i="8"/>
  <c r="R35" i="8"/>
  <c r="E35" i="8"/>
  <c r="B34" i="8"/>
  <c r="C34" i="8"/>
  <c r="D34" i="8"/>
  <c r="F34" i="8"/>
  <c r="G34" i="8"/>
  <c r="H34" i="8"/>
  <c r="I34" i="8"/>
  <c r="J34" i="8"/>
  <c r="K34" i="8"/>
  <c r="L34" i="8"/>
  <c r="M34" i="8"/>
  <c r="N34" i="8"/>
  <c r="O34" i="8"/>
  <c r="P34" i="8"/>
  <c r="Q34" i="8"/>
  <c r="R34" i="8"/>
  <c r="E34" i="8"/>
  <c r="B33" i="8"/>
  <c r="C33" i="8"/>
  <c r="D33" i="8"/>
  <c r="F33" i="8"/>
  <c r="G33" i="8"/>
  <c r="H33" i="8"/>
  <c r="I33" i="8"/>
  <c r="J33" i="8"/>
  <c r="K33" i="8"/>
  <c r="L33" i="8"/>
  <c r="M33" i="8"/>
  <c r="N33" i="8"/>
  <c r="O33" i="8"/>
  <c r="P33" i="8"/>
  <c r="Q33" i="8"/>
  <c r="R33" i="8"/>
  <c r="E33" i="8"/>
  <c r="B32" i="8"/>
  <c r="C32" i="8"/>
  <c r="D32" i="8"/>
  <c r="F32" i="8"/>
  <c r="G32" i="8"/>
  <c r="H32" i="8"/>
  <c r="I32" i="8"/>
  <c r="J32" i="8"/>
  <c r="K32" i="8"/>
  <c r="L32" i="8"/>
  <c r="M32" i="8"/>
  <c r="N32" i="8"/>
  <c r="O32" i="8"/>
  <c r="P32" i="8"/>
  <c r="Q32" i="8"/>
  <c r="R32" i="8"/>
  <c r="E32" i="8"/>
  <c r="B31" i="8"/>
  <c r="C31" i="8"/>
  <c r="D31" i="8"/>
  <c r="F31" i="8"/>
  <c r="G31" i="8"/>
  <c r="H31" i="8"/>
  <c r="I31" i="8"/>
  <c r="J31" i="8"/>
  <c r="K31" i="8"/>
  <c r="L31" i="8"/>
  <c r="M31" i="8"/>
  <c r="N31" i="8"/>
  <c r="O31" i="8"/>
  <c r="P31" i="8"/>
  <c r="Q31" i="8"/>
  <c r="R31" i="8"/>
  <c r="E31" i="8"/>
  <c r="B30" i="8"/>
  <c r="C30" i="8"/>
  <c r="D30" i="8"/>
  <c r="F30" i="8"/>
  <c r="G30" i="8"/>
  <c r="H30" i="8"/>
  <c r="I30" i="8"/>
  <c r="J30" i="8"/>
  <c r="K30" i="8"/>
  <c r="L30" i="8"/>
  <c r="M30" i="8"/>
  <c r="N30" i="8"/>
  <c r="O30" i="8"/>
  <c r="P30" i="8"/>
  <c r="Q30" i="8"/>
  <c r="R30" i="8"/>
  <c r="E30" i="8"/>
  <c r="B29" i="8"/>
  <c r="C29" i="8"/>
  <c r="D29" i="8"/>
  <c r="F29" i="8"/>
  <c r="G29" i="8"/>
  <c r="H29" i="8"/>
  <c r="I29" i="8"/>
  <c r="J29" i="8"/>
  <c r="K29" i="8"/>
  <c r="L29" i="8"/>
  <c r="M29" i="8"/>
  <c r="N29" i="8"/>
  <c r="O29" i="8"/>
  <c r="P29" i="8"/>
  <c r="Q29" i="8"/>
  <c r="R29" i="8"/>
  <c r="E29" i="8"/>
  <c r="B28" i="8"/>
  <c r="C28" i="8"/>
  <c r="D28" i="8"/>
  <c r="F28" i="8"/>
  <c r="G28" i="8"/>
  <c r="H28" i="8"/>
  <c r="I28" i="8"/>
  <c r="J28" i="8"/>
  <c r="K28" i="8"/>
  <c r="L28" i="8"/>
  <c r="M28" i="8"/>
  <c r="N28" i="8"/>
  <c r="O28" i="8"/>
  <c r="P28" i="8"/>
  <c r="Q28" i="8"/>
  <c r="R28" i="8"/>
  <c r="E28" i="8"/>
  <c r="B27" i="8"/>
  <c r="C27" i="8"/>
  <c r="D27" i="8"/>
  <c r="F27" i="8"/>
  <c r="G27" i="8"/>
  <c r="H27" i="8"/>
  <c r="I27" i="8"/>
  <c r="J27" i="8"/>
  <c r="K27" i="8"/>
  <c r="L27" i="8"/>
  <c r="M27" i="8"/>
  <c r="N27" i="8"/>
  <c r="O27" i="8"/>
  <c r="P27" i="8"/>
  <c r="Q27" i="8"/>
  <c r="R27" i="8"/>
  <c r="E27" i="8"/>
  <c r="B26" i="8"/>
  <c r="C26" i="8"/>
  <c r="D26" i="8"/>
  <c r="F26" i="8"/>
  <c r="G26" i="8"/>
  <c r="H26" i="8"/>
  <c r="I26" i="8"/>
  <c r="J26" i="8"/>
  <c r="K26" i="8"/>
  <c r="L26" i="8"/>
  <c r="M26" i="8"/>
  <c r="N26" i="8"/>
  <c r="O26" i="8"/>
  <c r="P26" i="8"/>
  <c r="Q26" i="8"/>
  <c r="R26" i="8"/>
  <c r="E26" i="8"/>
  <c r="B25" i="8"/>
  <c r="C25" i="8"/>
  <c r="D25" i="8"/>
  <c r="F25" i="8"/>
  <c r="G25" i="8"/>
  <c r="H25" i="8"/>
  <c r="I25" i="8"/>
  <c r="J25" i="8"/>
  <c r="K25" i="8"/>
  <c r="L25" i="8"/>
  <c r="M25" i="8"/>
  <c r="N25" i="8"/>
  <c r="O25" i="8"/>
  <c r="P25" i="8"/>
  <c r="Q25" i="8"/>
  <c r="R25" i="8"/>
  <c r="E25" i="8"/>
  <c r="B24" i="8"/>
  <c r="C24" i="8"/>
  <c r="D24" i="8"/>
  <c r="F24" i="8"/>
  <c r="G24" i="8"/>
  <c r="H24" i="8"/>
  <c r="I24" i="8"/>
  <c r="J24" i="8"/>
  <c r="K24" i="8"/>
  <c r="L24" i="8"/>
  <c r="M24" i="8"/>
  <c r="N24" i="8"/>
  <c r="O24" i="8"/>
  <c r="P24" i="8"/>
  <c r="Q24" i="8"/>
  <c r="R24" i="8"/>
  <c r="E24" i="8"/>
  <c r="B23" i="8"/>
  <c r="C23" i="8"/>
  <c r="D23" i="8"/>
  <c r="F23" i="8"/>
  <c r="G23" i="8"/>
  <c r="H23" i="8"/>
  <c r="I23" i="8"/>
  <c r="J23" i="8"/>
  <c r="K23" i="8"/>
  <c r="L23" i="8"/>
  <c r="M23" i="8"/>
  <c r="N23" i="8"/>
  <c r="O23" i="8"/>
  <c r="P23" i="8"/>
  <c r="Q23" i="8"/>
  <c r="R23" i="8"/>
  <c r="E23" i="8"/>
  <c r="B22" i="8"/>
  <c r="C22" i="8"/>
  <c r="D22" i="8"/>
  <c r="F22" i="8"/>
  <c r="G22" i="8"/>
  <c r="H22" i="8"/>
  <c r="I22" i="8"/>
  <c r="J22" i="8"/>
  <c r="K22" i="8"/>
  <c r="L22" i="8"/>
  <c r="M22" i="8"/>
  <c r="N22" i="8"/>
  <c r="O22" i="8"/>
  <c r="P22" i="8"/>
  <c r="Q22" i="8"/>
  <c r="R22" i="8"/>
  <c r="E22" i="8"/>
  <c r="B21" i="8"/>
  <c r="C21" i="8"/>
  <c r="D21" i="8"/>
  <c r="F21" i="8"/>
  <c r="G21" i="8"/>
  <c r="H21" i="8"/>
  <c r="I21" i="8"/>
  <c r="J21" i="8"/>
  <c r="K21" i="8"/>
  <c r="L21" i="8"/>
  <c r="M21" i="8"/>
  <c r="N21" i="8"/>
  <c r="O21" i="8"/>
  <c r="P21" i="8"/>
  <c r="Q21" i="8"/>
  <c r="R21" i="8"/>
  <c r="E21" i="8"/>
  <c r="B20" i="8"/>
  <c r="C20" i="8"/>
  <c r="D20" i="8"/>
  <c r="F20" i="8"/>
  <c r="G20" i="8"/>
  <c r="H20" i="8"/>
  <c r="I20" i="8"/>
  <c r="J20" i="8"/>
  <c r="K20" i="8"/>
  <c r="L20" i="8"/>
  <c r="M20" i="8"/>
  <c r="N20" i="8"/>
  <c r="O20" i="8"/>
  <c r="P20" i="8"/>
  <c r="Q20" i="8"/>
  <c r="R20" i="8"/>
  <c r="E20" i="8"/>
  <c r="B19" i="8"/>
  <c r="C19" i="8"/>
  <c r="D19" i="8"/>
  <c r="F19" i="8"/>
  <c r="G19" i="8"/>
  <c r="H19" i="8"/>
  <c r="I19" i="8"/>
  <c r="J19" i="8"/>
  <c r="K19" i="8"/>
  <c r="L19" i="8"/>
  <c r="M19" i="8"/>
  <c r="N19" i="8"/>
  <c r="O19" i="8"/>
  <c r="P19" i="8"/>
  <c r="Q19" i="8"/>
  <c r="R19" i="8"/>
  <c r="E19" i="8"/>
  <c r="B18" i="8"/>
  <c r="C18" i="8"/>
  <c r="D18" i="8"/>
  <c r="F18" i="8"/>
  <c r="G18" i="8"/>
  <c r="H18" i="8"/>
  <c r="I18" i="8"/>
  <c r="J18" i="8"/>
  <c r="K18" i="8"/>
  <c r="L18" i="8"/>
  <c r="M18" i="8"/>
  <c r="N18" i="8"/>
  <c r="O18" i="8"/>
  <c r="P18" i="8"/>
  <c r="Q18" i="8"/>
  <c r="R18" i="8"/>
  <c r="E18" i="8"/>
  <c r="B17" i="8"/>
  <c r="C17" i="8"/>
  <c r="D17" i="8"/>
  <c r="F17" i="8"/>
  <c r="G17" i="8"/>
  <c r="H17" i="8"/>
  <c r="I17" i="8"/>
  <c r="J17" i="8"/>
  <c r="K17" i="8"/>
  <c r="L17" i="8"/>
  <c r="M17" i="8"/>
  <c r="N17" i="8"/>
  <c r="O17" i="8"/>
  <c r="P17" i="8"/>
  <c r="Q17" i="8"/>
  <c r="R17" i="8"/>
  <c r="E17" i="8"/>
  <c r="B16" i="8"/>
  <c r="C16" i="8"/>
  <c r="D16" i="8"/>
  <c r="F16" i="8"/>
  <c r="G16" i="8"/>
  <c r="H16" i="8"/>
  <c r="I16" i="8"/>
  <c r="J16" i="8"/>
  <c r="K16" i="8"/>
  <c r="L16" i="8"/>
  <c r="M16" i="8"/>
  <c r="N16" i="8"/>
  <c r="O16" i="8"/>
  <c r="P16" i="8"/>
  <c r="Q16" i="8"/>
  <c r="R16" i="8"/>
  <c r="E16" i="8"/>
  <c r="B15" i="8"/>
  <c r="C15" i="8"/>
  <c r="D15" i="8"/>
  <c r="F15" i="8"/>
  <c r="G15" i="8"/>
  <c r="H15" i="8"/>
  <c r="I15" i="8"/>
  <c r="J15" i="8"/>
  <c r="K15" i="8"/>
  <c r="L15" i="8"/>
  <c r="M15" i="8"/>
  <c r="N15" i="8"/>
  <c r="O15" i="8"/>
  <c r="P15" i="8"/>
  <c r="Q15" i="8"/>
  <c r="R15" i="8"/>
  <c r="E15" i="8"/>
  <c r="B14" i="8"/>
  <c r="C14" i="8"/>
  <c r="D14" i="8"/>
  <c r="F14" i="8"/>
  <c r="G14" i="8"/>
  <c r="H14" i="8"/>
  <c r="I14" i="8"/>
  <c r="J14" i="8"/>
  <c r="K14" i="8"/>
  <c r="L14" i="8"/>
  <c r="M14" i="8"/>
  <c r="N14" i="8"/>
  <c r="O14" i="8"/>
  <c r="P14" i="8"/>
  <c r="Q14" i="8"/>
  <c r="R14" i="8"/>
  <c r="E14" i="8"/>
  <c r="B13" i="8"/>
  <c r="C13" i="8"/>
  <c r="D13" i="8"/>
  <c r="F13" i="8"/>
  <c r="G13" i="8"/>
  <c r="H13" i="8"/>
  <c r="I13" i="8"/>
  <c r="J13" i="8"/>
  <c r="K13" i="8"/>
  <c r="L13" i="8"/>
  <c r="M13" i="8"/>
  <c r="N13" i="8"/>
  <c r="O13" i="8"/>
  <c r="P13" i="8"/>
  <c r="Q13" i="8"/>
  <c r="R13" i="8"/>
  <c r="E13" i="8"/>
  <c r="M6" i="4"/>
  <c r="M7" i="4"/>
  <c r="M8" i="4"/>
  <c r="M9" i="4"/>
  <c r="N6" i="4"/>
  <c r="N7" i="4"/>
  <c r="N8" i="4"/>
  <c r="N9" i="4"/>
  <c r="L13" i="4"/>
  <c r="L14" i="4"/>
  <c r="C23" i="7"/>
  <c r="I23" i="7"/>
  <c r="L23" i="7"/>
  <c r="C24" i="7"/>
  <c r="I24" i="7"/>
  <c r="L24" i="7"/>
  <c r="C25" i="7"/>
  <c r="I25" i="7"/>
  <c r="L25" i="7"/>
  <c r="C26" i="7"/>
  <c r="I26" i="7"/>
  <c r="L26" i="7"/>
  <c r="C27" i="7"/>
  <c r="I27" i="7"/>
  <c r="L27" i="7"/>
  <c r="C28" i="7"/>
  <c r="I28" i="7"/>
  <c r="L28" i="7"/>
  <c r="C29" i="7"/>
  <c r="I29" i="7"/>
  <c r="L29" i="7"/>
  <c r="C30" i="7"/>
  <c r="I30" i="7"/>
  <c r="L30" i="7"/>
  <c r="C31" i="7"/>
  <c r="I31" i="7"/>
  <c r="L31" i="7"/>
  <c r="C32" i="7"/>
  <c r="I32" i="7"/>
  <c r="L32" i="7"/>
  <c r="C33" i="7"/>
  <c r="I33" i="7"/>
  <c r="L33" i="7"/>
  <c r="C34" i="7"/>
  <c r="I34" i="7"/>
  <c r="L34" i="7"/>
  <c r="C35" i="7"/>
  <c r="I35" i="7"/>
  <c r="L35" i="7"/>
  <c r="C36" i="7"/>
  <c r="I36" i="7"/>
  <c r="L36" i="7"/>
  <c r="C37" i="7"/>
  <c r="I37" i="7"/>
  <c r="L37" i="7"/>
  <c r="C38" i="7"/>
  <c r="I38" i="7"/>
  <c r="L38" i="7"/>
  <c r="C39" i="7"/>
  <c r="I39" i="7"/>
  <c r="L39" i="7"/>
  <c r="C40" i="7"/>
  <c r="I40" i="7"/>
  <c r="L40" i="7"/>
  <c r="C41" i="7"/>
  <c r="I41" i="7"/>
  <c r="L41" i="7"/>
  <c r="C42" i="7"/>
  <c r="I42" i="7"/>
  <c r="L42" i="7"/>
  <c r="H23" i="7"/>
  <c r="K23" i="7"/>
  <c r="H24" i="7"/>
  <c r="K24" i="7"/>
  <c r="H25" i="7"/>
  <c r="K25" i="7"/>
  <c r="H26" i="7"/>
  <c r="K26" i="7"/>
  <c r="H27" i="7"/>
  <c r="K27" i="7"/>
  <c r="H28" i="7"/>
  <c r="K28" i="7"/>
  <c r="H29" i="7"/>
  <c r="K29" i="7"/>
  <c r="H30" i="7"/>
  <c r="K30" i="7"/>
  <c r="H31" i="7"/>
  <c r="K31" i="7"/>
  <c r="H32" i="7"/>
  <c r="K32" i="7"/>
  <c r="H33" i="7"/>
  <c r="K33" i="7"/>
  <c r="H34" i="7"/>
  <c r="K34" i="7"/>
  <c r="H35" i="7"/>
  <c r="K35" i="7"/>
  <c r="H36" i="7"/>
  <c r="K36" i="7"/>
  <c r="H37" i="7"/>
  <c r="K37" i="7"/>
  <c r="H38" i="7"/>
  <c r="K38" i="7"/>
  <c r="H39" i="7"/>
  <c r="K39" i="7"/>
  <c r="H40" i="7"/>
  <c r="K40" i="7"/>
  <c r="H41" i="7"/>
  <c r="K41" i="7"/>
  <c r="H42" i="7"/>
  <c r="K42" i="7"/>
  <c r="E23" i="7"/>
  <c r="G23" i="7"/>
  <c r="J23" i="7"/>
  <c r="E24" i="7"/>
  <c r="G24" i="7"/>
  <c r="J24" i="7"/>
  <c r="E25" i="7"/>
  <c r="G25" i="7"/>
  <c r="J25" i="7"/>
  <c r="E26" i="7"/>
  <c r="G26" i="7"/>
  <c r="J26" i="7"/>
  <c r="E27" i="7"/>
  <c r="G27" i="7"/>
  <c r="J27" i="7"/>
  <c r="E28" i="7"/>
  <c r="G28" i="7"/>
  <c r="J28" i="7"/>
  <c r="E29" i="7"/>
  <c r="G29" i="7"/>
  <c r="J29" i="7"/>
  <c r="E30" i="7"/>
  <c r="G30" i="7"/>
  <c r="J30" i="7"/>
  <c r="E31" i="7"/>
  <c r="G31" i="7"/>
  <c r="J31" i="7"/>
  <c r="E32" i="7"/>
  <c r="G32" i="7"/>
  <c r="J32" i="7"/>
  <c r="E33" i="7"/>
  <c r="G33" i="7"/>
  <c r="J33" i="7"/>
  <c r="E34" i="7"/>
  <c r="G34" i="7"/>
  <c r="J34" i="7"/>
  <c r="E35" i="7"/>
  <c r="G35" i="7"/>
  <c r="J35" i="7"/>
  <c r="E36" i="7"/>
  <c r="G36" i="7"/>
  <c r="J36" i="7"/>
  <c r="E37" i="7"/>
  <c r="G37" i="7"/>
  <c r="J37" i="7"/>
  <c r="E38" i="7"/>
  <c r="G38" i="7"/>
  <c r="J38" i="7"/>
  <c r="E39" i="7"/>
  <c r="G39" i="7"/>
  <c r="J39" i="7"/>
  <c r="E40" i="7"/>
  <c r="G40" i="7"/>
  <c r="J40" i="7"/>
  <c r="E41" i="7"/>
  <c r="G41" i="7"/>
  <c r="J41" i="7"/>
  <c r="E42" i="7"/>
  <c r="G42" i="7"/>
  <c r="J42" i="7"/>
  <c r="C239" i="3"/>
  <c r="C238" i="3"/>
  <c r="D23" i="7"/>
  <c r="F23" i="7"/>
  <c r="D24" i="7"/>
  <c r="D25" i="7"/>
  <c r="D26" i="7"/>
  <c r="D27" i="7"/>
  <c r="D28" i="7"/>
  <c r="D29" i="7"/>
  <c r="D30" i="7"/>
  <c r="D31" i="7"/>
  <c r="D32" i="7"/>
  <c r="D33" i="7"/>
  <c r="D34" i="7"/>
  <c r="D35" i="7"/>
  <c r="D36" i="7"/>
  <c r="D37" i="7"/>
  <c r="D38" i="7"/>
  <c r="D39" i="7"/>
  <c r="D40" i="7"/>
  <c r="D41" i="7"/>
  <c r="D42" i="7"/>
  <c r="F24" i="7"/>
  <c r="F25" i="7"/>
  <c r="F26" i="7"/>
  <c r="F27" i="7"/>
  <c r="F28" i="7"/>
  <c r="F29" i="7"/>
  <c r="F30" i="7"/>
  <c r="F31" i="7"/>
  <c r="F32" i="7"/>
  <c r="F33" i="7"/>
  <c r="F34" i="7"/>
  <c r="F35" i="7"/>
  <c r="F36" i="7"/>
  <c r="F37" i="7"/>
  <c r="F38" i="7"/>
  <c r="F39" i="7"/>
  <c r="F40" i="7"/>
  <c r="F41" i="7"/>
  <c r="F42" i="7"/>
  <c r="J16" i="7"/>
  <c r="K16" i="7"/>
  <c r="F17" i="7"/>
  <c r="F16" i="7"/>
  <c r="E17" i="7"/>
  <c r="E16" i="7"/>
  <c r="N13" i="4"/>
  <c r="G12" i="7"/>
  <c r="H12" i="7"/>
  <c r="I12" i="7"/>
  <c r="N12" i="4"/>
  <c r="G11" i="7"/>
  <c r="H11" i="7"/>
  <c r="I11" i="7"/>
  <c r="F18" i="7"/>
  <c r="E18" i="7"/>
  <c r="J18" i="7"/>
  <c r="K18" i="7"/>
  <c r="J17" i="7"/>
  <c r="K17" i="7"/>
  <c r="K6" i="4"/>
  <c r="K7" i="4"/>
  <c r="K8" i="4"/>
  <c r="K9" i="4"/>
  <c r="J6" i="4"/>
  <c r="J7" i="4"/>
  <c r="J8" i="4"/>
  <c r="J9" i="4"/>
  <c r="J14" i="4"/>
  <c r="C8" i="6"/>
  <c r="C27" i="4"/>
  <c r="D27" i="4"/>
  <c r="C24" i="4"/>
  <c r="D24" i="4"/>
  <c r="C25" i="4"/>
  <c r="D25" i="4"/>
  <c r="C26" i="4"/>
  <c r="D26" i="4"/>
  <c r="C28" i="4"/>
  <c r="D28" i="4"/>
  <c r="C29" i="4"/>
  <c r="D29" i="4"/>
  <c r="C30" i="4"/>
  <c r="D30" i="4"/>
  <c r="C31" i="4"/>
  <c r="D31" i="4"/>
  <c r="C32" i="4"/>
  <c r="D32" i="4"/>
  <c r="C33" i="4"/>
  <c r="D33" i="4"/>
  <c r="C34" i="4"/>
  <c r="D34" i="4"/>
  <c r="C35" i="4"/>
  <c r="D35" i="4"/>
  <c r="C36" i="4"/>
  <c r="D36" i="4"/>
  <c r="C37" i="4"/>
  <c r="D37" i="4"/>
  <c r="C38" i="4"/>
  <c r="D38" i="4"/>
  <c r="C39" i="4"/>
  <c r="D39" i="4"/>
  <c r="C40" i="4"/>
  <c r="D40" i="4"/>
  <c r="C41" i="4"/>
  <c r="D41" i="4"/>
  <c r="C42" i="4"/>
  <c r="D42" i="4"/>
  <c r="C43" i="4"/>
  <c r="D43" i="4"/>
  <c r="C44" i="4"/>
  <c r="D44" i="4"/>
  <c r="C45" i="4"/>
  <c r="D45" i="4"/>
  <c r="C46" i="4"/>
  <c r="D46" i="4"/>
  <c r="C47" i="4"/>
  <c r="D47" i="4"/>
  <c r="C48" i="4"/>
  <c r="D48" i="4"/>
  <c r="C49" i="4"/>
  <c r="D49" i="4"/>
  <c r="C50" i="4"/>
  <c r="D50" i="4"/>
  <c r="C51" i="4"/>
  <c r="D51" i="4"/>
  <c r="C52" i="4"/>
  <c r="D52" i="4"/>
  <c r="C53" i="4"/>
  <c r="D53" i="4"/>
  <c r="C54" i="4"/>
  <c r="D54" i="4"/>
  <c r="C55" i="4"/>
  <c r="D55" i="4"/>
  <c r="C56" i="4"/>
  <c r="D56" i="4"/>
  <c r="C57" i="4"/>
  <c r="D57"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58" i="4"/>
  <c r="L6" i="4"/>
  <c r="L7" i="4"/>
  <c r="L8" i="4"/>
  <c r="C24" i="6"/>
  <c r="C25" i="6"/>
  <c r="L9" i="4"/>
  <c r="L12" i="4" a="1"/>
  <c r="L12" i="4"/>
  <c r="R8" i="4" a="1"/>
  <c r="R8" i="4"/>
  <c r="Q8" i="4" a="1"/>
  <c r="Q8" i="4"/>
  <c r="S8" i="4"/>
  <c r="R7" i="4" a="1"/>
  <c r="R7" i="4"/>
  <c r="Q7" i="4" a="1"/>
  <c r="Q7" i="4"/>
  <c r="S7" i="4"/>
  <c r="R13" i="4" a="1"/>
  <c r="R13" i="4"/>
  <c r="Q13" i="4" a="1"/>
  <c r="Q13" i="4"/>
  <c r="S13" i="4"/>
  <c r="R12" i="4" a="1"/>
  <c r="R12" i="4"/>
  <c r="Q12" i="4" a="1"/>
  <c r="Q12" i="4"/>
  <c r="S12" i="4"/>
  <c r="R6" i="4" a="1"/>
  <c r="R6" i="4"/>
  <c r="Q6" i="4" a="1"/>
  <c r="Q6" i="4"/>
  <c r="S6" i="4"/>
  <c r="P43" i="7" a="1"/>
  <c r="P43" i="7"/>
  <c r="Q43" i="7" a="1"/>
  <c r="Q43" i="7"/>
  <c r="R43" i="7" a="1"/>
  <c r="R43" i="7"/>
  <c r="S43" i="7" a="1"/>
  <c r="S43" i="7"/>
  <c r="T43" i="7" a="1"/>
  <c r="T43" i="7"/>
  <c r="U43" i="7" a="1"/>
  <c r="U43" i="7"/>
  <c r="V43" i="7" a="1"/>
  <c r="V43" i="7"/>
  <c r="W43" i="7" a="1"/>
  <c r="W43" i="7"/>
  <c r="X43" i="7" a="1"/>
  <c r="X43" i="7"/>
  <c r="P44" i="7" a="1"/>
  <c r="P44" i="7"/>
  <c r="Q44" i="7" a="1"/>
  <c r="Q44" i="7"/>
  <c r="R44" i="7" a="1"/>
  <c r="R44" i="7"/>
  <c r="S44" i="7" a="1"/>
  <c r="S44" i="7"/>
  <c r="T44" i="7" a="1"/>
  <c r="T44" i="7"/>
  <c r="U44" i="7" a="1"/>
  <c r="U44" i="7"/>
  <c r="V44" i="7" a="1"/>
  <c r="V44" i="7"/>
  <c r="W44" i="7" a="1"/>
  <c r="W44" i="7"/>
  <c r="X44" i="7" a="1"/>
  <c r="X44" i="7"/>
  <c r="O44" i="7" a="1"/>
  <c r="O44" i="7"/>
  <c r="O43" i="7" a="1"/>
  <c r="O43" i="7"/>
  <c r="X45" i="7" a="1"/>
  <c r="X45" i="7"/>
  <c r="W45" i="7" a="1"/>
  <c r="W45" i="7"/>
  <c r="V45" i="7" a="1"/>
  <c r="V45" i="7"/>
  <c r="U45" i="7" a="1"/>
  <c r="U45" i="7"/>
  <c r="T45" i="7" a="1"/>
  <c r="T45" i="7"/>
  <c r="S45" i="7" a="1"/>
  <c r="S45" i="7"/>
  <c r="R45" i="7" a="1"/>
  <c r="R45" i="7"/>
  <c r="Q45" i="7" a="1"/>
  <c r="Q45" i="7"/>
  <c r="P45" i="7" a="1"/>
  <c r="P45" i="7"/>
  <c r="O45" i="7" a="1"/>
  <c r="O45" i="7"/>
  <c r="O46" i="7" a="1"/>
  <c r="O46" i="7"/>
  <c r="R46" i="7" a="1"/>
  <c r="R46" i="7"/>
  <c r="S46" i="7" a="1"/>
  <c r="S46" i="7"/>
  <c r="T46" i="7" a="1"/>
  <c r="T46" i="7"/>
  <c r="U46" i="7" a="1"/>
  <c r="U46" i="7"/>
  <c r="V46" i="7" a="1"/>
  <c r="V46" i="7"/>
  <c r="W46" i="7" a="1"/>
  <c r="W46" i="7"/>
  <c r="X46" i="7" a="1"/>
  <c r="X46" i="7"/>
  <c r="Q46" i="7" a="1"/>
  <c r="Q46" i="7"/>
  <c r="P46" i="7" a="1"/>
  <c r="P46" i="7"/>
</calcChain>
</file>

<file path=xl/sharedStrings.xml><?xml version="1.0" encoding="utf-8"?>
<sst xmlns="http://schemas.openxmlformats.org/spreadsheetml/2006/main" count="851" uniqueCount="250">
  <si>
    <t>Time</t>
  </si>
  <si>
    <t>Elixir</t>
  </si>
  <si>
    <t>Barracks</t>
  </si>
  <si>
    <t>Gold Storage</t>
  </si>
  <si>
    <t>Elixir Storage</t>
  </si>
  <si>
    <t>Clan Castle</t>
  </si>
  <si>
    <t>Cannon</t>
  </si>
  <si>
    <t>Mortar</t>
  </si>
  <si>
    <t>Bomb</t>
  </si>
  <si>
    <t>Giant Bomb</t>
  </si>
  <si>
    <t>Air Bomb</t>
  </si>
  <si>
    <t>Hidden Tesla</t>
  </si>
  <si>
    <t>X-Bow</t>
  </si>
  <si>
    <t>Town Hall</t>
  </si>
  <si>
    <t>Building</t>
  </si>
  <si>
    <t>Gold Mine</t>
  </si>
  <si>
    <t>Elixir Collector</t>
  </si>
  <si>
    <t>Dark Elixir Drill</t>
  </si>
  <si>
    <t>Dark Elixir Storage</t>
  </si>
  <si>
    <t>Dark Barracks</t>
  </si>
  <si>
    <t>Army Camps</t>
  </si>
  <si>
    <t>Laboratory</t>
  </si>
  <si>
    <t>Spell Factory</t>
  </si>
  <si>
    <t>Archer Tower</t>
  </si>
  <si>
    <t>Wall</t>
  </si>
  <si>
    <t>Air Defense</t>
  </si>
  <si>
    <t>Spring Trap</t>
  </si>
  <si>
    <t>Wizard Tower</t>
  </si>
  <si>
    <t>Seeking Air Mine</t>
  </si>
  <si>
    <t>Inferno Tower</t>
  </si>
  <si>
    <t>Gold</t>
  </si>
  <si>
    <t>Resource</t>
  </si>
  <si>
    <t>Max Level</t>
  </si>
  <si>
    <t>1</t>
  </si>
  <si>
    <t>2</t>
  </si>
  <si>
    <t>3</t>
  </si>
  <si>
    <t>4</t>
  </si>
  <si>
    <t>5</t>
  </si>
  <si>
    <t>6</t>
  </si>
  <si>
    <t>7</t>
  </si>
  <si>
    <t>8</t>
  </si>
  <si>
    <t>9</t>
  </si>
  <si>
    <t>10</t>
  </si>
  <si>
    <t>11</t>
  </si>
  <si>
    <t>12</t>
  </si>
  <si>
    <t>C1</t>
  </si>
  <si>
    <t>C2</t>
  </si>
  <si>
    <t>C3</t>
  </si>
  <si>
    <t>C4</t>
  </si>
  <si>
    <t>C5</t>
  </si>
  <si>
    <t>C6</t>
  </si>
  <si>
    <t>C7</t>
  </si>
  <si>
    <t>C8</t>
  </si>
  <si>
    <t>C9</t>
  </si>
  <si>
    <t>C10</t>
  </si>
  <si>
    <t>C11</t>
  </si>
  <si>
    <t>C12</t>
  </si>
  <si>
    <t>T1</t>
  </si>
  <si>
    <t>T2</t>
  </si>
  <si>
    <t>T3</t>
  </si>
  <si>
    <t>T4</t>
  </si>
  <si>
    <t>T5</t>
  </si>
  <si>
    <t>T6</t>
  </si>
  <si>
    <t>T7</t>
  </si>
  <si>
    <t>T8</t>
  </si>
  <si>
    <t>T9</t>
  </si>
  <si>
    <t>T10</t>
  </si>
  <si>
    <t>T11</t>
  </si>
  <si>
    <t>T12</t>
  </si>
  <si>
    <t>Sum</t>
  </si>
  <si>
    <t>Next</t>
  </si>
  <si>
    <t>Kind</t>
  </si>
  <si>
    <t>Upgrade</t>
  </si>
  <si>
    <t>L1</t>
  </si>
  <si>
    <t>L2</t>
  </si>
  <si>
    <t>L3</t>
  </si>
  <si>
    <t>L4</t>
  </si>
  <si>
    <t>L5</t>
  </si>
  <si>
    <t>L6</t>
  </si>
  <si>
    <t>L7</t>
  </si>
  <si>
    <t>L8</t>
  </si>
  <si>
    <t>L10</t>
  </si>
  <si>
    <t>L9</t>
  </si>
  <si>
    <t>Barbarian</t>
  </si>
  <si>
    <t>Archer</t>
  </si>
  <si>
    <t>Goblin</t>
  </si>
  <si>
    <t>Giant</t>
  </si>
  <si>
    <t>Wall Breaker</t>
  </si>
  <si>
    <t>Balloon</t>
  </si>
  <si>
    <t>Wizard</t>
  </si>
  <si>
    <t>Healer</t>
  </si>
  <si>
    <t>Dragon</t>
  </si>
  <si>
    <t>P.E.K.K.A.</t>
  </si>
  <si>
    <t>Lightning Spell</t>
  </si>
  <si>
    <t>Healing Spell</t>
  </si>
  <si>
    <t>Rage Spell</t>
  </si>
  <si>
    <t>Jump Spell</t>
  </si>
  <si>
    <t>Freeze Spell</t>
  </si>
  <si>
    <t>Minion</t>
  </si>
  <si>
    <t>Hog Rider</t>
  </si>
  <si>
    <t>Valkyrie</t>
  </si>
  <si>
    <t>Golem</t>
  </si>
  <si>
    <t>Witch</t>
  </si>
  <si>
    <t>Dark Elixir</t>
  </si>
  <si>
    <t>Quantity Available</t>
  </si>
  <si>
    <t>Cost</t>
  </si>
  <si>
    <t>Barbarian King Altar</t>
  </si>
  <si>
    <t>Archer Queen Altar</t>
  </si>
  <si>
    <t>Building or Upgrade</t>
  </si>
  <si>
    <t>TOTAL</t>
  </si>
  <si>
    <t>Builder Huts</t>
  </si>
  <si>
    <t>Available</t>
  </si>
  <si>
    <t>Error</t>
  </si>
  <si>
    <t>Upgradable</t>
  </si>
  <si>
    <t>Invalid Value</t>
  </si>
  <si>
    <t>Key / Legend</t>
  </si>
  <si>
    <t>About</t>
  </si>
  <si>
    <t>Created by Matthew Strax-Haber on a rainy afternoon</t>
  </si>
  <si>
    <t>Acknowledgments</t>
  </si>
  <si>
    <t>This spreadsheet, including but not limited to the data, formulas, and structure contained within, is licensed under the Creative Commons Attribution-Share Alike License 3.0 (Unported) (CC-BY-SA).</t>
  </si>
  <si>
    <t>License &amp; Legal</t>
  </si>
  <si>
    <t>Release Notes</t>
  </si>
  <si>
    <t>Initial Creation</t>
  </si>
  <si>
    <t>Date</t>
  </si>
  <si>
    <t>Change</t>
  </si>
  <si>
    <t xml:space="preserve">Contact me with questions or suggestions: </t>
  </si>
  <si>
    <t>Added locking and protection for tabs</t>
  </si>
  <si>
    <t>** Only modify fields in this red box **</t>
  </si>
  <si>
    <t>"Max" Option</t>
  </si>
  <si>
    <t>Fully Upgraded</t>
  </si>
  <si>
    <t>Maximum Level</t>
  </si>
  <si>
    <t>Not Built/Upgraded</t>
  </si>
  <si>
    <t>** Instructions **</t>
  </si>
  <si>
    <t>Clash of Clans is a trademark of Supercell. This work is neither endorsed by nor affiliated with Supercell.</t>
  </si>
  <si>
    <t>Improved formatting significantly, added upgrades, hero altar buildings, "Next Building" functionality, instructions, a key/legend, this "About" tab with license and acknowledgments, a scratch tab, and a neat table for "remaining" build costs in different categories</t>
  </si>
  <si>
    <t>Based on data from the Clash of Clans Wikia:</t>
  </si>
  <si>
    <t>http://clashofclans.wikia.com/</t>
  </si>
  <si>
    <t>Put anything you want here</t>
  </si>
  <si>
    <t>web+clash@straxhaber.com</t>
  </si>
  <si>
    <t>Total Buildings</t>
  </si>
  <si>
    <t>MatchStr</t>
  </si>
  <si>
    <t>Configuration Options</t>
  </si>
  <si>
    <t>Type</t>
  </si>
  <si>
    <t>TODO</t>
  </si>
  <si>
    <t>Skip these buildings/upgrades in calculations</t>
  </si>
  <si>
    <t>&lt;-- set to the number of builder huts you currently have</t>
  </si>
  <si>
    <t>Future Work</t>
  </si>
  <si>
    <t>Idea</t>
  </si>
  <si>
    <t>Total Cost</t>
  </si>
  <si>
    <t>Calculate Army damage and XP</t>
  </si>
  <si>
    <t>Unit</t>
  </si>
  <si>
    <t>Spell</t>
  </si>
  <si>
    <t>Level</t>
  </si>
  <si>
    <t>Name</t>
  </si>
  <si>
    <t>Implement availability check based on barracks level</t>
  </si>
  <si>
    <t>Train Time</t>
  </si>
  <si>
    <t>Space</t>
  </si>
  <si>
    <t>Total Time</t>
  </si>
  <si>
    <t>Total Space</t>
  </si>
  <si>
    <t>Upgrades</t>
  </si>
  <si>
    <t>Army Costs</t>
  </si>
  <si>
    <t>Army Camp Capacity</t>
  </si>
  <si>
    <t>Town Hall Level</t>
  </si>
  <si>
    <t>Capacity</t>
  </si>
  <si>
    <t>Not Available or Zero Calculated Value</t>
  </si>
  <si>
    <t>Other Statistics</t>
  </si>
  <si>
    <t>Raid log (resources gained, troops used, etc)</t>
  </si>
  <si>
    <t>Added "skip builds/upgrades" functionality; fixed formatting bug; created army value and build time calculator</t>
  </si>
  <si>
    <t>1. Don't modify anything besides the values in the red box to the below-right.
2. In the red box, quickly mark the quantity of each item you have at each level.
3. At the top of the red box, set # of builder huts.
4. Check out the optional "Max" option and "skip list" at the top of the red box.
5. Again, there is no need to modify anything else!
6. Explore all of the data that is available! Try using Excel's sorting and filters as well.</t>
  </si>
  <si>
    <t>An up-to-date version of this spreadsheet can be found here:</t>
  </si>
  <si>
    <t>Charity: Feeding America, the United Nations Foundation, or NPR</t>
  </si>
  <si>
    <t>Additional Contributors</t>
  </si>
  <si>
    <t>PayPal</t>
  </si>
  <si>
    <t>https://www.paypal.com/cgi-bin/webscr?cmd=_s-xclick&amp;hosted_button_id=ME85YXLE2WPCJ</t>
  </si>
  <si>
    <t>If you donate, please send me a note to let me know!</t>
  </si>
  <si>
    <t>Bitcoin</t>
  </si>
  <si>
    <t>1HJucnNZbZgTZF9Npg8BkYYRSuhipejUcf</t>
  </si>
  <si>
    <t>Used</t>
  </si>
  <si>
    <t>Left</t>
  </si>
  <si>
    <t>Spell Capacity</t>
  </si>
  <si>
    <t>Army Capacity</t>
  </si>
  <si>
    <t>Item Type</t>
  </si>
  <si>
    <t>Army Space</t>
  </si>
  <si>
    <t>Time for Construction (in minutes)</t>
  </si>
  <si>
    <t>per Building</t>
  </si>
  <si>
    <t>Army Cost</t>
  </si>
  <si>
    <t>User Input</t>
  </si>
  <si>
    <t>More Units/Spells Available</t>
  </si>
  <si>
    <t>Contributions to my 'gem' fund can be sent via:</t>
  </si>
  <si>
    <t>Config</t>
  </si>
  <si>
    <t>*** BUILDINGS ***</t>
  </si>
  <si>
    <t>*** UPGRADES ***</t>
  </si>
  <si>
    <t>Actionables</t>
  </si>
  <si>
    <t>Boolean</t>
  </si>
  <si>
    <t>(Put your name here) (NOTE: you can select and modify this box)</t>
  </si>
  <si>
    <t>Unit Set</t>
  </si>
  <si>
    <t>Num</t>
  </si>
  <si>
    <t>Attack Set</t>
  </si>
  <si>
    <t>Quantities per Attack Set</t>
  </si>
  <si>
    <t>1. Enter quantitiesf for an "Attack Set" in the big orange box
2. Type the name of the "Attack Set" to analyze in the orange box
2. View the calculated values in the tables</t>
  </si>
  <si>
    <t xml:space="preserve">     </t>
  </si>
  <si>
    <t xml:space="preserve">      </t>
  </si>
  <si>
    <t xml:space="preserve">       </t>
  </si>
  <si>
    <t>LastUsed</t>
  </si>
  <si>
    <t>Remaining to Complete Level:</t>
  </si>
  <si>
    <t>Days</t>
  </si>
  <si>
    <t>Cheapest non-wall building action:</t>
  </si>
  <si>
    <t>Cheapest upgrade:</t>
  </si>
  <si>
    <t>See the "About" tab for more information</t>
  </si>
  <si>
    <t>Possible uses for this space:
 - Raid stats/records
 - Grocery list
 - Love letters
 - Money spent on Clash of Clans (if applicable)
 - Build orders
 - If you want me to include a new sheet, this is a great place to demo it</t>
  </si>
  <si>
    <t>Elix/Gold Needed</t>
  </si>
  <si>
    <t># Dark Barracks</t>
  </si>
  <si>
    <t>Days/builder</t>
  </si>
  <si>
    <t>Total Days</t>
  </si>
  <si>
    <t>&lt;-- set TRUE to see amount left to max EVERYTHING (excluding skipped items)</t>
  </si>
  <si>
    <t>G+Healers</t>
  </si>
  <si>
    <t>War</t>
  </si>
  <si>
    <t>WarSaver</t>
  </si>
  <si>
    <t>Total Elixir</t>
  </si>
  <si>
    <t>Elixir for Units</t>
  </si>
  <si>
    <t>Elixir for Spells</t>
  </si>
  <si>
    <t>Cheapo</t>
  </si>
  <si>
    <t>RageT1</t>
  </si>
  <si>
    <t>Farming</t>
  </si>
  <si>
    <t>Include Hero Upgrades</t>
  </si>
  <si>
    <t>Barbarian King</t>
  </si>
  <si>
    <t>Witch Queen</t>
  </si>
  <si>
    <t>&lt;-- set to the level of your Barbarian King (0 if you don't have one)</t>
  </si>
  <si>
    <t>&lt;-- set to the level of your Witch Queen (0 if you don't have one)</t>
  </si>
  <si>
    <t>Hero Upgrades</t>
  </si>
  <si>
    <t>Archer Queen</t>
  </si>
  <si>
    <t>*** HEROES ***</t>
  </si>
  <si>
    <t>Time Remaining</t>
  </si>
  <si>
    <t>Cost Remaining</t>
  </si>
  <si>
    <t>Hero Upgrade</t>
  </si>
  <si>
    <t>Hero</t>
  </si>
  <si>
    <t>CurrentLevel</t>
  </si>
  <si>
    <t>MaxLevel</t>
  </si>
  <si>
    <t>Upgradeable</t>
  </si>
  <si>
    <t>BK</t>
  </si>
  <si>
    <t>AQ</t>
  </si>
  <si>
    <t>Lookup Key</t>
  </si>
  <si>
    <t>BK-Cost</t>
  </si>
  <si>
    <t>BK-Time</t>
  </si>
  <si>
    <t>AQ-Cost</t>
  </si>
  <si>
    <t>AQ-Time</t>
  </si>
  <si>
    <t>Hero Level</t>
  </si>
  <si>
    <t># Barracks</t>
  </si>
  <si>
    <t>Lab Level</t>
  </si>
  <si>
    <t>Incorporated changes from 2014-07-03 COC Update (v6.186.1), Added links to GitHub, etc.; corrected army space calculation; created separate tables for army build time and cost; added instructions for army calc tab; added basic validation; implemented attack 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</si>
</sst>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 ???/???"/>
    <numFmt numFmtId="165" formatCode="yyyy\-mm\-dd"/>
    <numFmt numFmtId="166" formatCode="0.0%"/>
    <numFmt numFmtId="167" formatCode="#\ ??/60"/>
    <numFmt numFmtId="168" formatCode="#\ ??/24"/>
  </numFmts>
  <fonts count="21"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b/>
      <sz val="24"/>
      <color theme="4"/>
      <name val="Calibri"/>
      <scheme val="minor"/>
    </font>
    <font>
      <sz val="12"/>
      <color indexed="8"/>
      <name val="Calibri"/>
      <family val="2"/>
    </font>
    <font>
      <b/>
      <sz val="12"/>
      <color theme="1"/>
      <name val="Calibri"/>
      <family val="2"/>
      <scheme val="minor"/>
    </font>
    <font>
      <sz val="8"/>
      <name val="Calibri"/>
      <family val="2"/>
      <scheme val="minor"/>
    </font>
    <font>
      <sz val="12"/>
      <color rgb="FFFFFF00"/>
      <name val="Calibri"/>
      <family val="2"/>
      <scheme val="minor"/>
    </font>
    <font>
      <b/>
      <strike/>
      <u val="double"/>
      <sz val="12"/>
      <color rgb="FFFF0000"/>
      <name val="Calibri"/>
      <family val="2"/>
      <scheme val="minor"/>
    </font>
    <font>
      <sz val="12"/>
      <color theme="9" tint="-0.499984740745262"/>
      <name val="Calibri"/>
      <scheme val="minor"/>
    </font>
    <font>
      <b/>
      <sz val="12"/>
      <color rgb="FF000000"/>
      <name val="Calibri"/>
      <family val="2"/>
      <scheme val="minor"/>
    </font>
    <font>
      <sz val="12"/>
      <color rgb="FF3F3F76"/>
      <name val="Calibri"/>
      <family val="2"/>
      <scheme val="minor"/>
    </font>
    <font>
      <sz val="12"/>
      <color rgb="FF000000"/>
      <name val="Calibri"/>
      <family val="2"/>
      <scheme val="minor"/>
    </font>
    <font>
      <b/>
      <sz val="24"/>
      <color rgb="FF4F81BD"/>
      <name val="Calibri"/>
      <scheme val="minor"/>
    </font>
    <font>
      <b/>
      <i/>
      <sz val="14"/>
      <color theme="1"/>
      <name val="Calibri"/>
      <scheme val="minor"/>
    </font>
    <font>
      <b/>
      <i/>
      <sz val="12"/>
      <color theme="1"/>
      <name val="Calibri"/>
      <scheme val="minor"/>
    </font>
    <font>
      <sz val="18"/>
      <color theme="1"/>
      <name val="Calibri"/>
      <scheme val="minor"/>
    </font>
    <font>
      <b/>
      <sz val="18"/>
      <color theme="1"/>
      <name val="Calibri"/>
      <scheme val="minor"/>
    </font>
    <font>
      <b/>
      <sz val="18"/>
      <color rgb="FF3F3F76"/>
      <name val="Calibri"/>
      <scheme val="minor"/>
    </font>
  </fonts>
  <fills count="15">
    <fill>
      <patternFill patternType="none"/>
    </fill>
    <fill>
      <patternFill patternType="gray125"/>
    </fill>
    <fill>
      <patternFill patternType="solid">
        <fgColor theme="8" tint="0.39997558519241921"/>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tint="-0.14999847407452621"/>
        <bgColor indexed="64"/>
      </patternFill>
    </fill>
    <fill>
      <patternFill patternType="solid">
        <fgColor theme="0"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rgb="FFD9D9D9"/>
        <bgColor rgb="FF000000"/>
      </patternFill>
    </fill>
    <fill>
      <patternFill patternType="solid">
        <fgColor rgb="FFFFCC99"/>
      </patternFill>
    </fill>
    <fill>
      <patternFill patternType="solid">
        <fgColor rgb="FFE6B8B7"/>
        <bgColor rgb="FF000000"/>
      </patternFill>
    </fill>
    <fill>
      <patternFill patternType="solid">
        <fgColor theme="3" tint="0.79998168889431442"/>
        <bgColor indexed="64"/>
      </patternFill>
    </fill>
    <fill>
      <patternFill patternType="solid">
        <fgColor theme="3" tint="0.79998168889431442"/>
        <bgColor auto="1"/>
      </patternFill>
    </fill>
  </fills>
  <borders count="80">
    <border>
      <left/>
      <right/>
      <top/>
      <bottom/>
      <diagonal/>
    </border>
    <border>
      <left/>
      <right style="thin">
        <color auto="1"/>
      </right>
      <top/>
      <bottom style="thin">
        <color auto="1"/>
      </bottom>
      <diagonal/>
    </border>
    <border>
      <left style="thick">
        <color auto="1"/>
      </left>
      <right/>
      <top/>
      <bottom/>
      <diagonal/>
    </border>
    <border>
      <left/>
      <right style="thick">
        <color auto="1"/>
      </right>
      <top/>
      <bottom/>
      <diagonal/>
    </border>
    <border>
      <left style="medium">
        <color auto="1"/>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style="thin">
        <color auto="1"/>
      </top>
      <bottom/>
      <diagonal/>
    </border>
    <border>
      <left style="thin">
        <color auto="1"/>
      </left>
      <right/>
      <top/>
      <bottom style="thick">
        <color auto="1"/>
      </bottom>
      <diagonal/>
    </border>
    <border>
      <left style="thick">
        <color auto="1"/>
      </left>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n">
        <color auto="1"/>
      </left>
      <right/>
      <top style="thick">
        <color auto="1"/>
      </top>
      <bottom style="thin">
        <color auto="1"/>
      </bottom>
      <diagonal/>
    </border>
    <border>
      <left style="thick">
        <color auto="1"/>
      </left>
      <right style="thin">
        <color auto="1"/>
      </right>
      <top style="thick">
        <color auto="1"/>
      </top>
      <bottom style="thin">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right style="thick">
        <color auto="1"/>
      </right>
      <top style="thin">
        <color auto="1"/>
      </top>
      <bottom style="thick">
        <color auto="1"/>
      </bottom>
      <diagonal/>
    </border>
    <border>
      <left/>
      <right style="thick">
        <color auto="1"/>
      </right>
      <top/>
      <bottom style="thin">
        <color auto="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bottom/>
      <diagonal/>
    </border>
    <border>
      <left style="thick">
        <color rgb="FFFF0000"/>
      </left>
      <right style="thin">
        <color auto="1"/>
      </right>
      <top style="thin">
        <color auto="1"/>
      </top>
      <bottom style="thin">
        <color auto="1"/>
      </bottom>
      <diagonal/>
    </border>
    <border>
      <left style="thick">
        <color rgb="FFFF0000"/>
      </left>
      <right style="thin">
        <color auto="1"/>
      </right>
      <top style="thin">
        <color auto="1"/>
      </top>
      <bottom style="thick">
        <color rgb="FFFF0000"/>
      </bottom>
      <diagonal/>
    </border>
    <border>
      <left style="thick">
        <color rgb="FFFF0000"/>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rgb="FFFF0000"/>
      </right>
      <top/>
      <bottom style="thin">
        <color auto="1"/>
      </bottom>
      <diagonal/>
    </border>
    <border>
      <left/>
      <right/>
      <top style="thick">
        <color auto="1"/>
      </top>
      <bottom style="thin">
        <color auto="1"/>
      </bottom>
      <diagonal/>
    </border>
    <border>
      <left style="thin">
        <color auto="1"/>
      </left>
      <right style="thick">
        <color auto="1"/>
      </right>
      <top style="thin">
        <color auto="1"/>
      </top>
      <bottom/>
      <diagonal/>
    </border>
    <border>
      <left/>
      <right style="thick">
        <color rgb="FF000000"/>
      </right>
      <top style="thick">
        <color auto="1"/>
      </top>
      <bottom style="thick">
        <color auto="1"/>
      </bottom>
      <diagonal/>
    </border>
    <border>
      <left style="thick">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ck">
        <color auto="1"/>
      </top>
      <bottom style="thin">
        <color auto="1"/>
      </bottom>
      <diagonal/>
    </border>
    <border>
      <left style="thick">
        <color rgb="FFFF0000"/>
      </left>
      <right/>
      <top style="thick">
        <color auto="1"/>
      </top>
      <bottom style="thick">
        <color auto="1"/>
      </bottom>
      <diagonal/>
    </border>
    <border>
      <left/>
      <right style="thick">
        <color rgb="FFFF0000"/>
      </right>
      <top style="thick">
        <color auto="1"/>
      </top>
      <bottom style="thick">
        <color auto="1"/>
      </bottom>
      <diagonal/>
    </border>
    <border>
      <left style="thick">
        <color auto="1"/>
      </left>
      <right style="thick">
        <color auto="1"/>
      </right>
      <top/>
      <bottom/>
      <diagonal/>
    </border>
    <border>
      <left style="thin">
        <color auto="1"/>
      </left>
      <right style="thin">
        <color auto="1"/>
      </right>
      <top style="thin">
        <color auto="1"/>
      </top>
      <bottom style="thick">
        <color auto="1"/>
      </bottom>
      <diagonal/>
    </border>
    <border>
      <left style="thin">
        <color auto="1"/>
      </left>
      <right style="thick">
        <color rgb="FFFF0000"/>
      </right>
      <top style="thin">
        <color auto="1"/>
      </top>
      <bottom style="thick">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ck">
        <color auto="1"/>
      </bottom>
      <diagonal/>
    </border>
    <border>
      <left style="thin">
        <color auto="1"/>
      </left>
      <right/>
      <top/>
      <bottom style="thick">
        <color rgb="FFFF0000"/>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right style="thin">
        <color auto="1"/>
      </right>
      <top style="thin">
        <color auto="1"/>
      </top>
      <bottom/>
      <diagonal/>
    </border>
    <border>
      <left/>
      <right style="thin">
        <color auto="1"/>
      </right>
      <top/>
      <bottom style="thick">
        <color auto="1"/>
      </bottom>
      <diagonal/>
    </border>
    <border>
      <left style="thin">
        <color auto="1"/>
      </left>
      <right style="thick">
        <color auto="1"/>
      </right>
      <top style="thick">
        <color auto="1"/>
      </top>
      <bottom style="thin">
        <color auto="1"/>
      </bottom>
      <diagonal/>
    </border>
    <border>
      <left style="thin">
        <color auto="1"/>
      </left>
      <right/>
      <top style="thick">
        <color rgb="FFFF0000"/>
      </top>
      <bottom/>
      <diagonal/>
    </border>
    <border>
      <left style="thin">
        <color auto="1"/>
      </left>
      <right/>
      <top/>
      <bottom style="thin">
        <color auto="1"/>
      </bottom>
      <diagonal/>
    </border>
    <border>
      <left style="thick">
        <color rgb="FFFF0000"/>
      </left>
      <right style="thin">
        <color auto="1"/>
      </right>
      <top style="thick">
        <color rgb="FFFF0000"/>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rgb="FFFF0000"/>
      </left>
      <right style="thin">
        <color auto="1"/>
      </right>
      <top style="thick">
        <color auto="1"/>
      </top>
      <bottom style="thin">
        <color auto="1"/>
      </bottom>
      <diagonal/>
    </border>
    <border>
      <left style="thick">
        <color rgb="FFFF0000"/>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s>
  <cellStyleXfs count="107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3" fillId="11" borderId="51"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91">
    <xf numFmtId="0" fontId="0" fillId="0" borderId="0" xfId="0"/>
    <xf numFmtId="0" fontId="4" fillId="0" borderId="11" xfId="0" applyFont="1" applyBorder="1" applyAlignment="1" applyProtection="1">
      <alignment horizontal="center"/>
      <protection locked="0"/>
    </xf>
    <xf numFmtId="0" fontId="4" fillId="0" borderId="0" xfId="0" applyFont="1" applyBorder="1" applyAlignment="1" applyProtection="1">
      <alignment horizontal="center"/>
      <protection locked="0"/>
    </xf>
    <xf numFmtId="0" fontId="4" fillId="0" borderId="12" xfId="0" applyFont="1" applyBorder="1" applyAlignment="1" applyProtection="1">
      <alignment horizontal="center"/>
      <protection locked="0"/>
    </xf>
    <xf numFmtId="0" fontId="4" fillId="0" borderId="0" xfId="0" applyNumberFormat="1" applyFont="1" applyBorder="1" applyAlignment="1" applyProtection="1">
      <alignment horizontal="center"/>
      <protection locked="0"/>
    </xf>
    <xf numFmtId="0" fontId="4" fillId="0" borderId="11" xfId="0" applyNumberFormat="1" applyFont="1" applyBorder="1" applyAlignment="1" applyProtection="1">
      <alignment horizontal="center"/>
      <protection locked="0"/>
    </xf>
    <xf numFmtId="0" fontId="4" fillId="0" borderId="13" xfId="0" applyNumberFormat="1" applyFont="1" applyBorder="1" applyAlignment="1" applyProtection="1">
      <alignment horizontal="center"/>
      <protection locked="0"/>
    </xf>
    <xf numFmtId="0" fontId="4" fillId="0" borderId="14" xfId="0" applyNumberFormat="1" applyFont="1" applyBorder="1" applyAlignment="1" applyProtection="1">
      <alignment horizontal="center"/>
      <protection locked="0"/>
    </xf>
    <xf numFmtId="0" fontId="4" fillId="0" borderId="14" xfId="0" applyFont="1" applyBorder="1" applyAlignment="1" applyProtection="1">
      <alignment horizontal="center"/>
      <protection locked="0"/>
    </xf>
    <xf numFmtId="0" fontId="4" fillId="0" borderId="15" xfId="0" applyFont="1" applyBorder="1" applyAlignment="1" applyProtection="1">
      <alignment horizontal="center"/>
      <protection locked="0"/>
    </xf>
    <xf numFmtId="0" fontId="7" fillId="5" borderId="31" xfId="0" applyFont="1" applyFill="1" applyBorder="1" applyAlignment="1" applyProtection="1">
      <protection hidden="1"/>
    </xf>
    <xf numFmtId="0" fontId="7" fillId="5" borderId="33" xfId="0" applyFont="1" applyFill="1" applyBorder="1" applyAlignment="1" applyProtection="1">
      <protection hidden="1"/>
    </xf>
    <xf numFmtId="0" fontId="7" fillId="0" borderId="32" xfId="0" applyFont="1" applyBorder="1" applyAlignment="1" applyProtection="1">
      <alignment horizontal="center"/>
      <protection hidden="1"/>
    </xf>
    <xf numFmtId="0" fontId="7" fillId="0" borderId="34" xfId="0" applyFont="1" applyBorder="1" applyAlignment="1" applyProtection="1">
      <alignment horizontal="center"/>
      <protection hidden="1"/>
    </xf>
    <xf numFmtId="0" fontId="12" fillId="10" borderId="50" xfId="0" applyFont="1" applyFill="1" applyBorder="1" applyProtection="1">
      <protection hidden="1"/>
    </xf>
    <xf numFmtId="0" fontId="12" fillId="0" borderId="3" xfId="0" applyFont="1" applyBorder="1" applyAlignment="1" applyProtection="1">
      <alignment horizontal="center"/>
      <protection hidden="1"/>
    </xf>
    <xf numFmtId="166" fontId="7" fillId="0" borderId="34" xfId="0" applyNumberFormat="1" applyFont="1" applyBorder="1" applyAlignment="1" applyProtection="1">
      <alignment horizontal="center"/>
      <protection hidden="1"/>
    </xf>
    <xf numFmtId="0" fontId="7" fillId="5" borderId="50" xfId="0" applyFont="1" applyFill="1" applyBorder="1" applyAlignment="1" applyProtection="1">
      <protection hidden="1"/>
    </xf>
    <xf numFmtId="0" fontId="7" fillId="0" borderId="41" xfId="0" applyFont="1" applyBorder="1" applyAlignment="1" applyProtection="1">
      <alignment horizontal="center"/>
      <protection hidden="1"/>
    </xf>
    <xf numFmtId="0" fontId="12" fillId="0" borderId="34" xfId="0" applyFont="1" applyBorder="1" applyAlignment="1" applyProtection="1">
      <alignment horizontal="center"/>
      <protection hidden="1"/>
    </xf>
    <xf numFmtId="0" fontId="0" fillId="3" borderId="58" xfId="0" applyFont="1" applyFill="1" applyBorder="1" applyAlignment="1" applyProtection="1">
      <alignment horizontal="left"/>
      <protection locked="0"/>
    </xf>
    <xf numFmtId="0" fontId="0" fillId="3" borderId="45" xfId="0" applyFont="1" applyFill="1" applyBorder="1" applyAlignment="1" applyProtection="1">
      <alignment horizontal="left"/>
      <protection locked="0"/>
    </xf>
    <xf numFmtId="0" fontId="0" fillId="3" borderId="46" xfId="0" applyFont="1" applyFill="1" applyBorder="1" applyAlignment="1" applyProtection="1">
      <alignment horizontal="left"/>
      <protection locked="0"/>
    </xf>
    <xf numFmtId="0" fontId="0" fillId="4" borderId="59" xfId="0" applyFont="1" applyFill="1" applyBorder="1" applyAlignment="1" applyProtection="1">
      <alignment horizontal="left"/>
      <protection locked="0"/>
    </xf>
    <xf numFmtId="0" fontId="0" fillId="4" borderId="56" xfId="0" applyFont="1" applyFill="1" applyBorder="1" applyAlignment="1" applyProtection="1">
      <alignment horizontal="left"/>
      <protection locked="0"/>
    </xf>
    <xf numFmtId="0" fontId="0" fillId="4" borderId="57" xfId="0" applyFont="1" applyFill="1" applyBorder="1" applyAlignment="1" applyProtection="1">
      <alignment horizontal="left"/>
      <protection locked="0"/>
    </xf>
    <xf numFmtId="0" fontId="0" fillId="0" borderId="0" xfId="0" applyProtection="1"/>
    <xf numFmtId="0" fontId="3" fillId="6" borderId="30" xfId="0" applyFont="1" applyFill="1" applyBorder="1" applyProtection="1"/>
    <xf numFmtId="0" fontId="3" fillId="5" borderId="29" xfId="0" applyFont="1" applyFill="1" applyBorder="1" applyProtection="1"/>
    <xf numFmtId="0" fontId="3" fillId="5" borderId="47" xfId="0" applyFont="1" applyFill="1" applyBorder="1" applyProtection="1"/>
    <xf numFmtId="0" fontId="3" fillId="5" borderId="38" xfId="0" applyFont="1" applyFill="1" applyBorder="1" applyProtection="1"/>
    <xf numFmtId="0" fontId="3" fillId="5" borderId="16" xfId="0" applyFont="1" applyFill="1" applyBorder="1" applyProtection="1"/>
    <xf numFmtId="0" fontId="3" fillId="5" borderId="17" xfId="0" applyFont="1" applyFill="1" applyBorder="1" applyProtection="1"/>
    <xf numFmtId="0" fontId="3" fillId="5" borderId="2" xfId="0" applyFont="1" applyFill="1" applyBorder="1" applyProtection="1"/>
    <xf numFmtId="38" fontId="0" fillId="0" borderId="5" xfId="0" applyNumberFormat="1" applyFont="1" applyBorder="1" applyProtection="1"/>
    <xf numFmtId="38" fontId="0" fillId="0" borderId="6" xfId="0" applyNumberFormat="1" applyFont="1" applyBorder="1" applyProtection="1"/>
    <xf numFmtId="164" fontId="0" fillId="0" borderId="24" xfId="0" applyNumberFormat="1" applyFont="1" applyBorder="1" applyAlignment="1" applyProtection="1">
      <alignment horizontal="right"/>
    </xf>
    <xf numFmtId="0" fontId="0" fillId="0" borderId="5" xfId="0" applyFont="1" applyBorder="1" applyProtection="1"/>
    <xf numFmtId="38" fontId="0" fillId="0" borderId="7" xfId="0" applyNumberFormat="1" applyFont="1" applyBorder="1" applyProtection="1"/>
    <xf numFmtId="38" fontId="0" fillId="0" borderId="0" xfId="0" applyNumberFormat="1" applyFont="1" applyBorder="1" applyProtection="1"/>
    <xf numFmtId="164" fontId="0" fillId="0" borderId="3" xfId="0" applyNumberFormat="1" applyFont="1" applyBorder="1" applyAlignment="1" applyProtection="1">
      <alignment horizontal="right"/>
    </xf>
    <xf numFmtId="0" fontId="0" fillId="0" borderId="7" xfId="0" applyFont="1" applyBorder="1" applyProtection="1"/>
    <xf numFmtId="0" fontId="3" fillId="5" borderId="18" xfId="0" applyFont="1" applyFill="1" applyBorder="1" applyProtection="1"/>
    <xf numFmtId="0" fontId="0" fillId="0" borderId="25" xfId="0" applyFont="1" applyBorder="1" applyProtection="1"/>
    <xf numFmtId="38" fontId="0" fillId="0" borderId="19" xfId="0" applyNumberFormat="1" applyFont="1" applyBorder="1" applyProtection="1"/>
    <xf numFmtId="164" fontId="0" fillId="0" borderId="20" xfId="0" applyNumberFormat="1" applyFont="1" applyBorder="1" applyAlignment="1" applyProtection="1">
      <alignment horizontal="right"/>
    </xf>
    <xf numFmtId="0" fontId="3" fillId="6" borderId="26" xfId="0" applyFont="1" applyFill="1" applyBorder="1" applyProtection="1"/>
    <xf numFmtId="38" fontId="0" fillId="5" borderId="27" xfId="0" applyNumberFormat="1" applyFont="1" applyFill="1" applyBorder="1" applyProtection="1"/>
    <xf numFmtId="38" fontId="0" fillId="5" borderId="28" xfId="0" applyNumberFormat="1" applyFont="1" applyFill="1" applyBorder="1" applyProtection="1"/>
    <xf numFmtId="0" fontId="0" fillId="7" borderId="0" xfId="0" applyFill="1" applyProtection="1"/>
    <xf numFmtId="0" fontId="0" fillId="0" borderId="0" xfId="0" applyBorder="1" applyAlignment="1" applyProtection="1">
      <alignment wrapText="1"/>
    </xf>
    <xf numFmtId="0" fontId="0" fillId="3" borderId="44" xfId="0" applyNumberFormat="1" applyFont="1" applyFill="1" applyBorder="1" applyAlignment="1" applyProtection="1">
      <alignment horizontal="center"/>
    </xf>
    <xf numFmtId="0" fontId="11" fillId="2" borderId="42" xfId="0" applyFont="1" applyFill="1" applyBorder="1" applyAlignment="1" applyProtection="1">
      <alignment horizontal="center"/>
    </xf>
    <xf numFmtId="0" fontId="0" fillId="8" borderId="42" xfId="0" applyFont="1" applyFill="1" applyBorder="1" applyAlignment="1" applyProtection="1">
      <alignment horizontal="center"/>
    </xf>
    <xf numFmtId="0" fontId="9" fillId="7" borderId="42" xfId="0" applyFont="1" applyFill="1" applyBorder="1" applyAlignment="1" applyProtection="1">
      <alignment horizontal="center"/>
    </xf>
    <xf numFmtId="0" fontId="10" fillId="8" borderId="43" xfId="0" applyFont="1" applyFill="1" applyBorder="1" applyAlignment="1" applyProtection="1">
      <alignment horizontal="center"/>
    </xf>
    <xf numFmtId="0" fontId="7" fillId="0" borderId="0" xfId="0" applyFont="1" applyProtection="1"/>
    <xf numFmtId="0" fontId="7" fillId="7" borderId="0" xfId="0" applyFont="1" applyFill="1" applyProtection="1"/>
    <xf numFmtId="0" fontId="7" fillId="0" borderId="11" xfId="0" applyFont="1" applyBorder="1" applyProtection="1"/>
    <xf numFmtId="0" fontId="7" fillId="0" borderId="0" xfId="0" applyFont="1" applyBorder="1" applyProtection="1"/>
    <xf numFmtId="0" fontId="7" fillId="0" borderId="12" xfId="0" applyFont="1" applyBorder="1" applyProtection="1"/>
    <xf numFmtId="0" fontId="4" fillId="0" borderId="0" xfId="0" applyFont="1" applyProtection="1"/>
    <xf numFmtId="0" fontId="4" fillId="7" borderId="0" xfId="0" applyFont="1" applyFill="1" applyProtection="1"/>
    <xf numFmtId="0" fontId="4" fillId="0" borderId="0" xfId="0" applyFont="1" applyAlignment="1" applyProtection="1">
      <alignment horizontal="center"/>
    </xf>
    <xf numFmtId="0" fontId="4" fillId="0" borderId="0" xfId="0" applyNumberFormat="1" applyFont="1" applyBorder="1" applyAlignment="1" applyProtection="1">
      <alignment horizontal="center"/>
    </xf>
    <xf numFmtId="0" fontId="4" fillId="0" borderId="0" xfId="0" applyNumberFormat="1" applyFont="1" applyProtection="1"/>
    <xf numFmtId="0" fontId="4" fillId="7" borderId="0" xfId="0" applyNumberFormat="1" applyFont="1" applyFill="1" applyProtection="1"/>
    <xf numFmtId="0" fontId="4" fillId="0" borderId="0" xfId="0" applyNumberFormat="1" applyFont="1" applyAlignment="1" applyProtection="1">
      <alignment horizontal="center"/>
    </xf>
    <xf numFmtId="0" fontId="4" fillId="0" borderId="0" xfId="0" applyFont="1" applyBorder="1" applyProtection="1"/>
    <xf numFmtId="0" fontId="4" fillId="7" borderId="0" xfId="0" applyFont="1" applyFill="1" applyBorder="1" applyProtection="1"/>
    <xf numFmtId="0" fontId="14" fillId="0" borderId="0" xfId="0" applyFont="1" applyProtection="1"/>
    <xf numFmtId="38" fontId="0" fillId="0" borderId="0" xfId="0" applyNumberFormat="1" applyProtection="1"/>
    <xf numFmtId="3" fontId="0" fillId="0" borderId="0" xfId="0" applyNumberFormat="1" applyProtection="1"/>
    <xf numFmtId="0" fontId="0" fillId="0" borderId="0" xfId="0" applyNumberFormat="1" applyProtection="1"/>
    <xf numFmtId="0" fontId="0" fillId="0" borderId="0" xfId="0" applyBorder="1" applyProtection="1"/>
    <xf numFmtId="0" fontId="0" fillId="0" borderId="0" xfId="0" applyNumberFormat="1" applyBorder="1" applyProtection="1"/>
    <xf numFmtId="38" fontId="0" fillId="0" borderId="0" xfId="0" applyNumberFormat="1" applyBorder="1" applyProtection="1"/>
    <xf numFmtId="3" fontId="0" fillId="0" borderId="0" xfId="0" applyNumberFormat="1" applyBorder="1" applyProtection="1"/>
    <xf numFmtId="164" fontId="0" fillId="0" borderId="0" xfId="0" applyNumberFormat="1" applyAlignment="1" applyProtection="1">
      <alignment horizontal="right"/>
    </xf>
    <xf numFmtId="38" fontId="0" fillId="0" borderId="0" xfId="0" applyNumberFormat="1" applyAlignment="1" applyProtection="1">
      <alignment horizontal="right"/>
    </xf>
    <xf numFmtId="164" fontId="0" fillId="0" borderId="0" xfId="0" applyNumberFormat="1" applyBorder="1" applyAlignment="1" applyProtection="1">
      <alignment horizontal="right"/>
    </xf>
    <xf numFmtId="0" fontId="0" fillId="3" borderId="52" xfId="0" applyFont="1" applyFill="1" applyBorder="1" applyAlignment="1" applyProtection="1">
      <alignment horizontal="center"/>
      <protection locked="0"/>
    </xf>
    <xf numFmtId="0" fontId="0" fillId="4" borderId="56" xfId="0" applyFont="1" applyFill="1" applyBorder="1" applyAlignment="1" applyProtection="1">
      <alignment horizontal="center"/>
      <protection locked="0"/>
    </xf>
    <xf numFmtId="0" fontId="0" fillId="0" borderId="0" xfId="0" applyFont="1" applyProtection="1"/>
    <xf numFmtId="167" fontId="0" fillId="0" borderId="0" xfId="0" applyNumberFormat="1" applyFont="1" applyProtection="1"/>
    <xf numFmtId="38" fontId="0" fillId="0" borderId="0" xfId="0" applyNumberFormat="1" applyFont="1" applyProtection="1"/>
    <xf numFmtId="0" fontId="7" fillId="6" borderId="30" xfId="0" applyFont="1" applyFill="1" applyBorder="1" applyProtection="1"/>
    <xf numFmtId="0" fontId="7" fillId="5" borderId="47" xfId="0" applyFont="1" applyFill="1" applyBorder="1" applyProtection="1"/>
    <xf numFmtId="0" fontId="7" fillId="5" borderId="38" xfId="0" applyFont="1" applyFill="1" applyBorder="1" applyProtection="1"/>
    <xf numFmtId="0" fontId="7" fillId="5" borderId="2" xfId="0" applyFont="1" applyFill="1" applyBorder="1" applyProtection="1"/>
    <xf numFmtId="0" fontId="0" fillId="0" borderId="2" xfId="0" applyBorder="1" applyProtection="1"/>
    <xf numFmtId="0" fontId="0" fillId="0" borderId="3" xfId="0" applyBorder="1" applyProtection="1"/>
    <xf numFmtId="3" fontId="0" fillId="0" borderId="4" xfId="0" applyNumberFormat="1" applyFill="1" applyBorder="1" applyProtection="1"/>
    <xf numFmtId="3" fontId="0" fillId="0" borderId="0" xfId="0" applyNumberFormat="1" applyFill="1" applyBorder="1" applyProtection="1"/>
    <xf numFmtId="164" fontId="6" fillId="0" borderId="4" xfId="447" applyNumberFormat="1" applyFill="1" applyBorder="1" applyProtection="1"/>
    <xf numFmtId="164" fontId="6" fillId="0" borderId="0" xfId="447" applyNumberFormat="1" applyFill="1" applyProtection="1"/>
    <xf numFmtId="3" fontId="6" fillId="0" borderId="4" xfId="447" applyNumberFormat="1" applyFill="1" applyBorder="1" applyProtection="1"/>
    <xf numFmtId="167" fontId="0" fillId="0" borderId="0" xfId="0" applyNumberFormat="1" applyProtection="1"/>
    <xf numFmtId="0" fontId="0" fillId="0" borderId="1" xfId="0" applyBorder="1" applyProtection="1"/>
    <xf numFmtId="0" fontId="7" fillId="6" borderId="26" xfId="0" applyFont="1" applyFill="1" applyBorder="1" applyProtection="1"/>
    <xf numFmtId="0" fontId="7" fillId="5" borderId="18" xfId="0" applyFont="1" applyFill="1" applyBorder="1" applyProtection="1"/>
    <xf numFmtId="0" fontId="7" fillId="6" borderId="66" xfId="0" applyFont="1" applyFill="1" applyBorder="1" applyProtection="1"/>
    <xf numFmtId="167" fontId="0" fillId="0" borderId="5" xfId="0" applyNumberFormat="1" applyFont="1" applyBorder="1" applyProtection="1"/>
    <xf numFmtId="167" fontId="0" fillId="0" borderId="25" xfId="0" applyNumberFormat="1" applyFont="1" applyBorder="1" applyProtection="1"/>
    <xf numFmtId="167" fontId="0" fillId="0" borderId="7" xfId="0" applyNumberFormat="1" applyFont="1" applyBorder="1" applyProtection="1"/>
    <xf numFmtId="0" fontId="7" fillId="6" borderId="37" xfId="0" applyFont="1" applyFill="1" applyBorder="1" applyProtection="1"/>
    <xf numFmtId="0" fontId="7" fillId="5" borderId="29" xfId="0" applyFont="1" applyFill="1" applyBorder="1" applyProtection="1"/>
    <xf numFmtId="167" fontId="0" fillId="0" borderId="24" xfId="0" applyNumberFormat="1" applyFont="1" applyBorder="1" applyProtection="1"/>
    <xf numFmtId="167" fontId="0" fillId="0" borderId="3" xfId="0" applyNumberFormat="1" applyFont="1" applyBorder="1" applyProtection="1"/>
    <xf numFmtId="167" fontId="0" fillId="0" borderId="20" xfId="0" applyNumberFormat="1" applyFont="1" applyBorder="1" applyProtection="1"/>
    <xf numFmtId="38" fontId="0" fillId="0" borderId="68" xfId="0" applyNumberFormat="1" applyFont="1" applyBorder="1" applyProtection="1"/>
    <xf numFmtId="38" fontId="0" fillId="0" borderId="24" xfId="0" applyNumberFormat="1" applyFont="1" applyBorder="1" applyProtection="1"/>
    <xf numFmtId="38" fontId="0" fillId="0" borderId="36" xfId="0" applyNumberFormat="1" applyFont="1" applyBorder="1" applyProtection="1"/>
    <xf numFmtId="38" fontId="0" fillId="5" borderId="35" xfId="0" applyNumberFormat="1" applyFont="1" applyFill="1" applyBorder="1" applyProtection="1"/>
    <xf numFmtId="0" fontId="0" fillId="8" borderId="43" xfId="0" applyFont="1" applyFill="1" applyBorder="1" applyAlignment="1" applyProtection="1">
      <alignment horizontal="center"/>
    </xf>
    <xf numFmtId="0" fontId="13" fillId="11" borderId="69" xfId="786" applyNumberFormat="1" applyBorder="1" applyAlignment="1" applyProtection="1">
      <alignment horizontal="center"/>
    </xf>
    <xf numFmtId="0" fontId="3" fillId="6" borderId="71" xfId="0" applyFont="1" applyFill="1" applyBorder="1" applyAlignment="1" applyProtection="1">
      <protection hidden="1"/>
    </xf>
    <xf numFmtId="0" fontId="7" fillId="5" borderId="55" xfId="0" applyFont="1" applyFill="1" applyBorder="1" applyAlignment="1" applyProtection="1">
      <protection hidden="1"/>
    </xf>
    <xf numFmtId="0" fontId="7" fillId="5" borderId="72" xfId="0" applyFont="1" applyFill="1" applyBorder="1" applyAlignment="1" applyProtection="1">
      <protection hidden="1"/>
    </xf>
    <xf numFmtId="0" fontId="3" fillId="6" borderId="70" xfId="0" applyFont="1" applyFill="1" applyBorder="1" applyAlignment="1" applyProtection="1">
      <protection hidden="1"/>
    </xf>
    <xf numFmtId="0" fontId="17" fillId="5" borderId="74" xfId="0" applyFont="1" applyFill="1" applyBorder="1" applyAlignment="1" applyProtection="1">
      <protection hidden="1"/>
    </xf>
    <xf numFmtId="0" fontId="17" fillId="5" borderId="73" xfId="0" applyFont="1" applyFill="1" applyBorder="1" applyAlignment="1" applyProtection="1">
      <protection hidden="1"/>
    </xf>
    <xf numFmtId="0" fontId="7" fillId="0" borderId="2" xfId="0" applyNumberFormat="1" applyFont="1" applyBorder="1" applyAlignment="1" applyProtection="1">
      <alignment wrapText="1"/>
    </xf>
    <xf numFmtId="0" fontId="0" fillId="0" borderId="48" xfId="0" applyNumberFormat="1" applyBorder="1" applyAlignment="1" applyProtection="1">
      <alignment wrapText="1"/>
    </xf>
    <xf numFmtId="0" fontId="0" fillId="0" borderId="41" xfId="0" applyNumberFormat="1" applyBorder="1" applyAlignment="1" applyProtection="1">
      <alignment horizontal="left" wrapText="1" indent="1"/>
    </xf>
    <xf numFmtId="0" fontId="1" fillId="0" borderId="41" xfId="702" applyNumberFormat="1" applyBorder="1" applyAlignment="1" applyProtection="1">
      <alignment horizontal="left" wrapText="1" indent="1"/>
    </xf>
    <xf numFmtId="0" fontId="0" fillId="0" borderId="2" xfId="0" applyNumberFormat="1" applyBorder="1" applyProtection="1"/>
    <xf numFmtId="0" fontId="0" fillId="0" borderId="41" xfId="0" applyNumberFormat="1" applyFont="1" applyBorder="1" applyAlignment="1" applyProtection="1">
      <alignment wrapText="1"/>
    </xf>
    <xf numFmtId="0" fontId="0" fillId="0" borderId="41" xfId="0" applyBorder="1" applyAlignment="1" applyProtection="1">
      <alignment wrapText="1"/>
    </xf>
    <xf numFmtId="0" fontId="0" fillId="0" borderId="41" xfId="0" applyBorder="1" applyAlignment="1" applyProtection="1">
      <alignment horizontal="left" wrapText="1" indent="1"/>
    </xf>
    <xf numFmtId="0" fontId="0" fillId="0" borderId="41" xfId="0" applyBorder="1" applyAlignment="1" applyProtection="1">
      <alignment horizontal="left" wrapText="1" indent="2"/>
    </xf>
    <xf numFmtId="0" fontId="1" fillId="0" borderId="41" xfId="702" applyBorder="1" applyAlignment="1" applyProtection="1">
      <alignment horizontal="left" wrapText="1" indent="2"/>
    </xf>
    <xf numFmtId="0" fontId="0" fillId="0" borderId="41" xfId="0" quotePrefix="1" applyBorder="1" applyAlignment="1" applyProtection="1">
      <alignment horizontal="left" wrapText="1" indent="1"/>
    </xf>
    <xf numFmtId="0" fontId="0" fillId="0" borderId="18" xfId="0" applyNumberFormat="1" applyBorder="1" applyProtection="1"/>
    <xf numFmtId="0" fontId="0" fillId="0" borderId="34" xfId="0" quotePrefix="1" applyBorder="1" applyAlignment="1" applyProtection="1">
      <alignment horizontal="left" wrapText="1" indent="2"/>
    </xf>
    <xf numFmtId="0" fontId="0" fillId="0" borderId="0" xfId="0" applyNumberFormat="1" applyAlignment="1" applyProtection="1">
      <alignment wrapText="1"/>
    </xf>
    <xf numFmtId="0" fontId="0" fillId="0" borderId="41" xfId="0" applyNumberFormat="1" applyBorder="1" applyAlignment="1" applyProtection="1">
      <alignment wrapText="1"/>
    </xf>
    <xf numFmtId="0" fontId="0" fillId="0" borderId="34" xfId="0" applyNumberFormat="1" applyBorder="1" applyAlignment="1" applyProtection="1">
      <alignment wrapText="1"/>
    </xf>
    <xf numFmtId="0" fontId="0" fillId="0" borderId="48" xfId="0" applyNumberFormat="1" applyBorder="1" applyProtection="1"/>
    <xf numFmtId="0" fontId="1" fillId="0" borderId="34" xfId="702" applyNumberFormat="1" applyBorder="1" applyAlignment="1" applyProtection="1">
      <alignment horizontal="left" wrapText="1" indent="1"/>
    </xf>
    <xf numFmtId="0" fontId="0" fillId="0" borderId="39" xfId="0" applyBorder="1" applyProtection="1"/>
    <xf numFmtId="0" fontId="0" fillId="0" borderId="40" xfId="0" applyBorder="1" applyProtection="1"/>
    <xf numFmtId="165" fontId="0" fillId="0" borderId="2" xfId="0" applyNumberFormat="1" applyBorder="1" applyAlignment="1" applyProtection="1">
      <alignment vertical="top"/>
    </xf>
    <xf numFmtId="165" fontId="0" fillId="0" borderId="18" xfId="0" applyNumberFormat="1" applyBorder="1" applyAlignment="1" applyProtection="1">
      <alignment vertical="top"/>
    </xf>
    <xf numFmtId="0" fontId="0" fillId="0" borderId="48" xfId="0" applyFont="1" applyBorder="1" applyProtection="1">
      <protection locked="0"/>
    </xf>
    <xf numFmtId="0" fontId="0" fillId="0" borderId="34" xfId="0" applyFont="1" applyBorder="1" applyProtection="1">
      <protection locked="0"/>
    </xf>
    <xf numFmtId="38" fontId="0" fillId="0" borderId="5" xfId="0" applyNumberFormat="1" applyFont="1" applyBorder="1" applyAlignment="1" applyProtection="1">
      <alignment horizontal="center"/>
    </xf>
    <xf numFmtId="38" fontId="0" fillId="0" borderId="64" xfId="0" applyNumberFormat="1" applyFont="1" applyBorder="1" applyAlignment="1" applyProtection="1">
      <alignment horizontal="center"/>
    </xf>
    <xf numFmtId="0" fontId="7" fillId="5" borderId="48" xfId="0" applyFont="1" applyFill="1" applyBorder="1" applyAlignment="1" applyProtection="1">
      <alignment horizontal="center"/>
    </xf>
    <xf numFmtId="38" fontId="0" fillId="0" borderId="25" xfId="0" applyNumberFormat="1" applyFont="1" applyBorder="1" applyAlignment="1" applyProtection="1">
      <alignment horizontal="center"/>
    </xf>
    <xf numFmtId="38" fontId="0" fillId="0" borderId="65" xfId="0" applyNumberFormat="1" applyFont="1" applyBorder="1" applyAlignment="1" applyProtection="1">
      <alignment horizontal="center"/>
    </xf>
    <xf numFmtId="0" fontId="7" fillId="5" borderId="34" xfId="0" applyFont="1" applyFill="1" applyBorder="1" applyAlignment="1" applyProtection="1">
      <alignment horizontal="center"/>
    </xf>
    <xf numFmtId="0" fontId="7" fillId="6" borderId="31" xfId="0" applyFont="1" applyFill="1" applyBorder="1" applyProtection="1"/>
    <xf numFmtId="0" fontId="7" fillId="6" borderId="50" xfId="0" applyFont="1" applyFill="1" applyBorder="1" applyProtection="1"/>
    <xf numFmtId="0" fontId="7" fillId="6" borderId="33" xfId="0" applyFont="1" applyFill="1" applyBorder="1" applyProtection="1"/>
    <xf numFmtId="38" fontId="7" fillId="5" borderId="16" xfId="0" applyNumberFormat="1" applyFont="1" applyFill="1" applyBorder="1" applyProtection="1"/>
    <xf numFmtId="38" fontId="7" fillId="5" borderId="0" xfId="0" applyNumberFormat="1" applyFont="1" applyFill="1" applyBorder="1" applyProtection="1"/>
    <xf numFmtId="38" fontId="7" fillId="5" borderId="19" xfId="0" applyNumberFormat="1" applyFont="1" applyFill="1" applyBorder="1" applyProtection="1"/>
    <xf numFmtId="0" fontId="0" fillId="0" borderId="0" xfId="0" applyFont="1" applyProtection="1">
      <protection locked="0"/>
    </xf>
    <xf numFmtId="0" fontId="6" fillId="0" borderId="0" xfId="447" applyFont="1" applyProtection="1"/>
    <xf numFmtId="168" fontId="0" fillId="0" borderId="6" xfId="0" applyNumberFormat="1" applyFont="1" applyBorder="1" applyProtection="1"/>
    <xf numFmtId="168" fontId="0" fillId="0" borderId="24" xfId="0" applyNumberFormat="1" applyFont="1" applyBorder="1" applyAlignment="1" applyProtection="1">
      <alignment horizontal="right"/>
    </xf>
    <xf numFmtId="168" fontId="0" fillId="0" borderId="0" xfId="0" applyNumberFormat="1" applyFont="1" applyBorder="1" applyProtection="1"/>
    <xf numFmtId="168" fontId="0" fillId="0" borderId="3" xfId="0" applyNumberFormat="1" applyFont="1" applyBorder="1" applyAlignment="1" applyProtection="1">
      <alignment horizontal="right"/>
    </xf>
    <xf numFmtId="168" fontId="0" fillId="0" borderId="36" xfId="0" applyNumberFormat="1" applyFont="1" applyBorder="1" applyAlignment="1" applyProtection="1">
      <alignment horizontal="right"/>
    </xf>
    <xf numFmtId="168" fontId="0" fillId="5" borderId="28" xfId="0" applyNumberFormat="1" applyFont="1" applyFill="1" applyBorder="1" applyProtection="1"/>
    <xf numFmtId="168" fontId="0" fillId="5" borderId="35" xfId="0" applyNumberFormat="1" applyFont="1" applyFill="1" applyBorder="1" applyAlignment="1" applyProtection="1">
      <alignment horizontal="right"/>
    </xf>
    <xf numFmtId="0" fontId="0" fillId="13" borderId="0" xfId="0" applyFill="1" applyProtection="1"/>
    <xf numFmtId="0" fontId="0" fillId="13" borderId="0" xfId="0" applyFill="1" applyBorder="1" applyAlignment="1" applyProtection="1">
      <alignment wrapText="1"/>
    </xf>
    <xf numFmtId="0" fontId="0" fillId="13" borderId="0" xfId="0" applyFill="1"/>
    <xf numFmtId="0" fontId="0" fillId="13" borderId="0" xfId="0" applyFont="1" applyFill="1" applyProtection="1"/>
    <xf numFmtId="0" fontId="0" fillId="0" borderId="0" xfId="0" applyFill="1" applyProtection="1"/>
    <xf numFmtId="0" fontId="0" fillId="0" borderId="0" xfId="0" applyNumberFormat="1" applyFill="1" applyProtection="1"/>
    <xf numFmtId="0" fontId="0" fillId="0" borderId="0" xfId="0" applyNumberFormat="1" applyFill="1" applyBorder="1" applyProtection="1"/>
    <xf numFmtId="0" fontId="0" fillId="0" borderId="0" xfId="0" applyFill="1"/>
    <xf numFmtId="0" fontId="7" fillId="3" borderId="75" xfId="0" applyFont="1" applyFill="1" applyBorder="1" applyAlignment="1" applyProtection="1">
      <alignment horizontal="center"/>
    </xf>
    <xf numFmtId="0" fontId="7" fillId="4" borderId="76" xfId="0" applyFont="1" applyFill="1" applyBorder="1" applyAlignment="1" applyProtection="1">
      <alignment horizontal="center"/>
    </xf>
    <xf numFmtId="38" fontId="7" fillId="5" borderId="17" xfId="0" applyNumberFormat="1" applyFont="1" applyFill="1" applyBorder="1" applyProtection="1"/>
    <xf numFmtId="38" fontId="7" fillId="5" borderId="20" xfId="0" applyNumberFormat="1" applyFont="1" applyFill="1" applyBorder="1" applyProtection="1"/>
    <xf numFmtId="38" fontId="7" fillId="5" borderId="3" xfId="0" applyNumberFormat="1" applyFont="1" applyFill="1" applyBorder="1" applyProtection="1"/>
    <xf numFmtId="0" fontId="7" fillId="4" borderId="42" xfId="0" applyFont="1" applyFill="1" applyBorder="1" applyAlignment="1" applyProtection="1">
      <alignment horizontal="center"/>
    </xf>
    <xf numFmtId="0" fontId="0" fillId="4" borderId="78" xfId="0" applyFont="1" applyFill="1" applyBorder="1" applyAlignment="1" applyProtection="1">
      <alignment horizontal="center"/>
      <protection locked="0"/>
    </xf>
    <xf numFmtId="0" fontId="7" fillId="3" borderId="42" xfId="0" applyFont="1" applyFill="1" applyBorder="1" applyAlignment="1" applyProtection="1">
      <alignment horizontal="center"/>
    </xf>
    <xf numFmtId="0" fontId="0" fillId="3" borderId="45" xfId="0" applyFont="1" applyFill="1" applyBorder="1" applyAlignment="1" applyProtection="1">
      <alignment horizontal="center"/>
      <protection locked="0"/>
    </xf>
    <xf numFmtId="0" fontId="0" fillId="14" borderId="0" xfId="0" applyFont="1" applyFill="1" applyBorder="1" applyAlignment="1" applyProtection="1">
      <alignment horizontal="left"/>
      <protection locked="0"/>
    </xf>
    <xf numFmtId="0" fontId="0" fillId="14" borderId="12" xfId="0" applyFont="1" applyFill="1" applyBorder="1" applyAlignment="1" applyProtection="1">
      <alignment horizontal="left"/>
      <protection locked="0"/>
    </xf>
    <xf numFmtId="0" fontId="0" fillId="14" borderId="0" xfId="0" applyFill="1" applyProtection="1"/>
    <xf numFmtId="164" fontId="6" fillId="0" borderId="0" xfId="447" applyNumberFormat="1" applyFill="1" applyBorder="1" applyProtection="1"/>
    <xf numFmtId="168" fontId="0" fillId="0" borderId="0" xfId="0" applyNumberFormat="1" applyBorder="1" applyProtection="1"/>
    <xf numFmtId="38" fontId="0" fillId="0" borderId="0" xfId="0" applyNumberFormat="1" applyFill="1"/>
    <xf numFmtId="168" fontId="0" fillId="0" borderId="0" xfId="0" applyNumberFormat="1" applyFill="1"/>
    <xf numFmtId="168" fontId="0" fillId="0" borderId="0" xfId="0" applyNumberFormat="1"/>
    <xf numFmtId="0" fontId="5" fillId="9" borderId="8" xfId="0" applyFont="1" applyFill="1" applyBorder="1" applyAlignment="1" applyProtection="1">
      <alignment horizontal="center" vertical="center"/>
    </xf>
    <xf numFmtId="0" fontId="5" fillId="9" borderId="9" xfId="0" applyFont="1" applyFill="1" applyBorder="1" applyAlignment="1" applyProtection="1">
      <alignment horizontal="center" vertical="center"/>
    </xf>
    <xf numFmtId="0" fontId="0" fillId="0" borderId="9" xfId="0" applyBorder="1" applyAlignment="1" applyProtection="1">
      <alignment horizontal="center" vertical="center"/>
    </xf>
    <xf numFmtId="0" fontId="0" fillId="0" borderId="9" xfId="0" applyBorder="1" applyAlignment="1"/>
    <xf numFmtId="0" fontId="0" fillId="0" borderId="10" xfId="0" applyBorder="1" applyAlignment="1"/>
    <xf numFmtId="0" fontId="5" fillId="9" borderId="13" xfId="0" applyFont="1" applyFill="1" applyBorder="1" applyAlignment="1" applyProtection="1">
      <alignment horizontal="center" vertical="center"/>
    </xf>
    <xf numFmtId="0" fontId="5" fillId="9" borderId="14" xfId="0" applyFont="1" applyFill="1" applyBorder="1" applyAlignment="1" applyProtection="1">
      <alignment horizontal="center" vertical="center"/>
    </xf>
    <xf numFmtId="0" fontId="0" fillId="0" borderId="14" xfId="0" applyBorder="1" applyAlignment="1" applyProtection="1">
      <alignment horizontal="center" vertical="center"/>
    </xf>
    <xf numFmtId="0" fontId="0" fillId="0" borderId="14" xfId="0" applyBorder="1" applyAlignment="1"/>
    <xf numFmtId="0" fontId="0" fillId="0" borderId="15" xfId="0" applyBorder="1" applyAlignment="1"/>
    <xf numFmtId="0" fontId="3" fillId="6" borderId="21" xfId="0" applyFont="1" applyFill="1" applyBorder="1" applyAlignment="1" applyProtection="1">
      <protection hidden="1"/>
    </xf>
    <xf numFmtId="0" fontId="3" fillId="6" borderId="22" xfId="0" applyFont="1" applyFill="1" applyBorder="1" applyAlignment="1" applyProtection="1">
      <protection hidden="1"/>
    </xf>
    <xf numFmtId="0" fontId="0" fillId="0" borderId="22" xfId="0" applyBorder="1" applyAlignment="1" applyProtection="1"/>
    <xf numFmtId="0" fontId="0" fillId="0" borderId="49" xfId="0" applyBorder="1" applyAlignment="1" applyProtection="1"/>
    <xf numFmtId="0" fontId="4" fillId="0" borderId="7" xfId="0" applyFont="1" applyBorder="1" applyAlignment="1" applyProtection="1">
      <alignment horizontal="left" indent="1"/>
    </xf>
    <xf numFmtId="0" fontId="4" fillId="0" borderId="0" xfId="0" applyFont="1" applyBorder="1" applyAlignment="1" applyProtection="1">
      <alignment horizontal="left" indent="1"/>
    </xf>
    <xf numFmtId="0" fontId="4" fillId="0" borderId="12" xfId="0" applyFont="1" applyBorder="1" applyAlignment="1" applyProtection="1">
      <alignment horizontal="left" indent="1"/>
    </xf>
    <xf numFmtId="0" fontId="0" fillId="0" borderId="10" xfId="0" applyBorder="1" applyAlignment="1" applyProtection="1">
      <alignment horizontal="center" vertical="center"/>
    </xf>
    <xf numFmtId="0" fontId="5" fillId="9" borderId="11" xfId="0" applyFont="1" applyFill="1" applyBorder="1" applyAlignment="1" applyProtection="1">
      <alignment horizontal="center" vertical="center"/>
    </xf>
    <xf numFmtId="0" fontId="5" fillId="9" borderId="0" xfId="0" applyFont="1" applyFill="1" applyBorder="1" applyAlignment="1" applyProtection="1">
      <alignment horizontal="center" vertical="center"/>
    </xf>
    <xf numFmtId="0" fontId="0" fillId="0" borderId="12" xfId="0" applyBorder="1" applyAlignment="1" applyProtection="1">
      <alignment horizontal="center" vertical="center"/>
    </xf>
    <xf numFmtId="0" fontId="0" fillId="0" borderId="15" xfId="0" applyBorder="1" applyAlignment="1" applyProtection="1">
      <alignment horizontal="center" vertical="center"/>
    </xf>
    <xf numFmtId="0" fontId="3" fillId="6" borderId="21" xfId="0" applyFont="1" applyFill="1" applyBorder="1" applyProtection="1"/>
    <xf numFmtId="0" fontId="3" fillId="6" borderId="22" xfId="0" applyFont="1" applyFill="1" applyBorder="1" applyProtection="1"/>
    <xf numFmtId="0" fontId="3" fillId="6" borderId="23" xfId="0" applyFont="1" applyFill="1" applyBorder="1" applyProtection="1"/>
    <xf numFmtId="0" fontId="5" fillId="9" borderId="10" xfId="0" applyFont="1" applyFill="1" applyBorder="1" applyAlignment="1" applyProtection="1">
      <alignment horizontal="center" vertical="center"/>
    </xf>
    <xf numFmtId="0" fontId="5" fillId="9" borderId="12" xfId="0" applyFont="1" applyFill="1" applyBorder="1" applyAlignment="1" applyProtection="1">
      <alignment horizontal="center" vertical="center"/>
    </xf>
    <xf numFmtId="0" fontId="3" fillId="6" borderId="21" xfId="0" applyFont="1" applyFill="1" applyBorder="1" applyAlignment="1" applyProtection="1"/>
    <xf numFmtId="0" fontId="0" fillId="6" borderId="22" xfId="0" applyFill="1" applyBorder="1" applyAlignment="1" applyProtection="1"/>
    <xf numFmtId="0" fontId="0" fillId="6" borderId="23" xfId="0" applyFill="1" applyBorder="1" applyAlignment="1" applyProtection="1"/>
    <xf numFmtId="0" fontId="0" fillId="0" borderId="22" xfId="0" applyBorder="1" applyAlignment="1"/>
    <xf numFmtId="0" fontId="0" fillId="0" borderId="54" xfId="0" applyBorder="1" applyAlignment="1"/>
    <xf numFmtId="0" fontId="16" fillId="0" borderId="8" xfId="0" applyFont="1" applyBorder="1" applyAlignment="1" applyProtection="1">
      <alignment horizontal="left" vertical="top" wrapText="1" indent="1"/>
    </xf>
    <xf numFmtId="0" fontId="16" fillId="0" borderId="9" xfId="0" applyFont="1" applyBorder="1" applyAlignment="1" applyProtection="1">
      <alignment horizontal="left" vertical="top" wrapText="1" indent="1"/>
    </xf>
    <xf numFmtId="0" fontId="17" fillId="0" borderId="10" xfId="0" applyFont="1" applyBorder="1" applyAlignment="1" applyProtection="1">
      <alignment wrapText="1"/>
    </xf>
    <xf numFmtId="0" fontId="16" fillId="0" borderId="11" xfId="0" applyFont="1" applyBorder="1" applyAlignment="1" applyProtection="1">
      <alignment horizontal="left" vertical="top" wrapText="1" indent="1"/>
    </xf>
    <xf numFmtId="0" fontId="16" fillId="0" borderId="0" xfId="0" applyFont="1" applyBorder="1" applyAlignment="1" applyProtection="1">
      <alignment horizontal="left" vertical="top" wrapText="1" indent="1"/>
    </xf>
    <xf numFmtId="0" fontId="17" fillId="0" borderId="12" xfId="0" applyFont="1" applyBorder="1" applyAlignment="1" applyProtection="1">
      <alignment wrapText="1"/>
    </xf>
    <xf numFmtId="0" fontId="16" fillId="0" borderId="13" xfId="0" applyFont="1" applyBorder="1" applyAlignment="1" applyProtection="1">
      <alignment horizontal="left" vertical="top" wrapText="1" indent="1"/>
    </xf>
    <xf numFmtId="0" fontId="16" fillId="0" borderId="14" xfId="0" applyFont="1" applyBorder="1" applyAlignment="1" applyProtection="1">
      <alignment horizontal="left" vertical="top" wrapText="1" indent="1"/>
    </xf>
    <xf numFmtId="0" fontId="17" fillId="0" borderId="15" xfId="0" applyFont="1" applyBorder="1" applyAlignment="1" applyProtection="1">
      <alignment wrapText="1"/>
    </xf>
    <xf numFmtId="0" fontId="4" fillId="0" borderId="67" xfId="0" applyFont="1" applyBorder="1" applyAlignment="1" applyProtection="1">
      <alignment horizontal="left" indent="1"/>
    </xf>
    <xf numFmtId="0" fontId="4" fillId="0" borderId="9" xfId="0" applyFont="1" applyBorder="1" applyAlignment="1" applyProtection="1">
      <alignment horizontal="left" indent="1"/>
    </xf>
    <xf numFmtId="0" fontId="4" fillId="0" borderId="10" xfId="0" applyFont="1" applyBorder="1" applyAlignment="1" applyProtection="1">
      <alignment horizontal="left" indent="1"/>
    </xf>
    <xf numFmtId="0" fontId="4" fillId="0" borderId="60" xfId="0" applyFont="1" applyBorder="1" applyAlignment="1" applyProtection="1">
      <alignment horizontal="left" indent="1"/>
    </xf>
    <xf numFmtId="0" fontId="4" fillId="0" borderId="14" xfId="0" applyFont="1" applyBorder="1" applyAlignment="1" applyProtection="1">
      <alignment horizontal="left" indent="1"/>
    </xf>
    <xf numFmtId="0" fontId="4" fillId="0" borderId="15" xfId="0" applyFont="1" applyBorder="1" applyAlignment="1" applyProtection="1">
      <alignment horizontal="left" indent="1"/>
    </xf>
    <xf numFmtId="0" fontId="7" fillId="5" borderId="52" xfId="0" applyFont="1" applyFill="1" applyBorder="1" applyAlignment="1" applyProtection="1">
      <protection hidden="1"/>
    </xf>
    <xf numFmtId="0" fontId="0" fillId="0" borderId="52" xfId="0" applyBorder="1" applyAlignment="1" applyProtection="1"/>
    <xf numFmtId="0" fontId="0" fillId="0" borderId="66" xfId="0" applyBorder="1" applyAlignment="1"/>
    <xf numFmtId="0" fontId="3" fillId="6" borderId="53" xfId="0" applyFont="1" applyFill="1" applyBorder="1" applyAlignment="1" applyProtection="1"/>
    <xf numFmtId="0" fontId="0" fillId="0" borderId="23" xfId="0" applyBorder="1" applyAlignment="1"/>
    <xf numFmtId="0" fontId="7" fillId="5" borderId="78" xfId="0" applyFont="1" applyFill="1" applyBorder="1" applyAlignment="1" applyProtection="1">
      <protection hidden="1"/>
    </xf>
    <xf numFmtId="0" fontId="0" fillId="0" borderId="78" xfId="0" applyBorder="1" applyAlignment="1" applyProtection="1"/>
    <xf numFmtId="0" fontId="0" fillId="0" borderId="40" xfId="0" applyBorder="1" applyAlignment="1"/>
    <xf numFmtId="0" fontId="7" fillId="5" borderId="56" xfId="0" applyFont="1" applyFill="1" applyBorder="1" applyAlignment="1" applyProtection="1">
      <protection hidden="1"/>
    </xf>
    <xf numFmtId="0" fontId="0" fillId="0" borderId="56" xfId="0" applyBorder="1" applyAlignment="1" applyProtection="1"/>
    <xf numFmtId="0" fontId="0" fillId="0" borderId="77" xfId="0" applyBorder="1" applyAlignment="1"/>
    <xf numFmtId="0" fontId="17" fillId="0" borderId="8" xfId="0" applyFont="1" applyBorder="1" applyAlignment="1" applyProtection="1">
      <alignment horizontal="left" vertical="top" wrapText="1" indent="1"/>
    </xf>
    <xf numFmtId="0" fontId="0" fillId="0" borderId="9" xfId="0" applyFont="1" applyBorder="1" applyAlignment="1" applyProtection="1">
      <alignment wrapText="1"/>
    </xf>
    <xf numFmtId="0" fontId="0" fillId="0" borderId="10" xfId="0" applyFont="1" applyBorder="1" applyAlignment="1" applyProtection="1">
      <alignment wrapText="1"/>
    </xf>
    <xf numFmtId="0" fontId="0" fillId="0" borderId="11" xfId="0" applyFont="1" applyBorder="1" applyAlignment="1" applyProtection="1">
      <alignment wrapText="1"/>
    </xf>
    <xf numFmtId="0" fontId="0" fillId="0" borderId="0" xfId="0" applyFont="1" applyBorder="1" applyAlignment="1" applyProtection="1">
      <alignment wrapText="1"/>
    </xf>
    <xf numFmtId="0" fontId="0" fillId="0" borderId="12" xfId="0" applyFont="1" applyBorder="1" applyAlignment="1" applyProtection="1">
      <alignment wrapText="1"/>
    </xf>
    <xf numFmtId="0" fontId="0" fillId="0" borderId="13" xfId="0" applyFont="1" applyBorder="1" applyAlignment="1" applyProtection="1">
      <alignment wrapText="1"/>
    </xf>
    <xf numFmtId="0" fontId="0" fillId="0" borderId="14" xfId="0" applyFont="1" applyBorder="1" applyAlignment="1" applyProtection="1">
      <alignment wrapText="1"/>
    </xf>
    <xf numFmtId="0" fontId="0" fillId="0" borderId="15" xfId="0" applyFont="1" applyBorder="1" applyAlignment="1" applyProtection="1">
      <alignment wrapText="1"/>
    </xf>
    <xf numFmtId="0" fontId="20" fillId="11" borderId="21" xfId="786" applyFont="1" applyBorder="1" applyAlignment="1" applyProtection="1">
      <alignment horizontal="center"/>
      <protection locked="0"/>
    </xf>
    <xf numFmtId="0" fontId="7" fillId="0" borderId="22" xfId="0" applyFont="1" applyBorder="1" applyAlignment="1" applyProtection="1">
      <alignment horizontal="center"/>
      <protection locked="0"/>
    </xf>
    <xf numFmtId="0" fontId="7" fillId="0" borderId="23" xfId="0" applyFont="1" applyBorder="1" applyAlignment="1" applyProtection="1">
      <alignment horizontal="center"/>
      <protection locked="0"/>
    </xf>
    <xf numFmtId="0" fontId="19" fillId="6" borderId="21" xfId="0" applyFont="1" applyFill="1" applyBorder="1" applyAlignment="1" applyProtection="1"/>
    <xf numFmtId="0" fontId="18" fillId="0" borderId="22" xfId="0" applyFont="1" applyBorder="1" applyAlignment="1" applyProtection="1"/>
    <xf numFmtId="0" fontId="19" fillId="6" borderId="21" xfId="0" applyFont="1" applyFill="1" applyBorder="1" applyAlignment="1" applyProtection="1">
      <alignment horizontal="left"/>
    </xf>
    <xf numFmtId="0" fontId="18" fillId="0" borderId="22" xfId="0" applyFont="1" applyBorder="1" applyAlignment="1" applyProtection="1">
      <alignment horizontal="left"/>
    </xf>
    <xf numFmtId="0" fontId="0" fillId="0" borderId="22" xfId="0" applyBorder="1" applyAlignment="1" applyProtection="1">
      <alignment horizontal="left"/>
    </xf>
    <xf numFmtId="0" fontId="0" fillId="0" borderId="22" xfId="0" applyBorder="1" applyAlignment="1">
      <alignment horizontal="left"/>
    </xf>
    <xf numFmtId="0" fontId="0" fillId="0" borderId="23" xfId="0" applyBorder="1" applyAlignment="1">
      <alignment horizontal="left"/>
    </xf>
    <xf numFmtId="0" fontId="7" fillId="6" borderId="21" xfId="0" applyFont="1" applyFill="1" applyBorder="1" applyAlignment="1" applyProtection="1"/>
    <xf numFmtId="0" fontId="0" fillId="0" borderId="23" xfId="0" applyBorder="1" applyAlignment="1" applyProtection="1"/>
    <xf numFmtId="0" fontId="5" fillId="9" borderId="8" xfId="0" applyFont="1" applyFill="1" applyBorder="1" applyAlignment="1" applyProtection="1">
      <alignment horizontal="center"/>
    </xf>
    <xf numFmtId="0" fontId="5" fillId="9" borderId="9" xfId="0" applyFont="1" applyFill="1" applyBorder="1" applyAlignment="1" applyProtection="1">
      <alignment horizontal="center"/>
    </xf>
    <xf numFmtId="0" fontId="5" fillId="9" borderId="10" xfId="0" applyFont="1" applyFill="1" applyBorder="1" applyAlignment="1" applyProtection="1">
      <alignment horizontal="center"/>
    </xf>
    <xf numFmtId="0" fontId="5" fillId="9" borderId="13" xfId="0" applyFont="1" applyFill="1" applyBorder="1" applyAlignment="1" applyProtection="1">
      <alignment horizontal="center"/>
    </xf>
    <xf numFmtId="0" fontId="5" fillId="9" borderId="14" xfId="0" applyFont="1" applyFill="1" applyBorder="1" applyAlignment="1" applyProtection="1">
      <alignment horizontal="center"/>
    </xf>
    <xf numFmtId="0" fontId="5" fillId="9" borderId="15" xfId="0" applyFont="1" applyFill="1" applyBorder="1" applyAlignment="1" applyProtection="1">
      <alignment horizontal="center"/>
    </xf>
    <xf numFmtId="0" fontId="7" fillId="0" borderId="0" xfId="0" applyFont="1" applyAlignment="1" applyProtection="1">
      <alignment vertical="top" wrapText="1"/>
    </xf>
    <xf numFmtId="0" fontId="7" fillId="0" borderId="0" xfId="0" applyFont="1" applyAlignment="1" applyProtection="1">
      <alignment vertical="top"/>
    </xf>
    <xf numFmtId="0" fontId="0" fillId="0" borderId="0" xfId="0" applyAlignment="1">
      <alignment vertical="top"/>
    </xf>
    <xf numFmtId="0" fontId="7" fillId="0" borderId="37" xfId="0" applyNumberFormat="1" applyFont="1" applyBorder="1" applyAlignment="1" applyProtection="1">
      <alignment wrapText="1"/>
    </xf>
    <xf numFmtId="0" fontId="7" fillId="0" borderId="38" xfId="0" applyNumberFormat="1" applyFont="1" applyBorder="1" applyAlignment="1" applyProtection="1">
      <alignment wrapText="1"/>
    </xf>
    <xf numFmtId="0" fontId="15" fillId="12" borderId="61" xfId="0" applyFont="1" applyFill="1" applyBorder="1" applyAlignment="1" applyProtection="1">
      <alignment horizontal="center"/>
    </xf>
    <xf numFmtId="0" fontId="15" fillId="12" borderId="62" xfId="0" applyFont="1" applyFill="1" applyBorder="1" applyAlignment="1" applyProtection="1">
      <alignment horizontal="center"/>
    </xf>
    <xf numFmtId="0" fontId="15" fillId="12" borderId="63" xfId="0" applyFont="1" applyFill="1" applyBorder="1" applyAlignment="1" applyProtection="1">
      <alignment horizontal="center"/>
    </xf>
    <xf numFmtId="0" fontId="5" fillId="9" borderId="61" xfId="0" applyFont="1" applyFill="1" applyBorder="1" applyAlignment="1" applyProtection="1">
      <alignment horizontal="center"/>
    </xf>
    <xf numFmtId="0" fontId="0" fillId="0" borderId="62" xfId="0" applyBorder="1" applyAlignment="1" applyProtection="1"/>
    <xf numFmtId="0" fontId="0" fillId="0" borderId="63" xfId="0" applyBorder="1" applyAlignment="1" applyProtection="1"/>
    <xf numFmtId="0" fontId="3" fillId="6" borderId="79" xfId="0" applyFont="1" applyFill="1" applyBorder="1" applyAlignment="1" applyProtection="1">
      <protection hidden="1"/>
    </xf>
    <xf numFmtId="0" fontId="0" fillId="0" borderId="16" xfId="0" applyBorder="1" applyAlignment="1"/>
    <xf numFmtId="0" fontId="0" fillId="0" borderId="17" xfId="0" applyBorder="1" applyAlignment="1"/>
  </cellXfs>
  <cellStyles count="10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cellStyle name="Input" xfId="786" builtinId="20"/>
    <cellStyle name="Normal" xfId="0" builtinId="0"/>
    <cellStyle name="Normal_Upgrade Costs" xfId="447"/>
  </cellStyles>
  <dxfs count="276">
    <dxf>
      <numFmt numFmtId="168" formatCode="#\ ??/24"/>
    </dxf>
    <dxf>
      <numFmt numFmtId="6" formatCode="#,##0_);[Red]\(#,##0\)"/>
      <fill>
        <patternFill patternType="none">
          <fgColor indexed="64"/>
          <bgColor indexed="65"/>
        </patternFill>
      </fill>
    </dxf>
    <dxf>
      <numFmt numFmtId="0" formatCode="General"/>
    </dxf>
    <dxf>
      <numFmt numFmtId="0" formatCode="General"/>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6" formatCode="#,##0_);[Red]\(#,##0\)"/>
      <alignment horizontal="right" vertical="bottom" textRotation="0" wrapText="0" justifyLastLine="0" shrinkToFit="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dxf>
    <dxf>
      <protection locked="1"/>
    </dxf>
    <dxf>
      <protection locked="1"/>
    </dxf>
    <dxf>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6" formatCode="#,##0_);[Red]\(#,##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dxf>
    <dxf>
      <protection locked="1"/>
    </dxf>
    <dxf>
      <protection locked="1"/>
    </dxf>
    <dxf>
      <protection locked="1"/>
    </dxf>
    <dxf>
      <font>
        <color rgb="FFFFFF00"/>
      </font>
      <fill>
        <patternFill patternType="solid">
          <fgColor indexed="64"/>
          <bgColor rgb="FFFF0000"/>
        </patternFill>
      </fill>
    </dxf>
    <dxf>
      <font>
        <color rgb="FFFFFF00"/>
      </font>
      <fill>
        <patternFill patternType="solid">
          <fgColor indexed="64"/>
          <bgColor rgb="FFFF0000"/>
        </patternFill>
      </fill>
    </dxf>
    <dxf>
      <protection locked="1" hidden="0"/>
    </dxf>
    <dxf>
      <protection locked="1" hidden="0"/>
    </dxf>
    <dxf>
      <numFmt numFmtId="168" formatCode="#\ ??/24"/>
      <protection locked="1" hidden="0"/>
    </dxf>
    <dxf>
      <numFmt numFmtId="6" formatCode="#,##0_);[Red]\(#,##0\)"/>
      <protection locked="1" hidden="0"/>
    </dxf>
    <dxf>
      <protection locked="1" hidden="0"/>
    </dxf>
    <dxf>
      <border outline="0">
        <top style="thick">
          <color auto="1"/>
        </top>
      </border>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protection locked="1" hidden="0"/>
    </dxf>
    <dxf>
      <numFmt numFmtId="167" formatCode="#\ ??/60"/>
      <protection locked="1" hidden="0"/>
    </dxf>
    <dxf>
      <protection locked="1" hidden="0"/>
    </dxf>
    <dxf>
      <protection locked="1" hidden="0"/>
    </dxf>
    <dxf>
      <protection locked="1" hidden="0"/>
    </dxf>
    <dxf>
      <protection locked="1" hidden="0"/>
    </dxf>
    <dxf>
      <numFmt numFmtId="6" formatCode="#,##0_);[Red]\(#,##0\)"/>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border diagonalUp="0" diagonalDown="0">
        <left style="medium">
          <color auto="1"/>
        </left>
        <right/>
        <top/>
        <bottom/>
        <vertical/>
        <horizontal/>
      </border>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auto="1"/>
        </patternFill>
      </fill>
      <border diagonalUp="0" diagonalDown="0">
        <left style="medium">
          <color auto="1"/>
        </left>
        <right/>
        <top/>
        <bottom/>
        <vertical/>
        <horizontal/>
      </border>
      <protection locked="1" hidden="0"/>
    </dxf>
    <dxf>
      <protection locked="1" hidden="0"/>
    </dxf>
    <dxf>
      <protection locked="1" hidden="0"/>
    </dxf>
    <dxf>
      <protection locked="1" hidden="0"/>
    </dxf>
    <dxf>
      <protection locked="1" hidden="0"/>
    </dxf>
    <dxf>
      <protection locked="1"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6" formatCode="#,##0_);[Red]\(#,##0\)"/>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left style="thick">
          <color rgb="FFFF0000"/>
        </left>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right style="thick">
          <color rgb="FFFF0000"/>
        </right>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protection locked="1" hidden="0"/>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ill>
        <patternFill patternType="solid">
          <fgColor indexed="64"/>
          <bgColor theme="9" tint="0.39997558519241921"/>
        </patternFill>
      </fill>
      <border>
        <left style="thin">
          <color theme="9" tint="-0.499984740745262"/>
        </left>
        <right style="thin">
          <color theme="9" tint="-0.499984740745262"/>
        </right>
      </border>
    </dxf>
    <dxf>
      <font>
        <color rgb="FFFFFF00"/>
      </font>
      <fill>
        <patternFill patternType="solid">
          <fgColor indexed="64"/>
          <bgColor rgb="FFFF0000"/>
        </patternFill>
      </fill>
    </dxf>
    <dxf>
      <font>
        <color rgb="FFFFFF00"/>
      </font>
      <fill>
        <patternFill patternType="solid">
          <fgColor indexed="64"/>
          <bgColor rgb="FF008000"/>
        </patternFill>
      </fill>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color theme="1" tint="0.34998626667073579"/>
      </font>
      <fill>
        <patternFill patternType="solid">
          <fgColor indexed="64"/>
          <bgColor theme="1" tint="0.34998626667073579"/>
        </patternFill>
      </fill>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bottom/>
      </border>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border diagonalUp="0" diagonalDown="0">
        <left style="thick">
          <color rgb="FFFF0000"/>
        </left>
        <right/>
        <top/>
        <bottom/>
      </border>
      <protection locked="0" hidden="0"/>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b val="0"/>
        <i val="0"/>
        <strike val="0"/>
        <condense val="0"/>
        <extend val="0"/>
        <outline val="0"/>
        <shadow val="0"/>
        <u val="none"/>
        <vertAlign val="baseline"/>
        <sz val="14"/>
        <color theme="1"/>
        <name val="Calibri"/>
        <scheme val="minor"/>
      </font>
      <numFmt numFmtId="0" formatCode="General"/>
      <fill>
        <patternFill patternType="solid">
          <fgColor indexed="64"/>
          <bgColor rgb="FFFF0000"/>
        </patternFill>
      </fil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protection locked="1"/>
    </dxf>
    <dxf>
      <font>
        <strike val="0"/>
        <outline val="0"/>
        <shadow val="0"/>
        <u val="none"/>
        <vertAlign val="baseline"/>
        <sz val="14"/>
        <color theme="1"/>
        <name val="Calibri"/>
        <scheme val="minor"/>
      </font>
      <protection locked="1"/>
    </dxf>
    <dxf>
      <font>
        <strike val="0"/>
        <outline val="0"/>
        <shadow val="0"/>
        <u val="none"/>
        <vertAlign val="baseline"/>
        <sz val="12"/>
        <color theme="1"/>
        <name val="Calibri"/>
        <scheme val="minor"/>
      </font>
      <protection locked="1"/>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b/>
        <i val="0"/>
        <strike/>
        <u val="double"/>
        <color rgb="FFFF0000"/>
      </font>
      <fill>
        <patternFill patternType="solid">
          <fgColor indexed="64"/>
          <bgColor theme="1" tint="0.34998626667073579"/>
        </patternFill>
      </fill>
    </dxf>
    <dxf>
      <font>
        <b/>
        <i val="0"/>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b/>
        <i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4"/>
          <bgColor theme="4"/>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s>
  <tableStyles count="2" defaultTableStyle="TableStyleMedium9" defaultPivotStyle="PivotStyleMedium4">
    <tableStyle name="Custom" pivot="0" count="7">
      <tableStyleElement type="wholeTable" dxfId="275"/>
      <tableStyleElement type="headerRow" dxfId="274"/>
      <tableStyleElement type="totalRow" dxfId="273"/>
      <tableStyleElement type="firstColumn" dxfId="272"/>
      <tableStyleElement type="lastColumn" dxfId="271"/>
      <tableStyleElement type="firstRowStripe" dxfId="270"/>
      <tableStyleElement type="firstColumnStripe" dxfId="269"/>
    </tableStyle>
    <tableStyle name="TableStyleMedium14 2" pivot="0" count="7">
      <tableStyleElement type="wholeTable" dxfId="268"/>
      <tableStyleElement type="headerRow" dxfId="267"/>
      <tableStyleElement type="totalRow" dxfId="266"/>
      <tableStyleElement type="firstColumn" dxfId="265"/>
      <tableStyleElement type="lastColumn" dxfId="264"/>
      <tableStyleElement type="firstRowStripe" dxfId="263"/>
      <tableStyleElement type="firstColumnStripe" dxfId="262"/>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ConstructionState" displayName="ConstructionState" ref="A23:S72" totalsRowShown="0" headerRowDxfId="254" dataDxfId="253">
  <tableColumns count="19">
    <tableColumn id="1" name="Building or Upgrade" dataDxfId="252"/>
    <tableColumn id="14" name="Kind" dataDxfId="251">
      <calculatedColumnFormula>VLOOKUP(ConstructionState[[#This Row],[Building or Upgrade]],Upgrades[],2,FALSE)</calculatedColumnFormula>
    </tableColumn>
    <tableColumn id="15" name="Resource" dataDxfId="250">
      <calculatedColumnFormula>VLOOKUP(ConstructionState[Building or Upgrade],Upgrades[],3,FALSE)</calculatedColumnFormula>
    </tableColumn>
    <tableColumn id="21" name="MatchStr" dataDxfId="249">
      <calculatedColumnFormula>IF((IFERROR(MATCH(ConstructionState[[#This Row],[Building or Upgrade]],$P$19:$S$19,0),0)+IFERROR(MATCH(ConstructionState[[#This Row],[Building or Upgrade]],$P$20:$S$20,0),0))&gt;0,"IGNORE",ConstructionState[Kind]&amp;"-"&amp;ConstructionState[Resource])</calculatedColumnFormula>
    </tableColumn>
    <tableColumn id="2" name="Available" dataDxfId="248">
      <calculatedColumnFormula>IF(AND(ConstructionState[[#This Row],[Kind]]="Upgrade",LabLevel=0),0,VLOOKUP(ConstructionState[Building or Upgrade],QuantAvail[],1+IF(ConstructionState[[#This Row],[Kind]]="Upgrade",LabLevel,THLevel),FALSE))</calculatedColumnFormula>
    </tableColumn>
    <tableColumn id="3" name="Maximum Level" dataDxfId="247">
      <calculatedColumnFormula>IF(AND(ConstructionState[[#This Row],[Kind]]="Upgrade",LabLevel=0),0,VLOOKUP(ConstructionState[Building or Upgrade],MaxLevel[],1+IF(ConstructionState[[#This Row],[Kind]]="Upgrade",LabLevel,THLevel),FALSE))</calculatedColumnFormula>
    </tableColumn>
    <tableColumn id="4" name="Not Built/Upgraded" dataDxfId="246">
      <calculatedColumnFormula>ConstructionState[[#This Row],[Available]]-SUM(ConstructionState[[#This Row],[1]:[12]])</calculatedColumnFormula>
    </tableColumn>
    <tableColumn id="5" name="1" dataDxfId="245"/>
    <tableColumn id="6" name="2" dataDxfId="244"/>
    <tableColumn id="7" name="3" dataDxfId="243"/>
    <tableColumn id="8" name="4" dataDxfId="242"/>
    <tableColumn id="9" name="5" dataDxfId="241"/>
    <tableColumn id="10" name="6" dataDxfId="240"/>
    <tableColumn id="11" name="7" dataDxfId="239"/>
    <tableColumn id="12" name="8" dataDxfId="238"/>
    <tableColumn id="13" name="9" dataDxfId="237"/>
    <tableColumn id="16" name="10" dataDxfId="236"/>
    <tableColumn id="17" name="11" dataDxfId="235"/>
    <tableColumn id="18" name="12" dataDxfId="234"/>
  </tableColumns>
  <tableStyleInfo name="TableStyleDark10" showFirstColumn="1" showLastColumn="0" showRowStripes="1" showColumnStripes="0"/>
</table>
</file>

<file path=xl/tables/table2.xml><?xml version="1.0" encoding="utf-8"?>
<table xmlns="http://schemas.openxmlformats.org/spreadsheetml/2006/main" id="6" name="ArmyState" displayName="ArmyState" ref="B22:L42" headerRowDxfId="227" dataDxfId="226" totalsRowDxfId="225">
  <tableColumns count="11">
    <tableColumn id="1" name="Name" totalsRowLabel="Total" dataDxfId="224" totalsRowDxfId="223"/>
    <tableColumn id="4" name="Num" dataDxfId="222" totalsRowDxfId="221">
      <calculatedColumnFormula>INDEX(AttackSets[],MATCH(ArmyState[[#This Row],[Name]],AttackSets[Unit Set],0),MATCH($D$20,AttackSets[#Headers],0))</calculatedColumnFormula>
    </tableColumn>
    <tableColumn id="12" name="Type" dataDxfId="220" totalsRowDxfId="219">
      <calculatedColumnFormula>INDEX(UnitCosts[Type],MATCH(ArmyState[[#This Row],[Name]],UnitCosts[Name],0))</calculatedColumnFormula>
    </tableColumn>
    <tableColumn id="2" name="Level" dataDxfId="218" totalsRowDxfId="217">
      <calculatedColumnFormula>IFERROR(MATCH(1,'Construction Dashboard'!H53:S53,0),1)</calculatedColumnFormula>
    </tableColumn>
    <tableColumn id="3" name="Resource" dataDxfId="216" totalsRowDxfId="215">
      <calculatedColumnFormula>INDEX(UnitCosts[Resource],MATCH(ArmyState[[#This Row],[Name]],UnitCosts[Name],0))</calculatedColumnFormula>
    </tableColumn>
    <tableColumn id="9" name="Cost" dataDxfId="214" totalsRowDxfId="213">
      <calculatedColumnFormula>VLOOKUP(ArmyState[[#This Row],[Name]],UnitCosts[],MATCH(TEXT(ArmyState[[#This Row],[Level]],"#"),UnitCosts[#Headers],0),FALSE)</calculatedColumnFormula>
    </tableColumn>
    <tableColumn id="7" name="Time" dataDxfId="212" totalsRowDxfId="211">
      <calculatedColumnFormula>INDEX(UnitCosts[Train Time],MATCH(ArmyState[[#This Row],[Name]],UnitCosts[Name],0))</calculatedColumnFormula>
    </tableColumn>
    <tableColumn id="8" name="Space" dataDxfId="210" totalsRowDxfId="209">
      <calculatedColumnFormula>INDEX(UnitCosts[Space],MATCH(ArmyState[[#This Row],[Name]],UnitCosts[Name],0))</calculatedColumnFormula>
    </tableColumn>
    <tableColumn id="6" name="Total Cost" dataDxfId="208" totalsRowDxfId="207">
      <calculatedColumnFormula>ArmyState[[#This Row],[Num]]*ArmyState[[#This Row],[Cost]]</calculatedColumnFormula>
    </tableColumn>
    <tableColumn id="10" name="Total Time" dataDxfId="206" totalsRowDxfId="205">
      <calculatedColumnFormula>ArmyState[[#This Row],[Num]]*ArmyState[[#This Row],[Time]]</calculatedColumnFormula>
    </tableColumn>
    <tableColumn id="11" name="Total Space" dataDxfId="204" totalsRowDxfId="203">
      <calculatedColumnFormula>ArmyState[[#This Row],[Num]]*ArmyState[[#This Row],[Space]]</calculatedColumnFormula>
    </tableColumn>
  </tableColumns>
  <tableStyleInfo name="TableStyleDark8" showFirstColumn="0" showLastColumn="0" showRowStripes="1" showColumnStripes="0"/>
</table>
</file>

<file path=xl/tables/table3.xml><?xml version="1.0" encoding="utf-8"?>
<table xmlns="http://schemas.openxmlformats.org/spreadsheetml/2006/main" id="12" name="AttackSets" displayName="AttackSets" ref="N22:X42" headerRowDxfId="202" dataDxfId="201" totalsRowDxfId="200">
  <tableColumns count="11">
    <tableColumn id="1" name="Unit Set" totalsRowLabel="Total" dataDxfId="199" totalsRowDxfId="198"/>
    <tableColumn id="2" name="LastUsed" dataDxfId="197"/>
    <tableColumn id="3" name="Farming" dataDxfId="196"/>
    <tableColumn id="4" name="War" dataDxfId="195"/>
    <tableColumn id="6" name="G+Healers" dataDxfId="194"/>
    <tableColumn id="7" name="WarSaver" dataDxfId="193"/>
    <tableColumn id="8" name="Cheapo" dataDxfId="192"/>
    <tableColumn id="9" name="RageT1" dataDxfId="191"/>
    <tableColumn id="10" name="     " dataDxfId="190"/>
    <tableColumn id="11" name="      " dataDxfId="189"/>
    <tableColumn id="12" name="       " dataDxfId="188"/>
  </tableColumns>
  <tableStyleInfo name="Custom" showFirstColumn="0" showLastColumn="0" showRowStripes="1" showColumnStripes="0"/>
</table>
</file>

<file path=xl/tables/table4.xml><?xml version="1.0" encoding="utf-8"?>
<table xmlns="http://schemas.openxmlformats.org/spreadsheetml/2006/main" id="4" name="Upgrades" displayName="Upgrades" ref="A2:AA51" totalsRowShown="0" headerRowDxfId="132" dataDxfId="131">
  <tableColumns count="27">
    <tableColumn id="1" name="Building" dataDxfId="130"/>
    <tableColumn id="3" name="Kind" dataDxfId="129"/>
    <tableColumn id="2" name="Resource" dataDxfId="128"/>
    <tableColumn id="5" name="C1" dataDxfId="127"/>
    <tableColumn id="6" name="C2" dataDxfId="126"/>
    <tableColumn id="7" name="C3" dataDxfId="125"/>
    <tableColumn id="8" name="C4" dataDxfId="124"/>
    <tableColumn id="9" name="C5" dataDxfId="123"/>
    <tableColumn id="10" name="C6" dataDxfId="122"/>
    <tableColumn id="11" name="C7" dataDxfId="121"/>
    <tableColumn id="12" name="C8" dataDxfId="120"/>
    <tableColumn id="13" name="C9" dataDxfId="119"/>
    <tableColumn id="14" name="C10" dataDxfId="118"/>
    <tableColumn id="15" name="C11" dataDxfId="117"/>
    <tableColumn id="16" name="C12" dataDxfId="116"/>
    <tableColumn id="17" name="T1" dataDxfId="115" dataCellStyle="Normal_Upgrade Costs"/>
    <tableColumn id="18" name="T2" dataDxfId="114" dataCellStyle="Normal_Upgrade Costs"/>
    <tableColumn id="19" name="T3" dataDxfId="113" dataCellStyle="Normal_Upgrade Costs"/>
    <tableColumn id="20" name="T4" dataDxfId="112" dataCellStyle="Normal_Upgrade Costs"/>
    <tableColumn id="21" name="T5" dataDxfId="111" dataCellStyle="Normal_Upgrade Costs"/>
    <tableColumn id="22" name="T6" dataDxfId="110" dataCellStyle="Normal_Upgrade Costs"/>
    <tableColumn id="23" name="T7" dataDxfId="109" dataCellStyle="Normal_Upgrade Costs"/>
    <tableColumn id="24" name="T8" dataDxfId="108" dataCellStyle="Normal_Upgrade Costs"/>
    <tableColumn id="25" name="T9" dataDxfId="107" dataCellStyle="Normal_Upgrade Costs"/>
    <tableColumn id="26" name="T10" dataDxfId="106" dataCellStyle="Normal_Upgrade Costs"/>
    <tableColumn id="27" name="T11" dataDxfId="105" dataCellStyle="Normal_Upgrade Costs"/>
    <tableColumn id="28" name="T12" dataDxfId="104" dataCellStyle="Normal_Upgrade Costs"/>
  </tableColumns>
  <tableStyleInfo name="TableStyleMedium9" showFirstColumn="0" showLastColumn="0" showRowStripes="1" showColumnStripes="0"/>
</table>
</file>

<file path=xl/tables/table5.xml><?xml version="1.0" encoding="utf-8"?>
<table xmlns="http://schemas.openxmlformats.org/spreadsheetml/2006/main" id="5" name="UnitCosts" displayName="UnitCosts" ref="A104:K124" totalsRowShown="0" headerRowDxfId="103" dataDxfId="102">
  <tableColumns count="11">
    <tableColumn id="1" name="Name" dataDxfId="101"/>
    <tableColumn id="2" name="Type" dataDxfId="100"/>
    <tableColumn id="3" name="Resource" dataDxfId="99"/>
    <tableColumn id="16" name="Train Time" dataDxfId="98"/>
    <tableColumn id="15" name="Space" dataDxfId="97"/>
    <tableColumn id="4" name="1" dataDxfId="96"/>
    <tableColumn id="5" name="2" dataDxfId="95"/>
    <tableColumn id="6" name="3" dataDxfId="94"/>
    <tableColumn id="7" name="4" dataDxfId="93"/>
    <tableColumn id="8" name="5" dataDxfId="92"/>
    <tableColumn id="9" name="6" dataDxfId="91"/>
  </tableColumns>
  <tableStyleInfo name="TableStyleMedium9" showFirstColumn="0" showLastColumn="0" showRowStripes="1" showColumnStripes="0"/>
</table>
</file>

<file path=xl/tables/table6.xml><?xml version="1.0" encoding="utf-8"?>
<table xmlns="http://schemas.openxmlformats.org/spreadsheetml/2006/main" id="2" name="QuantAvail" displayName="QuantAvail" ref="A128:K179" totalsRowShown="0" headerRowDxfId="90" dataDxfId="89">
  <autoFilter ref="A128:K179"/>
  <tableColumns count="11">
    <tableColumn id="1" name="Quantity Available" dataDxfId="88"/>
    <tableColumn id="2" name="L1" dataDxfId="87"/>
    <tableColumn id="3" name="L2" dataDxfId="86"/>
    <tableColumn id="4" name="L3" dataDxfId="85"/>
    <tableColumn id="5" name="L4" dataDxfId="84"/>
    <tableColumn id="6" name="L5" dataDxfId="83"/>
    <tableColumn id="7" name="L6" dataDxfId="82"/>
    <tableColumn id="8" name="L7" dataDxfId="81"/>
    <tableColumn id="9" name="L8" dataDxfId="80"/>
    <tableColumn id="10" name="L9" dataDxfId="79"/>
    <tableColumn id="11" name="L10" dataDxfId="78"/>
  </tableColumns>
  <tableStyleInfo name="TableStyleMedium9" showFirstColumn="0" showLastColumn="0" showRowStripes="1" showColumnStripes="0"/>
</table>
</file>

<file path=xl/tables/table7.xml><?xml version="1.0" encoding="utf-8"?>
<table xmlns="http://schemas.openxmlformats.org/spreadsheetml/2006/main" id="3" name="MaxLevel" displayName="MaxLevel" ref="A182:K233" totalsRowShown="0" headerRowDxfId="77" dataDxfId="76">
  <autoFilter ref="A182:K233"/>
  <tableColumns count="11">
    <tableColumn id="1" name="Max Level" dataDxfId="75"/>
    <tableColumn id="2" name="L1" dataDxfId="74"/>
    <tableColumn id="3" name="L2" dataDxfId="73"/>
    <tableColumn id="4" name="L3" dataDxfId="72"/>
    <tableColumn id="5" name="L4" dataDxfId="71"/>
    <tableColumn id="6" name="L5" dataDxfId="70"/>
    <tableColumn id="7" name="L6" dataDxfId="69"/>
    <tableColumn id="8" name="L7" dataDxfId="68"/>
    <tableColumn id="9" name="L8" dataDxfId="67"/>
    <tableColumn id="10" name="L9" dataDxfId="66"/>
    <tableColumn id="11" name="L10" dataDxfId="65"/>
  </tableColumns>
  <tableStyleInfo name="TableStyleMedium9" showFirstColumn="0" showLastColumn="0" showRowStripes="1" showColumnStripes="0"/>
</table>
</file>

<file path=xl/tables/table8.xml><?xml version="1.0" encoding="utf-8"?>
<table xmlns="http://schemas.openxmlformats.org/spreadsheetml/2006/main" id="11" name="CampCapByLevel" displayName="CampCapByLevel" ref="A100:I101" headerRowCount="0" totalsRowShown="0" headerRowDxfId="64" dataDxfId="63">
  <tableColumns count="9">
    <tableColumn id="1" name="Column1" dataDxfId="62"/>
    <tableColumn id="2" name="Column2" dataDxfId="61"/>
    <tableColumn id="3" name="Column3" dataDxfId="60"/>
    <tableColumn id="4" name="Column4" dataDxfId="59"/>
    <tableColumn id="5" name="Column5" dataDxfId="58"/>
    <tableColumn id="6" name="Column6" dataDxfId="57"/>
    <tableColumn id="7" name="Column7" dataDxfId="56"/>
    <tableColumn id="8" name="Column8" dataDxfId="55"/>
    <tableColumn id="9" name="Column9" dataDxfId="54"/>
  </tableColumns>
  <tableStyleInfo name="TableStyleMedium9" showFirstColumn="1" showLastColumn="0" showRowStripes="1" showColumnStripes="0"/>
</table>
</file>

<file path=xl/tables/table9.xml><?xml version="1.0" encoding="utf-8"?>
<table xmlns="http://schemas.openxmlformats.org/spreadsheetml/2006/main" id="1" name="HeroUpgrades" displayName="HeroUpgrades" ref="A56:E96" totalsRowShown="0" headerRowDxfId="53" dataDxfId="52" tableBorderDxfId="51">
  <autoFilter ref="A56:E96"/>
  <tableColumns count="5">
    <tableColumn id="1" name="Level" dataDxfId="50"/>
    <tableColumn id="2" name="BK-Cost" dataDxfId="49"/>
    <tableColumn id="3" name="BK-Time" dataDxfId="48"/>
    <tableColumn id="4" name="AQ-Cost" dataDxfId="47"/>
    <tableColumn id="5" name="AQ-Time" dataDxfId="46"/>
  </tableColumns>
  <tableStyleInfo name="TableStyleMedium9" showFirstColumn="0" showLastColumn="0" showRowStripes="1" showColumnStripes="0"/>
</table>
</file>

<file path=xl/tables/table10.xml><?xml version="1.0" encoding="utf-8"?>
<table xmlns="http://schemas.openxmlformats.org/spreadsheetml/2006/main" id="8" name="CostRemaining" displayName="CostRemaining" ref="A12:R61" totalsRowShown="0" headerRowDxfId="43" dataDxfId="42">
  <autoFilter ref="A12:R61"/>
  <tableColumns count="18">
    <tableColumn id="1" name="Cost" dataDxfId="41"/>
    <tableColumn id="15" name="Kind" dataDxfId="40">
      <calculatedColumnFormula>VLOOKUP(CostRemaining[[#This Row],[Cost]],Upgrades[],2,FALSE)</calculatedColumnFormula>
    </tableColumn>
    <tableColumn id="2" name="Resource" dataDxfId="39">
      <calculatedColumnFormula>VLOOKUP(CostRemaining[[#This Row],[Cost]],Upgrades[],3,FALSE)</calculatedColumnFormula>
    </tableColumn>
    <tableColumn id="18" name="MatchStr" dataDxfId="38">
      <calculatedColumnFormula>IF((IFERROR(MATCH(CostRemaining[[#This Row],[Cost]],'Construction Dashboard'!$P$19:$S$19,0),0)+IFERROR(MATCH(CostRemaining[[#This Row],[Cost]],'Construction Dashboard'!$P$20:$S$20,0),0))&gt;0,"IGNORE",CostRemaining[Kind]&amp;"-"&amp;CostRemaining[Resource])</calculatedColumnFormula>
    </tableColumn>
    <tableColumn id="14" name="Next" dataDxfId="37">
      <calculatedColumnFormula>IFERROR(VLOOKUP(CostRemaining[[#This Row],[Cost]],Upgrades[],MATCH("C"&amp;MATCH(TRUE,INDEX(CostRemaining[[#This Row],[1]:[12]]&lt;&gt;0,),0),Upgrades[#Headers],0),FALSE),"")</calculatedColumnFormula>
    </tableColumn>
    <tableColumn id="3" name="1" dataDxfId="36">
      <calculatedColumnFormula>IF(VALUE(CostRemaining[#Headers])&lt;='Construction Dashboard'!$F24,IFERROR(VLOOKUP(CostRemaining[[#This Row],[Cost]],Upgrades[],MATCH("C"&amp;CostRemaining[#Headers],Upgrades[#Headers],0),FALSE),0)*MAX(0,SUM('Construction Dashboard'!$G24:G24)),0)</calculatedColumnFormula>
    </tableColumn>
    <tableColumn id="4" name="2" dataDxfId="35">
      <calculatedColumnFormula>IF(VALUE(CostRemaining[#Headers])&lt;='Construction Dashboard'!$F24,IFERROR(VLOOKUP(CostRemaining[[#This Row],[Cost]],Upgrades[],MATCH("C"&amp;CostRemaining[#Headers],Upgrades[#Headers],0),FALSE),0)*MAX(0,SUM('Construction Dashboard'!$G24:H24)),0)</calculatedColumnFormula>
    </tableColumn>
    <tableColumn id="5" name="3" dataDxfId="34">
      <calculatedColumnFormula>IF(VALUE(CostRemaining[#Headers])&lt;='Construction Dashboard'!$F24,IFERROR(VLOOKUP(CostRemaining[[#This Row],[Cost]],Upgrades[],MATCH("C"&amp;CostRemaining[#Headers],Upgrades[#Headers],0),FALSE),0)*MAX(0,SUM('Construction Dashboard'!$G24:I24)),0)</calculatedColumnFormula>
    </tableColumn>
    <tableColumn id="6" name="4" dataDxfId="33">
      <calculatedColumnFormula>IF(VALUE(CostRemaining[#Headers])&lt;='Construction Dashboard'!$F24,IFERROR(VLOOKUP(CostRemaining[[#This Row],[Cost]],Upgrades[],MATCH("C"&amp;CostRemaining[#Headers],Upgrades[#Headers],0),FALSE),0)*MAX(0,SUM('Construction Dashboard'!$G24:J24)),0)</calculatedColumnFormula>
    </tableColumn>
    <tableColumn id="7" name="5" dataDxfId="32">
      <calculatedColumnFormula>IF(VALUE(CostRemaining[#Headers])&lt;='Construction Dashboard'!$F24,IFERROR(VLOOKUP(CostRemaining[[#This Row],[Cost]],Upgrades[],MATCH("C"&amp;CostRemaining[#Headers],Upgrades[#Headers],0),FALSE),0)*MAX(0,SUM('Construction Dashboard'!$G24:K24)),0)</calculatedColumnFormula>
    </tableColumn>
    <tableColumn id="8" name="6" dataDxfId="31">
      <calculatedColumnFormula>IF(VALUE(CostRemaining[#Headers])&lt;='Construction Dashboard'!$F24,IFERROR(VLOOKUP(CostRemaining[[#This Row],[Cost]],Upgrades[],MATCH("C"&amp;CostRemaining[#Headers],Upgrades[#Headers],0),FALSE),0)*MAX(0,SUM('Construction Dashboard'!$G24:L24)),0)</calculatedColumnFormula>
    </tableColumn>
    <tableColumn id="9" name="7" dataDxfId="30">
      <calculatedColumnFormula>IF(VALUE(CostRemaining[#Headers])&lt;='Construction Dashboard'!$F24,IFERROR(VLOOKUP(CostRemaining[[#This Row],[Cost]],Upgrades[],MATCH("C"&amp;CostRemaining[#Headers],Upgrades[#Headers],0),FALSE),0)*MAX(0,SUM('Construction Dashboard'!$G24:M24)),0)</calculatedColumnFormula>
    </tableColumn>
    <tableColumn id="10" name="8" dataDxfId="29">
      <calculatedColumnFormula>IF(VALUE(CostRemaining[#Headers])&lt;='Construction Dashboard'!$F24,IFERROR(VLOOKUP(CostRemaining[[#This Row],[Cost]],Upgrades[],MATCH("C"&amp;CostRemaining[#Headers],Upgrades[#Headers],0),FALSE),0)*MAX(0,SUM('Construction Dashboard'!$G24:N24)),0)</calculatedColumnFormula>
    </tableColumn>
    <tableColumn id="11" name="9" dataDxfId="28">
      <calculatedColumnFormula>IF(VALUE(CostRemaining[#Headers])&lt;='Construction Dashboard'!$F24,IFERROR(VLOOKUP(CostRemaining[[#This Row],[Cost]],Upgrades[],MATCH("C"&amp;CostRemaining[#Headers],Upgrades[#Headers],0),FALSE),0)*MAX(0,SUM('Construction Dashboard'!$G24:O24)),0)</calculatedColumnFormula>
    </tableColumn>
    <tableColumn id="12" name="10" dataDxfId="27">
      <calculatedColumnFormula>IF(VALUE(CostRemaining[#Headers])&lt;='Construction Dashboard'!$F24,IFERROR(VLOOKUP(CostRemaining[[#This Row],[Cost]],Upgrades[],MATCH("C"&amp;CostRemaining[#Headers],Upgrades[#Headers],0),FALSE),0)*MAX(0,SUM('Construction Dashboard'!$G24:P24)),0)</calculatedColumnFormula>
    </tableColumn>
    <tableColumn id="13" name="11" dataDxfId="26">
      <calculatedColumnFormula>IF(VALUE(CostRemaining[#Headers])&lt;='Construction Dashboard'!$F24,IFERROR(VLOOKUP(CostRemaining[[#This Row],[Cost]],Upgrades[],MATCH("C"&amp;CostRemaining[#Headers],Upgrades[#Headers],0),FALSE),0)*MAX(0,SUM('Construction Dashboard'!$G24:Q24)),0)</calculatedColumnFormula>
    </tableColumn>
    <tableColumn id="16" name="12" dataDxfId="25">
      <calculatedColumnFormula>IF(VALUE(CostRemaining[#Headers])&lt;='Construction Dashboard'!$F24,IFERROR(VLOOKUP(CostRemaining[[#This Row],[Cost]],Upgrades[],MATCH("C"&amp;CostRemaining[#Headers],Upgrades[#Headers],0),FALSE),0)*MAX(0,SUM('Construction Dashboard'!$G24:R24)),0)</calculatedColumnFormula>
    </tableColumn>
    <tableColumn id="17" name="Sum" dataDxfId="24">
      <calculatedColumnFormula>IF(CostRemaining[[#This Row],[MatchStr]]="IGNORE",0,SUM(CostRemaining[[#This Row],[1]:[12]]))</calculatedColumnFormula>
    </tableColumn>
  </tableColumns>
  <tableStyleInfo name="TableStyleDark8" showFirstColumn="0" showLastColumn="1" showRowStripes="1" showColumnStripes="0"/>
</table>
</file>

<file path=xl/tables/table11.xml><?xml version="1.0" encoding="utf-8"?>
<table xmlns="http://schemas.openxmlformats.org/spreadsheetml/2006/main" id="9" name="TimeRemaining" displayName="TimeRemaining" ref="A66:R115" totalsRowShown="0" headerRowDxfId="23" dataDxfId="22">
  <autoFilter ref="A66:R115"/>
  <tableColumns count="18">
    <tableColumn id="1" name="Time" dataDxfId="21"/>
    <tableColumn id="15" name="Kind" dataDxfId="20">
      <calculatedColumnFormula>VLOOKUP(TimeRemaining[[#This Row],[Time]],Upgrades[],2,FALSE)</calculatedColumnFormula>
    </tableColumn>
    <tableColumn id="2" name="Resource" dataDxfId="19">
      <calculatedColumnFormula>VLOOKUP(TimeRemaining[[#This Row],[Time]],Upgrades[],3,FALSE)</calculatedColumnFormula>
    </tableColumn>
    <tableColumn id="18" name="MatchStr" dataDxfId="18">
      <calculatedColumnFormula>IF((IFERROR(MATCH(TimeRemaining[[#This Row],[Time]],'Construction Dashboard'!$P$19:$S$19,0),0)+IFERROR(MATCH(TimeRemaining[[#This Row],[Time]],'Construction Dashboard'!$P$20:$S$20,0),0))&gt;0,"IGNORE",TimeRemaining[Kind]&amp;"-"&amp;TimeRemaining[Resource])</calculatedColumnFormula>
    </tableColumn>
    <tableColumn id="14" name="Next" dataDxfId="17">
      <calculatedColumnFormula>IFERROR(VLOOKUP(TimeRemaining[[#This Row],[Time]],Upgrades[],MATCH("T"&amp;MATCH(TRUE,INDEX(TimeRemaining[[#This Row],[1]:[12]]&lt;&gt;0,),0),Upgrades[#Headers],0),FALSE),"")</calculatedColumnFormula>
    </tableColumn>
    <tableColumn id="3" name="1" dataDxfId="16">
      <calculatedColumnFormula>IF(VALUE(TimeRemaining[#Headers])&lt;='Construction Dashboard'!$F24,IFERROR(VLOOKUP(TimeRemaining[[#This Row],[Time]],Upgrades[],MATCH("T"&amp;TimeRemaining[#Headers],Upgrades[#Headers],0),FALSE),0)*MAX(0,SUM('Construction Dashboard'!$G24:G24)),0)</calculatedColumnFormula>
    </tableColumn>
    <tableColumn id="4" name="2" dataDxfId="15">
      <calculatedColumnFormula>IF(VALUE(TimeRemaining[#Headers])&lt;='Construction Dashboard'!$F24,IFERROR(VLOOKUP(TimeRemaining[[#This Row],[Time]],Upgrades[],MATCH("T"&amp;TimeRemaining[#Headers],Upgrades[#Headers],0),FALSE),0)*MAX(0,SUM('Construction Dashboard'!$G24:H24)),0)</calculatedColumnFormula>
    </tableColumn>
    <tableColumn id="5" name="3" dataDxfId="14">
      <calculatedColumnFormula>IF(VALUE(TimeRemaining[#Headers])&lt;='Construction Dashboard'!$F24,IFERROR(VLOOKUP(TimeRemaining[[#This Row],[Time]],Upgrades[],MATCH("T"&amp;TimeRemaining[#Headers],Upgrades[#Headers],0),FALSE),0)*MAX(0,SUM('Construction Dashboard'!$G24:I24)),0)</calculatedColumnFormula>
    </tableColumn>
    <tableColumn id="6" name="4" dataDxfId="13">
      <calculatedColumnFormula>IF(VALUE(TimeRemaining[#Headers])&lt;='Construction Dashboard'!$F24,IFERROR(VLOOKUP(TimeRemaining[[#This Row],[Time]],Upgrades[],MATCH("T"&amp;TimeRemaining[#Headers],Upgrades[#Headers],0),FALSE),0)*MAX(0,SUM('Construction Dashboard'!$G24:J24)),0)</calculatedColumnFormula>
    </tableColumn>
    <tableColumn id="7" name="5" dataDxfId="12">
      <calculatedColumnFormula>IF(VALUE(TimeRemaining[#Headers])&lt;='Construction Dashboard'!$F24,IFERROR(VLOOKUP(TimeRemaining[[#This Row],[Time]],Upgrades[],MATCH("T"&amp;TimeRemaining[#Headers],Upgrades[#Headers],0),FALSE),0)*MAX(0,SUM('Construction Dashboard'!$G24:K24)),0)</calculatedColumnFormula>
    </tableColumn>
    <tableColumn id="8" name="6" dataDxfId="11">
      <calculatedColumnFormula>IF(VALUE(TimeRemaining[#Headers])&lt;='Construction Dashboard'!$F24,IFERROR(VLOOKUP(TimeRemaining[[#This Row],[Time]],Upgrades[],MATCH("T"&amp;TimeRemaining[#Headers],Upgrades[#Headers],0),FALSE),0)*MAX(0,SUM('Construction Dashboard'!$G24:L24)),0)</calculatedColumnFormula>
    </tableColumn>
    <tableColumn id="9" name="7" dataDxfId="10">
      <calculatedColumnFormula>IF(VALUE(TimeRemaining[#Headers])&lt;='Construction Dashboard'!$F24,IFERROR(VLOOKUP(TimeRemaining[[#This Row],[Time]],Upgrades[],MATCH("T"&amp;TimeRemaining[#Headers],Upgrades[#Headers],0),FALSE),0)*MAX(0,SUM('Construction Dashboard'!$G24:M24)),0)</calculatedColumnFormula>
    </tableColumn>
    <tableColumn id="10" name="8" dataDxfId="9">
      <calculatedColumnFormula>IF(VALUE(TimeRemaining[#Headers])&lt;='Construction Dashboard'!$F24,IFERROR(VLOOKUP(TimeRemaining[[#This Row],[Time]],Upgrades[],MATCH("T"&amp;TimeRemaining[#Headers],Upgrades[#Headers],0),FALSE),0)*MAX(0,SUM('Construction Dashboard'!$G24:N24)),0)</calculatedColumnFormula>
    </tableColumn>
    <tableColumn id="11" name="9" dataDxfId="8">
      <calculatedColumnFormula>IF(VALUE(TimeRemaining[#Headers])&lt;='Construction Dashboard'!$F24,IFERROR(VLOOKUP(TimeRemaining[[#This Row],[Time]],Upgrades[],MATCH("T"&amp;TimeRemaining[#Headers],Upgrades[#Headers],0),FALSE),0)*MAX(0,SUM('Construction Dashboard'!$G24:O24)),0)</calculatedColumnFormula>
    </tableColumn>
    <tableColumn id="12" name="10" dataDxfId="7">
      <calculatedColumnFormula>IF(VALUE(TimeRemaining[#Headers])&lt;='Construction Dashboard'!$F24,IFERROR(VLOOKUP(TimeRemaining[[#This Row],[Time]],Upgrades[],MATCH("T"&amp;TimeRemaining[#Headers],Upgrades[#Headers],0),FALSE),0)*MAX(0,SUM('Construction Dashboard'!$G24:P24)),0)</calculatedColumnFormula>
    </tableColumn>
    <tableColumn id="13" name="11" dataDxfId="6">
      <calculatedColumnFormula>IF(VALUE(TimeRemaining[#Headers])&lt;='Construction Dashboard'!$F24,IFERROR(VLOOKUP(TimeRemaining[[#This Row],[Time]],Upgrades[],MATCH("T"&amp;TimeRemaining[#Headers],Upgrades[#Headers],0),FALSE),0)*MAX(0,SUM('Construction Dashboard'!$G24:Q24)),0)</calculatedColumnFormula>
    </tableColumn>
    <tableColumn id="16" name="12" dataDxfId="5">
      <calculatedColumnFormula>IF(VALUE(TimeRemaining[#Headers])&lt;='Construction Dashboard'!$F24,IFERROR(VLOOKUP(TimeRemaining[[#This Row],[Time]],Upgrades[],MATCH("T"&amp;TimeRemaining[#Headers],Upgrades[#Headers],0),FALSE),0)*MAX(0,SUM('Construction Dashboard'!$G24:R24)),0)</calculatedColumnFormula>
    </tableColumn>
    <tableColumn id="17" name="Sum" dataDxfId="4">
      <calculatedColumnFormula>IF(TimeRemaining[[#This Row],[MatchStr]]="IGNORE",0,SUM(TimeRemaining[[#This Row],[1]:[12]]))</calculatedColumnFormula>
    </tableColumn>
  </tableColumns>
  <tableStyleInfo name="TableStyleDark8" showFirstColumn="0" showLastColumn="1" showRowStripes="1" showColumnStripes="0"/>
</table>
</file>

<file path=xl/tables/table12.xml><?xml version="1.0" encoding="utf-8"?>
<table xmlns="http://schemas.openxmlformats.org/spreadsheetml/2006/main" id="13" name="HeroNextUpgrade" displayName="HeroNextUpgrade" ref="A6:G8" totalsRowShown="0">
  <autoFilter ref="A6:G8"/>
  <tableColumns count="7">
    <tableColumn id="1" name="Hero"/>
    <tableColumn id="7" name="Lookup Key"/>
    <tableColumn id="2" name="CurrentLevel">
      <calculatedColumnFormula>AQLevel</calculatedColumnFormula>
    </tableColumn>
    <tableColumn id="3" name="MaxLevel" dataDxfId="3">
      <calculatedColumnFormula>VLOOKUP(HeroNextUpgrade[[#This Row],[Hero]],MaxLevel[],MATCH("L"&amp;THLevel,MaxLevel[#Headers],0),FALSE)</calculatedColumnFormula>
    </tableColumn>
    <tableColumn id="6" name="Upgradeable" dataDxfId="2">
      <calculatedColumnFormula>HeroNextUpgrade[[#This Row],[CurrentLevel]]&lt;HeroNextUpgrade[[#This Row],[MaxLevel]]</calculatedColumnFormula>
    </tableColumn>
    <tableColumn id="4" name="Cost" dataDxfId="1">
      <calculatedColumnFormula>VLOOKUP(HeroNextUpgrade[[#This Row],[CurrentLevel]]+1,HeroUpgrades[],MATCH(HeroNextUpgrade[[#This Row],[Lookup Key]]&amp;"-Cost",HeroUpgrades[#Headers],0),FALSE)</calculatedColumnFormula>
    </tableColumn>
    <tableColumn id="5" name="Time" dataDxfId="0">
      <calculatedColumnFormula>VLOOKUP(HeroNextUpgrade[[#This Row],[CurrentLevel]]+1,HeroUpgrades[],MATCH(HeroNextUpgrade[[#This Row],[Lookup Key]]&amp;"-Time",HeroUpgrades[#Headers],0),FALSE)</calculatedColumnFormula>
    </tableColumn>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 Id="rId2"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clashofclans.wikia.com/" TargetMode="External"/><Relationship Id="rId2" Type="http://schemas.openxmlformats.org/officeDocument/2006/relationships/hyperlink" Target="mailto:web+clash@straxhaber.com" TargetMode="External"/><Relationship Id="rId3" Type="http://schemas.openxmlformats.org/officeDocument/2006/relationships/hyperlink" Target="https://www.paypal.com/cgi-bin/webscr?cmd=_s-xclick&amp;hosted_button_id=ME85YXLE2WPCJ"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4" Type="http://schemas.openxmlformats.org/officeDocument/2006/relationships/table" Target="../tables/table7.xml"/><Relationship Id="rId5" Type="http://schemas.openxmlformats.org/officeDocument/2006/relationships/table" Target="../tables/table8.xml"/><Relationship Id="rId6" Type="http://schemas.openxmlformats.org/officeDocument/2006/relationships/table" Target="../tables/table9.xml"/><Relationship Id="rId1" Type="http://schemas.openxmlformats.org/officeDocument/2006/relationships/table" Target="../tables/table4.xml"/><Relationship Id="rId2"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0.xml"/><Relationship Id="rId2" Type="http://schemas.openxmlformats.org/officeDocument/2006/relationships/table" Target="../tables/table11.xml"/><Relationship Id="rId3"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S73"/>
  <sheetViews>
    <sheetView tabSelected="1" workbookViewId="0">
      <selection activeCell="G25" sqref="G25"/>
    </sheetView>
  </sheetViews>
  <sheetFormatPr baseColWidth="10" defaultRowHeight="15" x14ac:dyDescent="0"/>
  <cols>
    <col min="1" max="1" width="20.33203125" style="26" bestFit="1" customWidth="1"/>
    <col min="2" max="2" width="9.33203125" style="26" bestFit="1" customWidth="1"/>
    <col min="3" max="3" width="11" style="26" bestFit="1" customWidth="1"/>
    <col min="4" max="4" width="19.5" style="49" hidden="1" customWidth="1"/>
    <col min="5" max="7" width="17.6640625" style="26" customWidth="1"/>
    <col min="8" max="19" width="13.83203125" style="26" customWidth="1"/>
    <col min="20" max="16384" width="10.83203125" style="26"/>
  </cols>
  <sheetData>
    <row r="1" spans="1:19" ht="16" thickTop="1">
      <c r="A1" s="192" t="s">
        <v>208</v>
      </c>
      <c r="B1" s="193"/>
      <c r="C1" s="193"/>
      <c r="D1" s="193"/>
      <c r="E1" s="193"/>
      <c r="F1" s="193"/>
      <c r="G1" s="194"/>
      <c r="H1" s="195"/>
      <c r="I1" s="195"/>
      <c r="J1" s="195"/>
      <c r="K1" s="195"/>
      <c r="L1" s="195"/>
      <c r="M1" s="195"/>
      <c r="N1" s="195"/>
      <c r="O1" s="195"/>
      <c r="P1" s="195"/>
      <c r="Q1" s="195"/>
      <c r="R1" s="195"/>
      <c r="S1" s="196"/>
    </row>
    <row r="2" spans="1:19" ht="16" thickBot="1">
      <c r="A2" s="197"/>
      <c r="B2" s="198"/>
      <c r="C2" s="198"/>
      <c r="D2" s="198"/>
      <c r="E2" s="198"/>
      <c r="F2" s="198"/>
      <c r="G2" s="199"/>
      <c r="H2" s="200"/>
      <c r="I2" s="200"/>
      <c r="J2" s="200"/>
      <c r="K2" s="200"/>
      <c r="L2" s="200"/>
      <c r="M2" s="200"/>
      <c r="N2" s="200"/>
      <c r="O2" s="200"/>
      <c r="P2" s="200"/>
      <c r="Q2" s="200"/>
      <c r="R2" s="200"/>
      <c r="S2" s="201"/>
    </row>
    <row r="3" spans="1:19" ht="17" thickTop="1" thickBot="1">
      <c r="A3" s="167"/>
      <c r="B3" s="167"/>
      <c r="C3" s="167"/>
      <c r="E3" s="167"/>
      <c r="F3" s="167"/>
      <c r="G3" s="167"/>
      <c r="H3" s="167"/>
      <c r="I3" s="167"/>
      <c r="J3" s="167"/>
      <c r="K3" s="167"/>
      <c r="L3" s="167"/>
      <c r="M3" s="167"/>
      <c r="N3" s="167"/>
      <c r="O3" s="167"/>
      <c r="P3" s="167"/>
      <c r="Q3" s="167"/>
      <c r="R3" s="167"/>
      <c r="S3" s="167"/>
    </row>
    <row r="4" spans="1:19" ht="20" customHeight="1" thickTop="1" thickBot="1">
      <c r="A4" s="192" t="s">
        <v>132</v>
      </c>
      <c r="B4" s="193"/>
      <c r="C4" s="193"/>
      <c r="D4" s="193"/>
      <c r="E4" s="193"/>
      <c r="F4" s="193"/>
      <c r="G4" s="209"/>
      <c r="H4" s="167"/>
      <c r="I4" s="219" t="s">
        <v>204</v>
      </c>
      <c r="J4" s="220"/>
      <c r="K4" s="220"/>
      <c r="L4" s="220"/>
      <c r="M4" s="220"/>
      <c r="N4" s="221"/>
      <c r="O4" s="167"/>
      <c r="P4" s="214" t="s">
        <v>206</v>
      </c>
      <c r="Q4" s="215"/>
      <c r="R4" s="215"/>
      <c r="S4" s="216"/>
    </row>
    <row r="5" spans="1:19" ht="19" customHeight="1" thickTop="1" thickBot="1">
      <c r="A5" s="210"/>
      <c r="B5" s="211"/>
      <c r="C5" s="211"/>
      <c r="D5" s="211"/>
      <c r="E5" s="211"/>
      <c r="F5" s="211"/>
      <c r="G5" s="212"/>
      <c r="H5" s="167"/>
      <c r="I5" s="27" t="s">
        <v>181</v>
      </c>
      <c r="J5" s="28" t="s">
        <v>30</v>
      </c>
      <c r="K5" s="29" t="s">
        <v>1</v>
      </c>
      <c r="L5" s="29" t="s">
        <v>103</v>
      </c>
      <c r="M5" s="29" t="s">
        <v>213</v>
      </c>
      <c r="N5" s="30" t="s">
        <v>212</v>
      </c>
      <c r="O5" s="167"/>
      <c r="P5" s="27" t="s">
        <v>31</v>
      </c>
      <c r="Q5" s="31" t="s">
        <v>14</v>
      </c>
      <c r="R5" s="31" t="s">
        <v>105</v>
      </c>
      <c r="S5" s="32" t="s">
        <v>205</v>
      </c>
    </row>
    <row r="6" spans="1:19" ht="19" customHeight="1" thickTop="1">
      <c r="A6" s="224" t="s">
        <v>168</v>
      </c>
      <c r="B6" s="225"/>
      <c r="C6" s="225"/>
      <c r="D6" s="225"/>
      <c r="E6" s="225"/>
      <c r="F6" s="225"/>
      <c r="G6" s="226"/>
      <c r="H6" s="167"/>
      <c r="I6" s="33" t="s">
        <v>14</v>
      </c>
      <c r="J6" s="34">
        <f>SUMIFS(CostRemaining[Sum],CostRemaining[Resource],J$5,CostRemaining[Kind],$I6)</f>
        <v>3080000</v>
      </c>
      <c r="K6" s="35">
        <f>SUMIFS(CostRemaining[Sum],CostRemaining[Resource],K$5,CostRemaining[Kind],$I6)</f>
        <v>7650000</v>
      </c>
      <c r="L6" s="35">
        <f>SUMIFS(CostRemaining[Sum],CostRemaining[Resource],L$5,CostRemaining[Kind],$I6)</f>
        <v>0</v>
      </c>
      <c r="M6" s="160">
        <f>SUMIF(TimeRemaining[Kind],$I6,TimeRemaining[Sum])</f>
        <v>35</v>
      </c>
      <c r="N6" s="161">
        <f>M6/IF(I6="Building",NumBuilders,1)</f>
        <v>7</v>
      </c>
      <c r="O6" s="167"/>
      <c r="P6" s="33" t="s">
        <v>30</v>
      </c>
      <c r="Q6" s="37" t="str">
        <f t="array" ref="Q6">IFERROR(INDEX(CostRemaining[Cost],MATCH(R6,IF(CostRemaining[MatchStr]=Q$5&amp;"-"&amp;P6,CostRemaining[Next]),0)),0)</f>
        <v>Air Defense</v>
      </c>
      <c r="R6" s="35">
        <f t="array" ref="R6">MIN(IF(CostRemaining[MatchStr]=Q$5&amp;"-"&amp;P6,CostRemaining[Next]))</f>
        <v>1080000</v>
      </c>
      <c r="S6" s="36">
        <f>IFERROR(IF(VLOOKUP(Q6,TimeRemaining[],5,FALSE)="",0,VLOOKUP(Q6,TimeRemaining[],5,FALSE)),0)</f>
        <v>6</v>
      </c>
    </row>
    <row r="7" spans="1:19" ht="19" customHeight="1">
      <c r="A7" s="227"/>
      <c r="B7" s="228"/>
      <c r="C7" s="228"/>
      <c r="D7" s="228"/>
      <c r="E7" s="228"/>
      <c r="F7" s="228"/>
      <c r="G7" s="229"/>
      <c r="H7" s="167"/>
      <c r="I7" s="33" t="s">
        <v>24</v>
      </c>
      <c r="J7" s="38">
        <f>SUMIFS(CostRemaining[Sum],CostRemaining[Resource],J$5,CostRemaining[Kind],$I7)</f>
        <v>43725000</v>
      </c>
      <c r="K7" s="39">
        <f>SUMIFS(CostRemaining[Sum],CostRemaining[Resource],K$5,CostRemaining[Kind],$I7)</f>
        <v>0</v>
      </c>
      <c r="L7" s="39">
        <f>SUMIFS(CostRemaining[Sum],CostRemaining[Resource],L$5,CostRemaining[Kind],$I7)</f>
        <v>0</v>
      </c>
      <c r="M7" s="162">
        <f>SUMIF(TimeRemaining[Kind],$I7,TimeRemaining[Sum])</f>
        <v>0</v>
      </c>
      <c r="N7" s="163">
        <f>M7/IF(I7="Building",NumBuilders,1)</f>
        <v>0</v>
      </c>
      <c r="O7" s="167"/>
      <c r="P7" s="33" t="s">
        <v>1</v>
      </c>
      <c r="Q7" s="41" t="str">
        <f t="array" ref="Q7">IFERROR(INDEX(CostRemaining[Cost],MATCH(R7,IF(CostRemaining[MatchStr]=Q$5&amp;"-"&amp;P7,CostRemaining[Next]),0)),0)</f>
        <v>Barracks</v>
      </c>
      <c r="R7" s="39">
        <f t="array" ref="R7">MIN(IF(CostRemaining[MatchStr]=Q$5&amp;"-"&amp;P7,CostRemaining[Next]))</f>
        <v>700000</v>
      </c>
      <c r="S7" s="40">
        <f>IFERROR(IF(VLOOKUP(Q7,TimeRemaining[],5,FALSE)="",0,VLOOKUP(Q7,TimeRemaining[],5,FALSE)),0)</f>
        <v>2</v>
      </c>
    </row>
    <row r="8" spans="1:19" ht="19" customHeight="1" thickBot="1">
      <c r="A8" s="227"/>
      <c r="B8" s="228"/>
      <c r="C8" s="228"/>
      <c r="D8" s="228"/>
      <c r="E8" s="228"/>
      <c r="F8" s="228"/>
      <c r="G8" s="229"/>
      <c r="H8" s="167"/>
      <c r="I8" s="33" t="s">
        <v>72</v>
      </c>
      <c r="J8" s="38">
        <f>SUMIFS(CostRemaining[Sum],CostRemaining[Resource],J$5,CostRemaining[Kind],$I8)</f>
        <v>0</v>
      </c>
      <c r="K8" s="39">
        <f>SUMIFS(CostRemaining[Sum],CostRemaining[Resource],K$5,CostRemaining[Kind],$I8)</f>
        <v>7050000</v>
      </c>
      <c r="L8" s="39">
        <f>SUMIFS(CostRemaining[Sum],CostRemaining[Resource],L$5,CostRemaining[Kind],$I8)</f>
        <v>20000</v>
      </c>
      <c r="M8" s="162">
        <f>SUMIF(TimeRemaining[Kind],$I8,TimeRemaining[Sum])</f>
        <v>29</v>
      </c>
      <c r="N8" s="164">
        <f>M8/IF(I8="Building",NumBuilders,1)</f>
        <v>29</v>
      </c>
      <c r="O8" s="167"/>
      <c r="P8" s="42" t="s">
        <v>103</v>
      </c>
      <c r="Q8" s="43">
        <f t="array" ref="Q8">IFERROR(INDEX(CostRemaining[Cost],MATCH(R8,IF(CostRemaining[MatchStr]=Q$5&amp;"-"&amp;P8,CostRemaining[Next]),0)),0)</f>
        <v>0</v>
      </c>
      <c r="R8" s="44">
        <f t="array" ref="R8">MIN(IF(CostRemaining[MatchStr]=Q$5&amp;"-"&amp;P8,CostRemaining[Next]))</f>
        <v>0</v>
      </c>
      <c r="S8" s="45">
        <f>IFERROR(IF(VLOOKUP(Q8,TimeRemaining[],5,FALSE)="",0,VLOOKUP(Q8,TimeRemaining[],5,FALSE)),0)</f>
        <v>0</v>
      </c>
    </row>
    <row r="9" spans="1:19" ht="20" thickTop="1" thickBot="1">
      <c r="A9" s="227"/>
      <c r="B9" s="228"/>
      <c r="C9" s="228"/>
      <c r="D9" s="228"/>
      <c r="E9" s="228"/>
      <c r="F9" s="228"/>
      <c r="G9" s="229"/>
      <c r="H9" s="167"/>
      <c r="I9" s="46" t="s">
        <v>109</v>
      </c>
      <c r="J9" s="47">
        <f>SUM(J6:J8)</f>
        <v>46805000</v>
      </c>
      <c r="K9" s="48">
        <f>SUM(K6:K8)</f>
        <v>14700000</v>
      </c>
      <c r="L9" s="48">
        <f>SUM(L6:L8)</f>
        <v>20000</v>
      </c>
      <c r="M9" s="165">
        <f>MAX(M6:M8)</f>
        <v>35</v>
      </c>
      <c r="N9" s="166">
        <f>MAX(N6:N8)</f>
        <v>29</v>
      </c>
      <c r="O9" s="167"/>
      <c r="P9" s="167"/>
      <c r="Q9" s="167"/>
      <c r="R9" s="167"/>
      <c r="S9" s="167"/>
    </row>
    <row r="10" spans="1:19" ht="20" thickTop="1" thickBot="1">
      <c r="A10" s="227"/>
      <c r="B10" s="228"/>
      <c r="C10" s="228"/>
      <c r="D10" s="228"/>
      <c r="E10" s="228"/>
      <c r="F10" s="228"/>
      <c r="G10" s="229"/>
      <c r="H10" s="167"/>
      <c r="I10" s="167"/>
      <c r="J10" s="167"/>
      <c r="K10" s="167"/>
      <c r="L10" s="167"/>
      <c r="M10" s="167"/>
      <c r="N10" s="167"/>
      <c r="O10" s="167"/>
      <c r="P10" s="214" t="s">
        <v>207</v>
      </c>
      <c r="Q10" s="215"/>
      <c r="R10" s="215"/>
      <c r="S10" s="216"/>
    </row>
    <row r="11" spans="1:19" ht="20" customHeight="1" thickTop="1" thickBot="1">
      <c r="A11" s="230"/>
      <c r="B11" s="231"/>
      <c r="C11" s="231"/>
      <c r="D11" s="231"/>
      <c r="E11" s="231"/>
      <c r="F11" s="231"/>
      <c r="G11" s="232"/>
      <c r="H11" s="167"/>
      <c r="I11" s="202" t="s">
        <v>165</v>
      </c>
      <c r="J11" s="203"/>
      <c r="K11" s="204"/>
      <c r="L11" s="204"/>
      <c r="M11" s="204"/>
      <c r="N11" s="205"/>
      <c r="O11" s="167"/>
      <c r="P11" s="27" t="s">
        <v>31</v>
      </c>
      <c r="Q11" s="28" t="s">
        <v>72</v>
      </c>
      <c r="R11" s="29" t="s">
        <v>105</v>
      </c>
      <c r="S11" s="30" t="s">
        <v>205</v>
      </c>
    </row>
    <row r="12" spans="1:19" ht="20" customHeight="1" thickTop="1" thickBot="1">
      <c r="A12" s="167"/>
      <c r="B12" s="167"/>
      <c r="C12" s="167"/>
      <c r="E12" s="167"/>
      <c r="F12" s="168"/>
      <c r="G12" s="167"/>
      <c r="H12" s="167"/>
      <c r="I12" s="10" t="s">
        <v>162</v>
      </c>
      <c r="J12" s="12">
        <f>IF(SetToMax,10,IFERROR(MATCH(TRUE,INDEX(H24:S24&lt;&gt;"",),0),1))</f>
        <v>7</v>
      </c>
      <c r="K12" s="10" t="s">
        <v>139</v>
      </c>
      <c r="L12" s="12">
        <f t="array" ref="L12">SUM(IF(ConstructionState[Kind]="Building",ConstructionState[[1]:[12]]))</f>
        <v>64</v>
      </c>
      <c r="M12" s="14" t="s">
        <v>180</v>
      </c>
      <c r="N12" s="15">
        <f>SUMPRODUCT(H27:O27,Statistics!B101:I101)</f>
        <v>200</v>
      </c>
      <c r="O12" s="167"/>
      <c r="P12" s="33" t="s">
        <v>1</v>
      </c>
      <c r="Q12" s="37" t="str">
        <f t="array" ref="Q12">IFERROR(INDEX(CostRemaining[Cost],MATCH(R12,IF(CostRemaining[MatchStr]=Q$11&amp;"-"&amp;P12,CostRemaining[Next]),0)),0)</f>
        <v>Rage Spell</v>
      </c>
      <c r="R12" s="39">
        <f t="array" ref="R12">MIN(IF(CostRemaining[MatchStr]=Q$11&amp;"-"&amp;P12,CostRemaining[Next]))</f>
        <v>900000</v>
      </c>
      <c r="S12" s="36">
        <f>IFERROR(IF(VLOOKUP(Q12,TimeRemaining[],5,FALSE)="",0,VLOOKUP(Q12,TimeRemaining[],5,FALSE)),0)</f>
        <v>3</v>
      </c>
    </row>
    <row r="13" spans="1:19" ht="19" customHeight="1" thickTop="1" thickBot="1">
      <c r="A13" s="167"/>
      <c r="B13" s="192" t="s">
        <v>115</v>
      </c>
      <c r="C13" s="193"/>
      <c r="D13" s="193"/>
      <c r="E13" s="193"/>
      <c r="F13" s="209"/>
      <c r="G13" s="167"/>
      <c r="H13" s="167"/>
      <c r="I13" s="17" t="s">
        <v>248</v>
      </c>
      <c r="J13" s="18">
        <f>IF(SetToMax,8,IFERROR(MATCH(TRUE,INDEX(H25:S25&lt;&gt;"",),0),0))</f>
        <v>5</v>
      </c>
      <c r="K13" s="17" t="s">
        <v>247</v>
      </c>
      <c r="L13" s="18">
        <f>SUM(H26:S26)</f>
        <v>4</v>
      </c>
      <c r="M13" s="14" t="s">
        <v>179</v>
      </c>
      <c r="N13" s="15">
        <f>IFERROR(MATCH(TRUE,INDEX(H35:J35&lt;&gt;"",),0),1)</f>
        <v>3</v>
      </c>
      <c r="O13" s="167"/>
      <c r="P13" s="42" t="s">
        <v>103</v>
      </c>
      <c r="Q13" s="43" t="str">
        <f t="array" ref="Q13">IFERROR(INDEX(CostRemaining[Cost],MATCH(R13,IF(CostRemaining[MatchStr]=Q$11&amp;"-"&amp;P13,CostRemaining[Next]),0)),0)</f>
        <v>Hog Rider</v>
      </c>
      <c r="R13" s="44">
        <f t="array" ref="R13">MIN(IF(CostRemaining[MatchStr]=Q$11&amp;"-"&amp;P13,CostRemaining[Next]))</f>
        <v>20000</v>
      </c>
      <c r="S13" s="45">
        <f>IFERROR(IF(VLOOKUP(Q13,TimeRemaining[],5,FALSE)="",0,VLOOKUP(Q13,TimeRemaining[],5,FALSE)),0)</f>
        <v>8</v>
      </c>
    </row>
    <row r="14" spans="1:19" ht="20" customHeight="1" thickTop="1" thickBot="1">
      <c r="A14" s="167"/>
      <c r="B14" s="197"/>
      <c r="C14" s="198"/>
      <c r="D14" s="198"/>
      <c r="E14" s="198"/>
      <c r="F14" s="213"/>
      <c r="G14" s="167"/>
      <c r="H14" s="167"/>
      <c r="I14" s="11" t="s">
        <v>210</v>
      </c>
      <c r="J14" s="16">
        <f>K9/J9</f>
        <v>0.31406900972118362</v>
      </c>
      <c r="K14" s="11" t="s">
        <v>211</v>
      </c>
      <c r="L14" s="13">
        <f>SUM(H34:S34)</f>
        <v>1</v>
      </c>
      <c r="M14" s="11"/>
      <c r="N14" s="19"/>
      <c r="O14" s="167"/>
      <c r="P14" s="169"/>
      <c r="Q14" s="169"/>
      <c r="R14" s="169"/>
      <c r="S14" s="169"/>
    </row>
    <row r="15" spans="1:19" ht="20" customHeight="1" thickTop="1" thickBot="1">
      <c r="A15" s="167"/>
      <c r="B15" s="51">
        <v>2</v>
      </c>
      <c r="C15" s="233" t="s">
        <v>129</v>
      </c>
      <c r="D15" s="234"/>
      <c r="E15" s="234"/>
      <c r="F15" s="235"/>
      <c r="G15" s="167"/>
      <c r="H15" s="167"/>
      <c r="I15" s="167"/>
      <c r="J15" s="167"/>
      <c r="K15" s="167"/>
      <c r="L15" s="167"/>
      <c r="M15" s="167"/>
      <c r="N15" s="167"/>
      <c r="O15" s="167"/>
      <c r="P15" s="167"/>
      <c r="Q15" s="167"/>
      <c r="R15" s="167"/>
      <c r="S15" s="167"/>
    </row>
    <row r="16" spans="1:19" ht="19" thickTop="1">
      <c r="A16" s="167"/>
      <c r="B16" s="52">
        <v>0</v>
      </c>
      <c r="C16" s="206" t="s">
        <v>113</v>
      </c>
      <c r="D16" s="207"/>
      <c r="E16" s="207"/>
      <c r="F16" s="208"/>
      <c r="G16" s="167"/>
      <c r="H16" s="192" t="s">
        <v>127</v>
      </c>
      <c r="I16" s="193"/>
      <c r="J16" s="193"/>
      <c r="K16" s="193"/>
      <c r="L16" s="193"/>
      <c r="M16" s="193"/>
      <c r="N16" s="193"/>
      <c r="O16" s="193"/>
      <c r="P16" s="193"/>
      <c r="Q16" s="193"/>
      <c r="R16" s="193"/>
      <c r="S16" s="217"/>
    </row>
    <row r="17" spans="1:19" ht="19" thickBot="1">
      <c r="A17" s="167"/>
      <c r="B17" s="53"/>
      <c r="C17" s="206" t="s">
        <v>164</v>
      </c>
      <c r="D17" s="207"/>
      <c r="E17" s="207"/>
      <c r="F17" s="208"/>
      <c r="G17" s="167"/>
      <c r="H17" s="210"/>
      <c r="I17" s="211"/>
      <c r="J17" s="211"/>
      <c r="K17" s="211"/>
      <c r="L17" s="211"/>
      <c r="M17" s="211"/>
      <c r="N17" s="211"/>
      <c r="O17" s="211"/>
      <c r="P17" s="211"/>
      <c r="Q17" s="211"/>
      <c r="R17" s="211"/>
      <c r="S17" s="218"/>
    </row>
    <row r="18" spans="1:19" ht="20" thickTop="1" thickBot="1">
      <c r="A18" s="167"/>
      <c r="B18" s="54">
        <v>-1</v>
      </c>
      <c r="C18" s="206" t="s">
        <v>112</v>
      </c>
      <c r="D18" s="207"/>
      <c r="E18" s="207"/>
      <c r="F18" s="208"/>
      <c r="G18" s="167"/>
      <c r="H18" s="242" t="s">
        <v>141</v>
      </c>
      <c r="I18" s="220"/>
      <c r="J18" s="220"/>
      <c r="K18" s="220"/>
      <c r="L18" s="220"/>
      <c r="M18" s="204"/>
      <c r="N18" s="243"/>
      <c r="O18" s="186"/>
      <c r="P18" s="219" t="s">
        <v>144</v>
      </c>
      <c r="Q18" s="222"/>
      <c r="R18" s="222"/>
      <c r="S18" s="223"/>
    </row>
    <row r="19" spans="1:19" ht="20" thickTop="1" thickBot="1">
      <c r="A19" s="167"/>
      <c r="B19" s="55">
        <v>30</v>
      </c>
      <c r="C19" s="236" t="s">
        <v>114</v>
      </c>
      <c r="D19" s="237"/>
      <c r="E19" s="237"/>
      <c r="F19" s="238"/>
      <c r="G19" s="167"/>
      <c r="H19" s="175" t="s">
        <v>110</v>
      </c>
      <c r="I19" s="81">
        <v>5</v>
      </c>
      <c r="J19" s="239" t="s">
        <v>145</v>
      </c>
      <c r="K19" s="240"/>
      <c r="L19" s="240"/>
      <c r="M19" s="240"/>
      <c r="N19" s="241"/>
      <c r="O19" s="186"/>
      <c r="P19" s="20" t="s">
        <v>88</v>
      </c>
      <c r="Q19" s="21" t="s">
        <v>98</v>
      </c>
      <c r="R19" s="21"/>
      <c r="S19" s="22"/>
    </row>
    <row r="20" spans="1:19" ht="17" thickTop="1" thickBot="1">
      <c r="A20" s="167"/>
      <c r="B20" s="167"/>
      <c r="C20" s="167"/>
      <c r="E20" s="167"/>
      <c r="F20" s="167"/>
      <c r="G20" s="167"/>
      <c r="H20" s="180" t="s">
        <v>128</v>
      </c>
      <c r="I20" s="181" t="b">
        <v>0</v>
      </c>
      <c r="J20" s="244" t="s">
        <v>214</v>
      </c>
      <c r="K20" s="245"/>
      <c r="L20" s="245"/>
      <c r="M20" s="245"/>
      <c r="N20" s="246"/>
      <c r="O20" s="186"/>
      <c r="P20" s="23"/>
      <c r="Q20" s="24"/>
      <c r="R20" s="24"/>
      <c r="S20" s="25"/>
    </row>
    <row r="21" spans="1:19" ht="16" thickTop="1">
      <c r="A21" s="167"/>
      <c r="B21" s="167"/>
      <c r="C21" s="167"/>
      <c r="E21" s="167"/>
      <c r="F21" s="167"/>
      <c r="G21" s="167"/>
      <c r="H21" s="182" t="s">
        <v>225</v>
      </c>
      <c r="I21" s="183">
        <v>1</v>
      </c>
      <c r="J21" s="244" t="s">
        <v>227</v>
      </c>
      <c r="K21" s="245"/>
      <c r="L21" s="245"/>
      <c r="M21" s="245"/>
      <c r="N21" s="246"/>
      <c r="O21" s="186"/>
      <c r="P21" s="184"/>
      <c r="Q21" s="184"/>
      <c r="R21" s="184"/>
      <c r="S21" s="185"/>
    </row>
    <row r="22" spans="1:19" ht="16" thickBot="1">
      <c r="A22" s="167"/>
      <c r="B22" s="167"/>
      <c r="C22" s="167"/>
      <c r="E22" s="167"/>
      <c r="F22" s="167"/>
      <c r="G22" s="167"/>
      <c r="H22" s="176" t="s">
        <v>226</v>
      </c>
      <c r="I22" s="82">
        <v>0</v>
      </c>
      <c r="J22" s="247" t="s">
        <v>228</v>
      </c>
      <c r="K22" s="248"/>
      <c r="L22" s="248"/>
      <c r="M22" s="248"/>
      <c r="N22" s="249"/>
      <c r="O22" s="186"/>
      <c r="P22" s="184"/>
      <c r="Q22" s="184"/>
      <c r="R22" s="184"/>
      <c r="S22" s="185"/>
    </row>
    <row r="23" spans="1:19" ht="16" thickTop="1">
      <c r="A23" s="56" t="s">
        <v>108</v>
      </c>
      <c r="B23" s="56" t="s">
        <v>71</v>
      </c>
      <c r="C23" s="56" t="s">
        <v>31</v>
      </c>
      <c r="D23" s="57" t="s">
        <v>140</v>
      </c>
      <c r="E23" s="56" t="s">
        <v>111</v>
      </c>
      <c r="F23" s="56" t="s">
        <v>130</v>
      </c>
      <c r="G23" s="56" t="s">
        <v>131</v>
      </c>
      <c r="H23" s="58" t="s">
        <v>33</v>
      </c>
      <c r="I23" s="59" t="s">
        <v>34</v>
      </c>
      <c r="J23" s="59" t="s">
        <v>35</v>
      </c>
      <c r="K23" s="59" t="s">
        <v>36</v>
      </c>
      <c r="L23" s="59" t="s">
        <v>37</v>
      </c>
      <c r="M23" s="59" t="s">
        <v>38</v>
      </c>
      <c r="N23" s="59" t="s">
        <v>39</v>
      </c>
      <c r="O23" s="59" t="s">
        <v>40</v>
      </c>
      <c r="P23" s="59" t="s">
        <v>41</v>
      </c>
      <c r="Q23" s="59" t="s">
        <v>42</v>
      </c>
      <c r="R23" s="59" t="s">
        <v>43</v>
      </c>
      <c r="S23" s="60" t="s">
        <v>44</v>
      </c>
    </row>
    <row r="24" spans="1:19" ht="18">
      <c r="A24" s="61" t="s">
        <v>13</v>
      </c>
      <c r="B24" s="61" t="str">
        <f>VLOOKUP(ConstructionState[[#This Row],[Building or Upgrade]],Upgrades[],2,FALSE)</f>
        <v>Building</v>
      </c>
      <c r="C24" s="61" t="str">
        <f>VLOOKUP(ConstructionState[Building or Upgrade],Upgrades[],3,FALSE)</f>
        <v>Gold</v>
      </c>
      <c r="D24" s="62" t="str">
        <f>IF((IFERROR(MATCH(ConstructionState[[#This Row],[Building or Upgrade]],$P$19:$S$19,0),0)+IFERROR(MATCH(ConstructionState[[#This Row],[Building or Upgrade]],$P$20:$S$20,0),0))&gt;0,"IGNORE",ConstructionState[Kind]&amp;"-"&amp;ConstructionState[Resource])</f>
        <v>Building-Gold</v>
      </c>
      <c r="E24" s="63">
        <f>IF(AND(ConstructionState[[#This Row],[Kind]]="Upgrade",LabLevel=0),0,VLOOKUP(ConstructionState[Building or Upgrade],QuantAvail[],1+IF(ConstructionState[[#This Row],[Kind]]="Upgrade",LabLevel,THLevel),FALSE))</f>
        <v>1</v>
      </c>
      <c r="F24" s="63">
        <f>IF(AND(ConstructionState[[#This Row],[Kind]]="Upgrade",LabLevel=0),0,VLOOKUP(ConstructionState[Building or Upgrade],MaxLevel[],1+IF(ConstructionState[[#This Row],[Kind]]="Upgrade",LabLevel,THLevel),FALSE))</f>
        <v>8</v>
      </c>
      <c r="G24" s="63">
        <f>ConstructionState[[#This Row],[Available]]-SUM(ConstructionState[[#This Row],[1]:[12]])</f>
        <v>0</v>
      </c>
      <c r="H24" s="1"/>
      <c r="I24" s="2"/>
      <c r="J24" s="2"/>
      <c r="K24" s="2"/>
      <c r="L24" s="2"/>
      <c r="M24" s="2"/>
      <c r="N24" s="2">
        <v>1</v>
      </c>
      <c r="O24" s="2"/>
      <c r="P24" s="2"/>
      <c r="Q24" s="2"/>
      <c r="R24" s="2"/>
      <c r="S24" s="3"/>
    </row>
    <row r="25" spans="1:19" ht="18">
      <c r="A25" s="61" t="s">
        <v>21</v>
      </c>
      <c r="B25" s="61" t="str">
        <f>VLOOKUP(ConstructionState[[#This Row],[Building or Upgrade]],Upgrades[],2,FALSE)</f>
        <v>Building</v>
      </c>
      <c r="C25" s="61" t="str">
        <f>VLOOKUP(ConstructionState[Building or Upgrade],Upgrades[],3,FALSE)</f>
        <v>Elixir</v>
      </c>
      <c r="D25" s="62" t="str">
        <f>IF((IFERROR(MATCH(ConstructionState[[#This Row],[Building or Upgrade]],$P$19:$S$19,0),0)+IFERROR(MATCH(ConstructionState[[#This Row],[Building or Upgrade]],$P$20:$S$20,0),0))&gt;0,"IGNORE",ConstructionState[Kind]&amp;"-"&amp;ConstructionState[Resource])</f>
        <v>Building-Elixir</v>
      </c>
      <c r="E25" s="63">
        <f>IF(AND(ConstructionState[[#This Row],[Kind]]="Upgrade",LabLevel=0),0,VLOOKUP(ConstructionState[Building or Upgrade],QuantAvail[],1+IF(ConstructionState[[#This Row],[Kind]]="Upgrade",LabLevel,THLevel),FALSE))</f>
        <v>1</v>
      </c>
      <c r="F25" s="63">
        <f>IF(AND(ConstructionState[[#This Row],[Kind]]="Upgrade",LabLevel=0),0,VLOOKUP(ConstructionState[Building or Upgrade],MaxLevel[],1+IF(ConstructionState[[#This Row],[Kind]]="Upgrade",LabLevel,THLevel),FALSE))</f>
        <v>5</v>
      </c>
      <c r="G25" s="63">
        <f>ConstructionState[[#This Row],[Available]]-SUM(ConstructionState[[#This Row],[1]:[12]])</f>
        <v>0</v>
      </c>
      <c r="H25" s="1"/>
      <c r="I25" s="4"/>
      <c r="J25" s="2"/>
      <c r="K25" s="2"/>
      <c r="L25" s="2">
        <v>1</v>
      </c>
      <c r="M25" s="2"/>
      <c r="N25" s="2"/>
      <c r="O25" s="2"/>
      <c r="P25" s="2"/>
      <c r="Q25" s="2"/>
      <c r="R25" s="2"/>
      <c r="S25" s="3"/>
    </row>
    <row r="26" spans="1:19" ht="18">
      <c r="A26" s="61" t="s">
        <v>2</v>
      </c>
      <c r="B26" s="65" t="str">
        <f>VLOOKUP(ConstructionState[[#This Row],[Building or Upgrade]],Upgrades[],2,FALSE)</f>
        <v>Building</v>
      </c>
      <c r="C26" s="65" t="str">
        <f>VLOOKUP(ConstructionState[Building or Upgrade],Upgrades[],3,FALSE)</f>
        <v>Elixir</v>
      </c>
      <c r="D26" s="66" t="str">
        <f>IF((IFERROR(MATCH(ConstructionState[[#This Row],[Building or Upgrade]],$P$19:$S$19,0),0)+IFERROR(MATCH(ConstructionState[[#This Row],[Building or Upgrade]],$P$20:$S$20,0),0))&gt;0,"IGNORE",ConstructionState[Kind]&amp;"-"&amp;ConstructionState[Resource])</f>
        <v>Building-Elixir</v>
      </c>
      <c r="E26" s="67">
        <f>IF(AND(ConstructionState[[#This Row],[Kind]]="Upgrade",LabLevel=0),0,VLOOKUP(ConstructionState[Building or Upgrade],QuantAvail[],1+IF(ConstructionState[[#This Row],[Kind]]="Upgrade",LabLevel,THLevel),FALSE))</f>
        <v>4</v>
      </c>
      <c r="F26" s="67">
        <f>IF(AND(ConstructionState[[#This Row],[Kind]]="Upgrade",LabLevel=0),0,VLOOKUP(ConstructionState[Building or Upgrade],MaxLevel[],1+IF(ConstructionState[[#This Row],[Kind]]="Upgrade",LabLevel,THLevel),FALSE))</f>
        <v>9</v>
      </c>
      <c r="G26" s="67">
        <f>ConstructionState[[#This Row],[Available]]-SUM(ConstructionState[[#This Row],[1]:[12]])</f>
        <v>0</v>
      </c>
      <c r="H26" s="5"/>
      <c r="I26" s="4"/>
      <c r="J26" s="2"/>
      <c r="K26" s="2"/>
      <c r="L26" s="2"/>
      <c r="M26" s="2"/>
      <c r="N26" s="2">
        <v>1</v>
      </c>
      <c r="O26" s="2">
        <v>2</v>
      </c>
      <c r="P26" s="4">
        <v>1</v>
      </c>
      <c r="Q26" s="2"/>
      <c r="R26" s="2"/>
      <c r="S26" s="3"/>
    </row>
    <row r="27" spans="1:19" ht="18">
      <c r="A27" s="61" t="s">
        <v>20</v>
      </c>
      <c r="B27" s="65" t="str">
        <f>VLOOKUP(ConstructionState[[#This Row],[Building or Upgrade]],Upgrades[],2,FALSE)</f>
        <v>Building</v>
      </c>
      <c r="C27" s="65" t="str">
        <f>VLOOKUP(ConstructionState[Building or Upgrade],Upgrades[],3,FALSE)</f>
        <v>Elixir</v>
      </c>
      <c r="D27" s="66" t="str">
        <f>IF((IFERROR(MATCH(ConstructionState[[#This Row],[Building or Upgrade]],$P$19:$S$19,0),0)+IFERROR(MATCH(ConstructionState[[#This Row],[Building or Upgrade]],$P$20:$S$20,0),0))&gt;0,"IGNORE",ConstructionState[Kind]&amp;"-"&amp;ConstructionState[Resource])</f>
        <v>Building-Elixir</v>
      </c>
      <c r="E27" s="67">
        <f>IF(AND(ConstructionState[[#This Row],[Kind]]="Upgrade",LabLevel=0),0,VLOOKUP(ConstructionState[Building or Upgrade],QuantAvail[],1+IF(ConstructionState[[#This Row],[Kind]]="Upgrade",LabLevel,THLevel),FALSE))</f>
        <v>4</v>
      </c>
      <c r="F27" s="67">
        <f>IF(AND(ConstructionState[[#This Row],[Kind]]="Upgrade",LabLevel=0),0,VLOOKUP(ConstructionState[Building or Upgrade],MaxLevel[],1+IF(ConstructionState[[#This Row],[Kind]]="Upgrade",LabLevel,THLevel),FALSE))</f>
        <v>6</v>
      </c>
      <c r="G27" s="67">
        <f>ConstructionState[[#This Row],[Available]]-SUM(ConstructionState[[#This Row],[1]:[12]])</f>
        <v>0</v>
      </c>
      <c r="H27" s="5"/>
      <c r="I27" s="4"/>
      <c r="J27" s="2"/>
      <c r="K27" s="2"/>
      <c r="L27" s="2"/>
      <c r="M27" s="2">
        <v>4</v>
      </c>
      <c r="N27" s="2"/>
      <c r="O27" s="2"/>
      <c r="P27" s="4"/>
      <c r="Q27" s="2"/>
      <c r="R27" s="2"/>
      <c r="S27" s="3"/>
    </row>
    <row r="28" spans="1:19" ht="18">
      <c r="A28" s="61" t="s">
        <v>15</v>
      </c>
      <c r="B28" s="61" t="str">
        <f>VLOOKUP(ConstructionState[[#This Row],[Building or Upgrade]],Upgrades[],2,FALSE)</f>
        <v>Building</v>
      </c>
      <c r="C28" s="61" t="str">
        <f>VLOOKUP(ConstructionState[Building or Upgrade],Upgrades[],3,FALSE)</f>
        <v>Elixir</v>
      </c>
      <c r="D28" s="62" t="str">
        <f>IF((IFERROR(MATCH(ConstructionState[[#This Row],[Building or Upgrade]],$P$19:$S$19,0),0)+IFERROR(MATCH(ConstructionState[[#This Row],[Building or Upgrade]],$P$20:$S$20,0),0))&gt;0,"IGNORE",ConstructionState[Kind]&amp;"-"&amp;ConstructionState[Resource])</f>
        <v>Building-Elixir</v>
      </c>
      <c r="E28" s="63">
        <f>IF(AND(ConstructionState[[#This Row],[Kind]]="Upgrade",LabLevel=0),0,VLOOKUP(ConstructionState[Building or Upgrade],QuantAvail[],1+IF(ConstructionState[[#This Row],[Kind]]="Upgrade",LabLevel,THLevel),FALSE))</f>
        <v>6</v>
      </c>
      <c r="F28" s="63">
        <f>IF(AND(ConstructionState[[#This Row],[Kind]]="Upgrade",LabLevel=0),0,VLOOKUP(ConstructionState[Building or Upgrade],MaxLevel[],1+IF(ConstructionState[[#This Row],[Kind]]="Upgrade",LabLevel,THLevel),FALSE))</f>
        <v>11</v>
      </c>
      <c r="G28" s="63">
        <f>ConstructionState[[#This Row],[Available]]-SUM(ConstructionState[[#This Row],[1]:[12]])</f>
        <v>0</v>
      </c>
      <c r="H28" s="1"/>
      <c r="I28" s="4"/>
      <c r="J28" s="2"/>
      <c r="K28" s="2"/>
      <c r="L28" s="2"/>
      <c r="M28" s="2"/>
      <c r="N28" s="2"/>
      <c r="O28" s="2"/>
      <c r="P28" s="2"/>
      <c r="Q28" s="2"/>
      <c r="R28" s="2">
        <v>6</v>
      </c>
      <c r="S28" s="3"/>
    </row>
    <row r="29" spans="1:19" ht="18">
      <c r="A29" s="61" t="s">
        <v>16</v>
      </c>
      <c r="B29" s="61" t="str">
        <f>VLOOKUP(ConstructionState[[#This Row],[Building or Upgrade]],Upgrades[],2,FALSE)</f>
        <v>Building</v>
      </c>
      <c r="C29" s="61" t="str">
        <f>VLOOKUP(ConstructionState[Building or Upgrade],Upgrades[],3,FALSE)</f>
        <v>Gold</v>
      </c>
      <c r="D29" s="62" t="str">
        <f>IF((IFERROR(MATCH(ConstructionState[[#This Row],[Building or Upgrade]],$P$19:$S$19,0),0)+IFERROR(MATCH(ConstructionState[[#This Row],[Building or Upgrade]],$P$20:$S$20,0),0))&gt;0,"IGNORE",ConstructionState[Kind]&amp;"-"&amp;ConstructionState[Resource])</f>
        <v>Building-Gold</v>
      </c>
      <c r="E29" s="63">
        <f>IF(AND(ConstructionState[[#This Row],[Kind]]="Upgrade",LabLevel=0),0,VLOOKUP(ConstructionState[Building or Upgrade],QuantAvail[],1+IF(ConstructionState[[#This Row],[Kind]]="Upgrade",LabLevel,THLevel),FALSE))</f>
        <v>6</v>
      </c>
      <c r="F29" s="63">
        <f>IF(AND(ConstructionState[[#This Row],[Kind]]="Upgrade",LabLevel=0),0,VLOOKUP(ConstructionState[Building or Upgrade],MaxLevel[],1+IF(ConstructionState[[#This Row],[Kind]]="Upgrade",LabLevel,THLevel),FALSE))</f>
        <v>11</v>
      </c>
      <c r="G29" s="63">
        <f>ConstructionState[[#This Row],[Available]]-SUM(ConstructionState[[#This Row],[1]:[12]])</f>
        <v>0</v>
      </c>
      <c r="H29" s="1"/>
      <c r="I29" s="2"/>
      <c r="J29" s="2"/>
      <c r="K29" s="2"/>
      <c r="L29" s="2"/>
      <c r="M29" s="2"/>
      <c r="N29" s="2"/>
      <c r="O29" s="2"/>
      <c r="P29" s="2"/>
      <c r="Q29" s="2"/>
      <c r="R29" s="2">
        <v>6</v>
      </c>
      <c r="S29" s="3"/>
    </row>
    <row r="30" spans="1:19" ht="18">
      <c r="A30" s="61" t="s">
        <v>17</v>
      </c>
      <c r="B30" s="61" t="str">
        <f>VLOOKUP(ConstructionState[[#This Row],[Building or Upgrade]],Upgrades[],2,FALSE)</f>
        <v>Building</v>
      </c>
      <c r="C30" s="61" t="str">
        <f>VLOOKUP(ConstructionState[Building or Upgrade],Upgrades[],3,FALSE)</f>
        <v>Elixir</v>
      </c>
      <c r="D30" s="62" t="str">
        <f>IF((IFERROR(MATCH(ConstructionState[[#This Row],[Building or Upgrade]],$P$19:$S$19,0),0)+IFERROR(MATCH(ConstructionState[[#This Row],[Building or Upgrade]],$P$20:$S$20,0),0))&gt;0,"IGNORE",ConstructionState[Kind]&amp;"-"&amp;ConstructionState[Resource])</f>
        <v>Building-Elixir</v>
      </c>
      <c r="E30" s="63">
        <f>IF(AND(ConstructionState[[#This Row],[Kind]]="Upgrade",LabLevel=0),0,VLOOKUP(ConstructionState[Building or Upgrade],QuantAvail[],1+IF(ConstructionState[[#This Row],[Kind]]="Upgrade",LabLevel,THLevel),FALSE))</f>
        <v>0</v>
      </c>
      <c r="F30" s="63">
        <f>IF(AND(ConstructionState[[#This Row],[Kind]]="Upgrade",LabLevel=0),0,VLOOKUP(ConstructionState[Building or Upgrade],MaxLevel[],1+IF(ConstructionState[[#This Row],[Kind]]="Upgrade",LabLevel,THLevel),FALSE))</f>
        <v>0</v>
      </c>
      <c r="G30" s="63">
        <f>ConstructionState[[#This Row],[Available]]-SUM(ConstructionState[[#This Row],[1]:[12]])</f>
        <v>0</v>
      </c>
      <c r="H30" s="1"/>
      <c r="I30" s="2"/>
      <c r="J30" s="2"/>
      <c r="K30" s="2"/>
      <c r="L30" s="2"/>
      <c r="M30" s="2"/>
      <c r="N30" s="2"/>
      <c r="O30" s="2"/>
      <c r="P30" s="2"/>
      <c r="Q30" s="2"/>
      <c r="R30" s="2"/>
      <c r="S30" s="3"/>
    </row>
    <row r="31" spans="1:19" ht="18">
      <c r="A31" s="61" t="s">
        <v>3</v>
      </c>
      <c r="B31" s="61" t="str">
        <f>VLOOKUP(ConstructionState[[#This Row],[Building or Upgrade]],Upgrades[],2,FALSE)</f>
        <v>Building</v>
      </c>
      <c r="C31" s="61" t="str">
        <f>VLOOKUP(ConstructionState[Building or Upgrade],Upgrades[],3,FALSE)</f>
        <v>Elixir</v>
      </c>
      <c r="D31" s="62" t="str">
        <f>IF((IFERROR(MATCH(ConstructionState[[#This Row],[Building or Upgrade]],$P$19:$S$19,0),0)+IFERROR(MATCH(ConstructionState[[#This Row],[Building or Upgrade]],$P$20:$S$20,0),0))&gt;0,"IGNORE",ConstructionState[Kind]&amp;"-"&amp;ConstructionState[Resource])</f>
        <v>Building-Elixir</v>
      </c>
      <c r="E31" s="63">
        <f>IF(AND(ConstructionState[[#This Row],[Kind]]="Upgrade",LabLevel=0),0,VLOOKUP(ConstructionState[Building or Upgrade],QuantAvail[],1+IF(ConstructionState[[#This Row],[Kind]]="Upgrade",LabLevel,THLevel),FALSE))</f>
        <v>2</v>
      </c>
      <c r="F31" s="63">
        <f>IF(AND(ConstructionState[[#This Row],[Kind]]="Upgrade",LabLevel=0),0,VLOOKUP(ConstructionState[Building or Upgrade],MaxLevel[],1+IF(ConstructionState[[#This Row],[Kind]]="Upgrade",LabLevel,THLevel),FALSE))</f>
        <v>11</v>
      </c>
      <c r="G31" s="63">
        <f>ConstructionState[[#This Row],[Available]]-SUM(ConstructionState[[#This Row],[1]:[12]])</f>
        <v>0</v>
      </c>
      <c r="H31" s="1"/>
      <c r="I31" s="2"/>
      <c r="J31" s="2"/>
      <c r="K31" s="2"/>
      <c r="L31" s="2"/>
      <c r="M31" s="2"/>
      <c r="N31" s="2"/>
      <c r="O31" s="2"/>
      <c r="P31" s="2"/>
      <c r="Q31" s="2"/>
      <c r="R31" s="2">
        <v>2</v>
      </c>
      <c r="S31" s="3"/>
    </row>
    <row r="32" spans="1:19" ht="18">
      <c r="A32" s="61" t="s">
        <v>4</v>
      </c>
      <c r="B32" s="61" t="str">
        <f>VLOOKUP(ConstructionState[[#This Row],[Building or Upgrade]],Upgrades[],2,FALSE)</f>
        <v>Building</v>
      </c>
      <c r="C32" s="61" t="str">
        <f>VLOOKUP(ConstructionState[Building or Upgrade],Upgrades[],3,FALSE)</f>
        <v>Gold</v>
      </c>
      <c r="D32" s="62" t="str">
        <f>IF((IFERROR(MATCH(ConstructionState[[#This Row],[Building or Upgrade]],$P$19:$S$19,0),0)+IFERROR(MATCH(ConstructionState[[#This Row],[Building or Upgrade]],$P$20:$S$20,0),0))&gt;0,"IGNORE",ConstructionState[Kind]&amp;"-"&amp;ConstructionState[Resource])</f>
        <v>Building-Gold</v>
      </c>
      <c r="E32" s="63">
        <f>IF(AND(ConstructionState[[#This Row],[Kind]]="Upgrade",LabLevel=0),0,VLOOKUP(ConstructionState[Building or Upgrade],QuantAvail[],1+IF(ConstructionState[[#This Row],[Kind]]="Upgrade",LabLevel,THLevel),FALSE))</f>
        <v>2</v>
      </c>
      <c r="F32" s="63">
        <f>IF(AND(ConstructionState[[#This Row],[Kind]]="Upgrade",LabLevel=0),0,VLOOKUP(ConstructionState[Building or Upgrade],MaxLevel[],1+IF(ConstructionState[[#This Row],[Kind]]="Upgrade",LabLevel,THLevel),FALSE))</f>
        <v>11</v>
      </c>
      <c r="G32" s="63">
        <f>ConstructionState[[#This Row],[Available]]-SUM(ConstructionState[[#This Row],[1]:[12]])</f>
        <v>0</v>
      </c>
      <c r="H32" s="1"/>
      <c r="I32" s="2"/>
      <c r="J32" s="2"/>
      <c r="K32" s="2"/>
      <c r="L32" s="2"/>
      <c r="M32" s="2"/>
      <c r="N32" s="2"/>
      <c r="O32" s="2"/>
      <c r="P32" s="2"/>
      <c r="Q32" s="2"/>
      <c r="R32" s="2">
        <v>2</v>
      </c>
      <c r="S32" s="3"/>
    </row>
    <row r="33" spans="1:19" ht="18">
      <c r="A33" s="61" t="s">
        <v>18</v>
      </c>
      <c r="B33" s="61" t="str">
        <f>VLOOKUP(ConstructionState[[#This Row],[Building or Upgrade]],Upgrades[],2,FALSE)</f>
        <v>Building</v>
      </c>
      <c r="C33" s="61" t="str">
        <f>VLOOKUP(ConstructionState[Building or Upgrade],Upgrades[],3,FALSE)</f>
        <v>Elixir</v>
      </c>
      <c r="D33" s="62" t="str">
        <f>IF((IFERROR(MATCH(ConstructionState[[#This Row],[Building or Upgrade]],$P$19:$S$19,0),0)+IFERROR(MATCH(ConstructionState[[#This Row],[Building or Upgrade]],$P$20:$S$20,0),0))&gt;0,"IGNORE",ConstructionState[Kind]&amp;"-"&amp;ConstructionState[Resource])</f>
        <v>Building-Elixir</v>
      </c>
      <c r="E33" s="63">
        <f>IF(AND(ConstructionState[[#This Row],[Kind]]="Upgrade",LabLevel=0),0,VLOOKUP(ConstructionState[Building or Upgrade],QuantAvail[],1+IF(ConstructionState[[#This Row],[Kind]]="Upgrade",LabLevel,THLevel),FALSE))</f>
        <v>1</v>
      </c>
      <c r="F33" s="63">
        <f>IF(AND(ConstructionState[[#This Row],[Kind]]="Upgrade",LabLevel=0),0,VLOOKUP(ConstructionState[Building or Upgrade],MaxLevel[],1+IF(ConstructionState[[#This Row],[Kind]]="Upgrade",LabLevel,THLevel),FALSE))</f>
        <v>2</v>
      </c>
      <c r="G33" s="63">
        <f>ConstructionState[[#This Row],[Available]]-SUM(ConstructionState[[#This Row],[1]:[12]])</f>
        <v>0</v>
      </c>
      <c r="H33" s="1">
        <v>1</v>
      </c>
      <c r="I33" s="2"/>
      <c r="J33" s="2"/>
      <c r="K33" s="2"/>
      <c r="L33" s="2"/>
      <c r="M33" s="2"/>
      <c r="N33" s="2"/>
      <c r="O33" s="2"/>
      <c r="P33" s="2"/>
      <c r="Q33" s="2"/>
      <c r="R33" s="2"/>
      <c r="S33" s="3"/>
    </row>
    <row r="34" spans="1:19" ht="18">
      <c r="A34" s="61" t="s">
        <v>19</v>
      </c>
      <c r="B34" s="61" t="str">
        <f>VLOOKUP(ConstructionState[[#This Row],[Building or Upgrade]],Upgrades[],2,FALSE)</f>
        <v>Building</v>
      </c>
      <c r="C34" s="61" t="str">
        <f>VLOOKUP(ConstructionState[Building or Upgrade],Upgrades[],3,FALSE)</f>
        <v>Elixir</v>
      </c>
      <c r="D34" s="62" t="str">
        <f>IF((IFERROR(MATCH(ConstructionState[[#This Row],[Building or Upgrade]],$P$19:$S$19,0),0)+IFERROR(MATCH(ConstructionState[[#This Row],[Building or Upgrade]],$P$20:$S$20,0),0))&gt;0,"IGNORE",ConstructionState[Kind]&amp;"-"&amp;ConstructionState[Resource])</f>
        <v>Building-Elixir</v>
      </c>
      <c r="E34" s="63">
        <f>IF(AND(ConstructionState[[#This Row],[Kind]]="Upgrade",LabLevel=0),0,VLOOKUP(ConstructionState[Building or Upgrade],QuantAvail[],1+IF(ConstructionState[[#This Row],[Kind]]="Upgrade",LabLevel,THLevel),FALSE))</f>
        <v>1</v>
      </c>
      <c r="F34" s="63">
        <f>IF(AND(ConstructionState[[#This Row],[Kind]]="Upgrade",LabLevel=0),0,VLOOKUP(ConstructionState[Building or Upgrade],MaxLevel[],1+IF(ConstructionState[[#This Row],[Kind]]="Upgrade",LabLevel,THLevel),FALSE))</f>
        <v>2</v>
      </c>
      <c r="G34" s="63">
        <f>ConstructionState[[#This Row],[Available]]-SUM(ConstructionState[[#This Row],[1]:[12]])</f>
        <v>0</v>
      </c>
      <c r="H34" s="1">
        <v>1</v>
      </c>
      <c r="I34" s="2"/>
      <c r="J34" s="2"/>
      <c r="K34" s="2"/>
      <c r="L34" s="2"/>
      <c r="M34" s="2"/>
      <c r="N34" s="2"/>
      <c r="O34" s="2"/>
      <c r="P34" s="2"/>
      <c r="Q34" s="2"/>
      <c r="R34" s="2"/>
      <c r="S34" s="3"/>
    </row>
    <row r="35" spans="1:19" ht="18">
      <c r="A35" s="61" t="s">
        <v>22</v>
      </c>
      <c r="B35" s="61" t="str">
        <f>VLOOKUP(ConstructionState[[#This Row],[Building or Upgrade]],Upgrades[],2,FALSE)</f>
        <v>Building</v>
      </c>
      <c r="C35" s="61" t="str">
        <f>VLOOKUP(ConstructionState[Building or Upgrade],Upgrades[],3,FALSE)</f>
        <v>Elixir</v>
      </c>
      <c r="D35" s="62" t="str">
        <f>IF((IFERROR(MATCH(ConstructionState[[#This Row],[Building or Upgrade]],$P$19:$S$19,0),0)+IFERROR(MATCH(ConstructionState[[#This Row],[Building or Upgrade]],$P$20:$S$20,0),0))&gt;0,"IGNORE",ConstructionState[Kind]&amp;"-"&amp;ConstructionState[Resource])</f>
        <v>Building-Elixir</v>
      </c>
      <c r="E35" s="63">
        <f>IF(AND(ConstructionState[[#This Row],[Kind]]="Upgrade",LabLevel=0),0,VLOOKUP(ConstructionState[Building or Upgrade],QuantAvail[],1+IF(ConstructionState[[#This Row],[Kind]]="Upgrade",LabLevel,THLevel),FALSE))</f>
        <v>1</v>
      </c>
      <c r="F35" s="63">
        <f>IF(AND(ConstructionState[[#This Row],[Kind]]="Upgrade",LabLevel=0),0,VLOOKUP(ConstructionState[Building or Upgrade],MaxLevel[],1+IF(ConstructionState[[#This Row],[Kind]]="Upgrade",LabLevel,THLevel),FALSE))</f>
        <v>3</v>
      </c>
      <c r="G35" s="63">
        <f>ConstructionState[[#This Row],[Available]]-SUM(ConstructionState[[#This Row],[1]:[12]])</f>
        <v>0</v>
      </c>
      <c r="H35" s="1"/>
      <c r="I35" s="2"/>
      <c r="J35" s="2">
        <v>1</v>
      </c>
      <c r="K35" s="2"/>
      <c r="L35" s="2"/>
      <c r="M35" s="2"/>
      <c r="N35" s="2"/>
      <c r="O35" s="2"/>
      <c r="P35" s="2"/>
      <c r="Q35" s="2"/>
      <c r="R35" s="2"/>
      <c r="S35" s="3"/>
    </row>
    <row r="36" spans="1:19" ht="18">
      <c r="A36" s="61" t="s">
        <v>5</v>
      </c>
      <c r="B36" s="61" t="str">
        <f>VLOOKUP(ConstructionState[[#This Row],[Building or Upgrade]],Upgrades[],2,FALSE)</f>
        <v>Building</v>
      </c>
      <c r="C36" s="61" t="str">
        <f>VLOOKUP(ConstructionState[Building or Upgrade],Upgrades[],3,FALSE)</f>
        <v>Gold</v>
      </c>
      <c r="D36" s="62" t="str">
        <f>IF((IFERROR(MATCH(ConstructionState[[#This Row],[Building or Upgrade]],$P$19:$S$19,0),0)+IFERROR(MATCH(ConstructionState[[#This Row],[Building or Upgrade]],$P$20:$S$20,0),0))&gt;0,"IGNORE",ConstructionState[Kind]&amp;"-"&amp;ConstructionState[Resource])</f>
        <v>Building-Gold</v>
      </c>
      <c r="E36" s="63">
        <f>IF(AND(ConstructionState[[#This Row],[Kind]]="Upgrade",LabLevel=0),0,VLOOKUP(ConstructionState[Building or Upgrade],QuantAvail[],1+IF(ConstructionState[[#This Row],[Kind]]="Upgrade",LabLevel,THLevel),FALSE))</f>
        <v>1</v>
      </c>
      <c r="F36" s="63">
        <f>IF(AND(ConstructionState[[#This Row],[Kind]]="Upgrade",LabLevel=0),0,VLOOKUP(ConstructionState[Building or Upgrade],MaxLevel[],1+IF(ConstructionState[[#This Row],[Kind]]="Upgrade",LabLevel,THLevel),FALSE))</f>
        <v>3</v>
      </c>
      <c r="G36" s="63">
        <f>ConstructionState[[#This Row],[Available]]-SUM(ConstructionState[[#This Row],[1]:[12]])</f>
        <v>0</v>
      </c>
      <c r="H36" s="1"/>
      <c r="I36" s="2"/>
      <c r="J36" s="2">
        <v>1</v>
      </c>
      <c r="K36" s="2"/>
      <c r="L36" s="2"/>
      <c r="M36" s="2"/>
      <c r="N36" s="2"/>
      <c r="O36" s="2"/>
      <c r="P36" s="2"/>
      <c r="Q36" s="2"/>
      <c r="R36" s="2"/>
      <c r="S36" s="3"/>
    </row>
    <row r="37" spans="1:19" ht="18">
      <c r="A37" s="61" t="s">
        <v>6</v>
      </c>
      <c r="B37" s="61" t="str">
        <f>VLOOKUP(ConstructionState[[#This Row],[Building or Upgrade]],Upgrades[],2,FALSE)</f>
        <v>Building</v>
      </c>
      <c r="C37" s="61" t="str">
        <f>VLOOKUP(ConstructionState[Building or Upgrade],Upgrades[],3,FALSE)</f>
        <v>Gold</v>
      </c>
      <c r="D37" s="62" t="str">
        <f>IF((IFERROR(MATCH(ConstructionState[[#This Row],[Building or Upgrade]],$P$19:$S$19,0),0)+IFERROR(MATCH(ConstructionState[[#This Row],[Building or Upgrade]],$P$20:$S$20,0),0))&gt;0,"IGNORE",ConstructionState[Kind]&amp;"-"&amp;ConstructionState[Resource])</f>
        <v>Building-Gold</v>
      </c>
      <c r="E37" s="63">
        <f>IF(AND(ConstructionState[[#This Row],[Kind]]="Upgrade",LabLevel=0),0,VLOOKUP(ConstructionState[Building or Upgrade],QuantAvail[],1+IF(ConstructionState[[#This Row],[Kind]]="Upgrade",LabLevel,THLevel),FALSE))</f>
        <v>5</v>
      </c>
      <c r="F37" s="63">
        <f>IF(AND(ConstructionState[[#This Row],[Kind]]="Upgrade",LabLevel=0),0,VLOOKUP(ConstructionState[Building or Upgrade],MaxLevel[],1+IF(ConstructionState[[#This Row],[Kind]]="Upgrade",LabLevel,THLevel),FALSE))</f>
        <v>8</v>
      </c>
      <c r="G37" s="63">
        <f>ConstructionState[[#This Row],[Available]]-SUM(ConstructionState[[#This Row],[1]:[12]])</f>
        <v>0</v>
      </c>
      <c r="H37" s="1"/>
      <c r="I37" s="2"/>
      <c r="J37" s="2"/>
      <c r="K37" s="2"/>
      <c r="L37" s="2"/>
      <c r="M37" s="2"/>
      <c r="N37" s="2"/>
      <c r="O37" s="2">
        <v>5</v>
      </c>
      <c r="P37" s="2"/>
      <c r="Q37" s="2"/>
      <c r="R37" s="2"/>
      <c r="S37" s="3"/>
    </row>
    <row r="38" spans="1:19" ht="18">
      <c r="A38" s="61" t="s">
        <v>23</v>
      </c>
      <c r="B38" s="61" t="str">
        <f>VLOOKUP(ConstructionState[[#This Row],[Building or Upgrade]],Upgrades[],2,FALSE)</f>
        <v>Building</v>
      </c>
      <c r="C38" s="61" t="str">
        <f>VLOOKUP(ConstructionState[Building or Upgrade],Upgrades[],3,FALSE)</f>
        <v>Gold</v>
      </c>
      <c r="D38" s="62" t="str">
        <f>IF((IFERROR(MATCH(ConstructionState[[#This Row],[Building or Upgrade]],$P$19:$S$19,0),0)+IFERROR(MATCH(ConstructionState[[#This Row],[Building or Upgrade]],$P$20:$S$20,0),0))&gt;0,"IGNORE",ConstructionState[Kind]&amp;"-"&amp;ConstructionState[Resource])</f>
        <v>Building-Gold</v>
      </c>
      <c r="E38" s="63">
        <f>IF(AND(ConstructionState[[#This Row],[Kind]]="Upgrade",LabLevel=0),0,VLOOKUP(ConstructionState[Building or Upgrade],QuantAvail[],1+IF(ConstructionState[[#This Row],[Kind]]="Upgrade",LabLevel,THLevel),FALSE))</f>
        <v>4</v>
      </c>
      <c r="F38" s="63">
        <f>IF(AND(ConstructionState[[#This Row],[Kind]]="Upgrade",LabLevel=0),0,VLOOKUP(ConstructionState[Building or Upgrade],MaxLevel[],1+IF(ConstructionState[[#This Row],[Kind]]="Upgrade",LabLevel,THLevel),FALSE))</f>
        <v>8</v>
      </c>
      <c r="G38" s="63">
        <f>ConstructionState[[#This Row],[Available]]-SUM(ConstructionState[[#This Row],[1]:[12]])</f>
        <v>0</v>
      </c>
      <c r="H38" s="1"/>
      <c r="I38" s="2"/>
      <c r="J38" s="2"/>
      <c r="K38" s="2"/>
      <c r="L38" s="2"/>
      <c r="M38" s="2"/>
      <c r="N38" s="2"/>
      <c r="O38" s="2">
        <v>4</v>
      </c>
      <c r="P38" s="2"/>
      <c r="Q38" s="2"/>
      <c r="R38" s="2"/>
      <c r="S38" s="3"/>
    </row>
    <row r="39" spans="1:19" ht="18">
      <c r="A39" s="61" t="s">
        <v>24</v>
      </c>
      <c r="B39" s="61" t="str">
        <f>VLOOKUP(ConstructionState[[#This Row],[Building or Upgrade]],Upgrades[],2,FALSE)</f>
        <v>Wall</v>
      </c>
      <c r="C39" s="61" t="str">
        <f>VLOOKUP(ConstructionState[Building or Upgrade],Upgrades[],3,FALSE)</f>
        <v>Gold</v>
      </c>
      <c r="D39" s="62" t="str">
        <f>IF((IFERROR(MATCH(ConstructionState[[#This Row],[Building or Upgrade]],$P$19:$S$19,0),0)+IFERROR(MATCH(ConstructionState[[#This Row],[Building or Upgrade]],$P$20:$S$20,0),0))&gt;0,"IGNORE",ConstructionState[Kind]&amp;"-"&amp;ConstructionState[Resource])</f>
        <v>Wall-Gold</v>
      </c>
      <c r="E39" s="63">
        <f>IF(AND(ConstructionState[[#This Row],[Kind]]="Upgrade",LabLevel=0),0,VLOOKUP(ConstructionState[Building or Upgrade],QuantAvail[],1+IF(ConstructionState[[#This Row],[Kind]]="Upgrade",LabLevel,THLevel),FALSE))</f>
        <v>175</v>
      </c>
      <c r="F39" s="63">
        <f>IF(AND(ConstructionState[[#This Row],[Kind]]="Upgrade",LabLevel=0),0,VLOOKUP(ConstructionState[Building or Upgrade],MaxLevel[],1+IF(ConstructionState[[#This Row],[Kind]]="Upgrade",LabLevel,THLevel),FALSE))</f>
        <v>7</v>
      </c>
      <c r="G39" s="63">
        <f>ConstructionState[[#This Row],[Available]]-SUM(ConstructionState[[#This Row],[1]:[12]])</f>
        <v>0</v>
      </c>
      <c r="H39" s="1"/>
      <c r="I39" s="2"/>
      <c r="J39" s="2"/>
      <c r="K39" s="2"/>
      <c r="L39" s="2">
        <v>119</v>
      </c>
      <c r="M39" s="2">
        <v>55</v>
      </c>
      <c r="N39" s="2">
        <v>1</v>
      </c>
      <c r="O39" s="2"/>
      <c r="P39" s="2"/>
      <c r="Q39" s="2"/>
      <c r="R39" s="2"/>
      <c r="S39" s="3"/>
    </row>
    <row r="40" spans="1:19" ht="18">
      <c r="A40" s="61" t="s">
        <v>7</v>
      </c>
      <c r="B40" s="61" t="str">
        <f>VLOOKUP(ConstructionState[[#This Row],[Building or Upgrade]],Upgrades[],2,FALSE)</f>
        <v>Building</v>
      </c>
      <c r="C40" s="61" t="str">
        <f>VLOOKUP(ConstructionState[Building or Upgrade],Upgrades[],3,FALSE)</f>
        <v>Gold</v>
      </c>
      <c r="D40" s="62" t="str">
        <f>IF((IFERROR(MATCH(ConstructionState[[#This Row],[Building or Upgrade]],$P$19:$S$19,0),0)+IFERROR(MATCH(ConstructionState[[#This Row],[Building or Upgrade]],$P$20:$S$20,0),0))&gt;0,"IGNORE",ConstructionState[Kind]&amp;"-"&amp;ConstructionState[Resource])</f>
        <v>Building-Gold</v>
      </c>
      <c r="E40" s="63">
        <f>IF(AND(ConstructionState[[#This Row],[Kind]]="Upgrade",LabLevel=0),0,VLOOKUP(ConstructionState[Building or Upgrade],QuantAvail[],1+IF(ConstructionState[[#This Row],[Kind]]="Upgrade",LabLevel,THLevel),FALSE))</f>
        <v>3</v>
      </c>
      <c r="F40" s="63">
        <f>IF(AND(ConstructionState[[#This Row],[Kind]]="Upgrade",LabLevel=0),0,VLOOKUP(ConstructionState[Building or Upgrade],MaxLevel[],1+IF(ConstructionState[[#This Row],[Kind]]="Upgrade",LabLevel,THLevel),FALSE))</f>
        <v>5</v>
      </c>
      <c r="G40" s="63">
        <f>ConstructionState[[#This Row],[Available]]-SUM(ConstructionState[[#This Row],[1]:[12]])</f>
        <v>0</v>
      </c>
      <c r="H40" s="1"/>
      <c r="I40" s="2"/>
      <c r="J40" s="2"/>
      <c r="K40" s="2"/>
      <c r="L40" s="2">
        <v>3</v>
      </c>
      <c r="M40" s="2"/>
      <c r="N40" s="2"/>
      <c r="O40" s="2"/>
      <c r="P40" s="2"/>
      <c r="Q40" s="2"/>
      <c r="R40" s="2"/>
      <c r="S40" s="3"/>
    </row>
    <row r="41" spans="1:19" ht="18">
      <c r="A41" s="61" t="s">
        <v>8</v>
      </c>
      <c r="B41" s="61" t="str">
        <f>VLOOKUP(ConstructionState[[#This Row],[Building or Upgrade]],Upgrades[],2,FALSE)</f>
        <v>Building</v>
      </c>
      <c r="C41" s="61" t="str">
        <f>VLOOKUP(ConstructionState[Building or Upgrade],Upgrades[],3,FALSE)</f>
        <v>Gold</v>
      </c>
      <c r="D41" s="62" t="str">
        <f>IF((IFERROR(MATCH(ConstructionState[[#This Row],[Building or Upgrade]],$P$19:$S$19,0),0)+IFERROR(MATCH(ConstructionState[[#This Row],[Building or Upgrade]],$P$20:$S$20,0),0))&gt;0,"IGNORE",ConstructionState[Kind]&amp;"-"&amp;ConstructionState[Resource])</f>
        <v>Building-Gold</v>
      </c>
      <c r="E41" s="63">
        <f>IF(AND(ConstructionState[[#This Row],[Kind]]="Upgrade",LabLevel=0),0,VLOOKUP(ConstructionState[Building or Upgrade],QuantAvail[],1+IF(ConstructionState[[#This Row],[Kind]]="Upgrade",LabLevel,THLevel),FALSE))</f>
        <v>6</v>
      </c>
      <c r="F41" s="63">
        <f>IF(AND(ConstructionState[[#This Row],[Kind]]="Upgrade",LabLevel=0),0,VLOOKUP(ConstructionState[Building or Upgrade],MaxLevel[],1+IF(ConstructionState[[#This Row],[Kind]]="Upgrade",LabLevel,THLevel),FALSE))</f>
        <v>4</v>
      </c>
      <c r="G41" s="63">
        <f>ConstructionState[[#This Row],[Available]]-SUM(ConstructionState[[#This Row],[1]:[12]])</f>
        <v>0</v>
      </c>
      <c r="H41" s="1"/>
      <c r="I41" s="2"/>
      <c r="J41" s="2"/>
      <c r="K41" s="2">
        <v>6</v>
      </c>
      <c r="L41" s="2"/>
      <c r="M41" s="2"/>
      <c r="N41" s="2"/>
      <c r="O41" s="2"/>
      <c r="P41" s="2"/>
      <c r="Q41" s="2"/>
      <c r="R41" s="2"/>
      <c r="S41" s="3"/>
    </row>
    <row r="42" spans="1:19" ht="18">
      <c r="A42" s="61" t="s">
        <v>25</v>
      </c>
      <c r="B42" s="61" t="str">
        <f>VLOOKUP(ConstructionState[[#This Row],[Building or Upgrade]],Upgrades[],2,FALSE)</f>
        <v>Building</v>
      </c>
      <c r="C42" s="61" t="str">
        <f>VLOOKUP(ConstructionState[Building or Upgrade],Upgrades[],3,FALSE)</f>
        <v>Gold</v>
      </c>
      <c r="D42" s="62" t="str">
        <f>IF((IFERROR(MATCH(ConstructionState[[#This Row],[Building or Upgrade]],$P$19:$S$19,0),0)+IFERROR(MATCH(ConstructionState[[#This Row],[Building or Upgrade]],$P$20:$S$20,0),0))&gt;0,"IGNORE",ConstructionState[Kind]&amp;"-"&amp;ConstructionState[Resource])</f>
        <v>Building-Gold</v>
      </c>
      <c r="E42" s="63">
        <f>IF(AND(ConstructionState[[#This Row],[Kind]]="Upgrade",LabLevel=0),0,VLOOKUP(ConstructionState[Building or Upgrade],QuantAvail[],1+IF(ConstructionState[[#This Row],[Kind]]="Upgrade",LabLevel,THLevel),FALSE))</f>
        <v>2</v>
      </c>
      <c r="F42" s="63">
        <f>IF(AND(ConstructionState[[#This Row],[Kind]]="Upgrade",LabLevel=0),0,VLOOKUP(ConstructionState[Building or Upgrade],MaxLevel[],1+IF(ConstructionState[[#This Row],[Kind]]="Upgrade",LabLevel,THLevel),FALSE))</f>
        <v>5</v>
      </c>
      <c r="G42" s="63">
        <f>ConstructionState[[#This Row],[Available]]-SUM(ConstructionState[[#This Row],[1]:[12]])</f>
        <v>0</v>
      </c>
      <c r="H42" s="1"/>
      <c r="I42" s="2"/>
      <c r="J42" s="2"/>
      <c r="K42" s="2">
        <v>1</v>
      </c>
      <c r="L42" s="2">
        <v>1</v>
      </c>
      <c r="M42" s="2"/>
      <c r="N42" s="2"/>
      <c r="O42" s="2"/>
      <c r="P42" s="2"/>
      <c r="Q42" s="2"/>
      <c r="R42" s="2"/>
      <c r="S42" s="3"/>
    </row>
    <row r="43" spans="1:19" ht="18">
      <c r="A43" s="61" t="s">
        <v>26</v>
      </c>
      <c r="B43" s="61" t="str">
        <f>VLOOKUP(ConstructionState[[#This Row],[Building or Upgrade]],Upgrades[],2,FALSE)</f>
        <v>Building</v>
      </c>
      <c r="C43" s="61" t="str">
        <f>VLOOKUP(ConstructionState[Building or Upgrade],Upgrades[],3,FALSE)</f>
        <v>Gold</v>
      </c>
      <c r="D43" s="62" t="str">
        <f>IF((IFERROR(MATCH(ConstructionState[[#This Row],[Building or Upgrade]],$P$19:$S$19,0),0)+IFERROR(MATCH(ConstructionState[[#This Row],[Building or Upgrade]],$P$20:$S$20,0),0))&gt;0,"IGNORE",ConstructionState[Kind]&amp;"-"&amp;ConstructionState[Resource])</f>
        <v>Building-Gold</v>
      </c>
      <c r="E43" s="63">
        <f>IF(AND(ConstructionState[[#This Row],[Kind]]="Upgrade",LabLevel=0),0,VLOOKUP(ConstructionState[Building or Upgrade],QuantAvail[],1+IF(ConstructionState[[#This Row],[Kind]]="Upgrade",LabLevel,THLevel),FALSE))</f>
        <v>4</v>
      </c>
      <c r="F43" s="63">
        <f>IF(AND(ConstructionState[[#This Row],[Kind]]="Upgrade",LabLevel=0),0,VLOOKUP(ConstructionState[Building or Upgrade],MaxLevel[],1+IF(ConstructionState[[#This Row],[Kind]]="Upgrade",LabLevel,THLevel),FALSE))</f>
        <v>1</v>
      </c>
      <c r="G43" s="63">
        <f>ConstructionState[[#This Row],[Available]]-SUM(ConstructionState[[#This Row],[1]:[12]])</f>
        <v>0</v>
      </c>
      <c r="H43" s="1">
        <v>4</v>
      </c>
      <c r="I43" s="2"/>
      <c r="J43" s="2"/>
      <c r="K43" s="2"/>
      <c r="L43" s="2"/>
      <c r="M43" s="2"/>
      <c r="N43" s="2"/>
      <c r="O43" s="2"/>
      <c r="P43" s="2"/>
      <c r="Q43" s="2"/>
      <c r="R43" s="2"/>
      <c r="S43" s="3"/>
    </row>
    <row r="44" spans="1:19" ht="18">
      <c r="A44" s="61" t="s">
        <v>27</v>
      </c>
      <c r="B44" s="61" t="str">
        <f>VLOOKUP(ConstructionState[[#This Row],[Building or Upgrade]],Upgrades[],2,FALSE)</f>
        <v>Building</v>
      </c>
      <c r="C44" s="61" t="str">
        <f>VLOOKUP(ConstructionState[Building or Upgrade],Upgrades[],3,FALSE)</f>
        <v>Gold</v>
      </c>
      <c r="D44" s="62" t="str">
        <f>IF((IFERROR(MATCH(ConstructionState[[#This Row],[Building or Upgrade]],$P$19:$S$19,0),0)+IFERROR(MATCH(ConstructionState[[#This Row],[Building or Upgrade]],$P$20:$S$20,0),0))&gt;0,"IGNORE",ConstructionState[Kind]&amp;"-"&amp;ConstructionState[Resource])</f>
        <v>Building-Gold</v>
      </c>
      <c r="E44" s="63">
        <f>IF(AND(ConstructionState[[#This Row],[Kind]]="Upgrade",LabLevel=0),0,VLOOKUP(ConstructionState[Building or Upgrade],QuantAvail[],1+IF(ConstructionState[[#This Row],[Kind]]="Upgrade",LabLevel,THLevel),FALSE))</f>
        <v>2</v>
      </c>
      <c r="F44" s="63">
        <f>IF(AND(ConstructionState[[#This Row],[Kind]]="Upgrade",LabLevel=0),0,VLOOKUP(ConstructionState[Building or Upgrade],MaxLevel[],1+IF(ConstructionState[[#This Row],[Kind]]="Upgrade",LabLevel,THLevel),FALSE))</f>
        <v>4</v>
      </c>
      <c r="G44" s="63">
        <f>ConstructionState[[#This Row],[Available]]-SUM(ConstructionState[[#This Row],[1]:[12]])</f>
        <v>0</v>
      </c>
      <c r="H44" s="1"/>
      <c r="I44" s="2"/>
      <c r="J44" s="2"/>
      <c r="K44" s="2">
        <v>2</v>
      </c>
      <c r="L44" s="2"/>
      <c r="M44" s="2"/>
      <c r="N44" s="2"/>
      <c r="O44" s="2"/>
      <c r="P44" s="2"/>
      <c r="Q44" s="2"/>
      <c r="R44" s="2"/>
      <c r="S44" s="3"/>
    </row>
    <row r="45" spans="1:19" ht="18">
      <c r="A45" s="61" t="s">
        <v>9</v>
      </c>
      <c r="B45" s="61" t="str">
        <f>VLOOKUP(ConstructionState[[#This Row],[Building or Upgrade]],Upgrades[],2,FALSE)</f>
        <v>Building</v>
      </c>
      <c r="C45" s="61" t="str">
        <f>VLOOKUP(ConstructionState[Building or Upgrade],Upgrades[],3,FALSE)</f>
        <v>Gold</v>
      </c>
      <c r="D45" s="62" t="str">
        <f>IF((IFERROR(MATCH(ConstructionState[[#This Row],[Building or Upgrade]],$P$19:$S$19,0),0)+IFERROR(MATCH(ConstructionState[[#This Row],[Building or Upgrade]],$P$20:$S$20,0),0))&gt;0,"IGNORE",ConstructionState[Kind]&amp;"-"&amp;ConstructionState[Resource])</f>
        <v>Building-Gold</v>
      </c>
      <c r="E45" s="63">
        <f>IF(AND(ConstructionState[[#This Row],[Kind]]="Upgrade",LabLevel=0),0,VLOOKUP(ConstructionState[Building or Upgrade],QuantAvail[],1+IF(ConstructionState[[#This Row],[Kind]]="Upgrade",LabLevel,THLevel),FALSE))</f>
        <v>2</v>
      </c>
      <c r="F45" s="63">
        <f>IF(AND(ConstructionState[[#This Row],[Kind]]="Upgrade",LabLevel=0),0,VLOOKUP(ConstructionState[Building or Upgrade],MaxLevel[],1+IF(ConstructionState[[#This Row],[Kind]]="Upgrade",LabLevel,THLevel),FALSE))</f>
        <v>2</v>
      </c>
      <c r="G45" s="63">
        <f>ConstructionState[[#This Row],[Available]]-SUM(ConstructionState[[#This Row],[1]:[12]])</f>
        <v>0</v>
      </c>
      <c r="H45" s="1"/>
      <c r="I45" s="2">
        <v>2</v>
      </c>
      <c r="J45" s="2"/>
      <c r="K45" s="2"/>
      <c r="L45" s="2"/>
      <c r="M45" s="2"/>
      <c r="N45" s="2"/>
      <c r="O45" s="2"/>
      <c r="P45" s="2"/>
      <c r="Q45" s="2"/>
      <c r="R45" s="2"/>
      <c r="S45" s="3"/>
    </row>
    <row r="46" spans="1:19" ht="18">
      <c r="A46" s="61" t="s">
        <v>10</v>
      </c>
      <c r="B46" s="61" t="str">
        <f>VLOOKUP(ConstructionState[[#This Row],[Building or Upgrade]],Upgrades[],2,FALSE)</f>
        <v>Building</v>
      </c>
      <c r="C46" s="61" t="str">
        <f>VLOOKUP(ConstructionState[Building or Upgrade],Upgrades[],3,FALSE)</f>
        <v>Gold</v>
      </c>
      <c r="D46" s="62" t="str">
        <f>IF((IFERROR(MATCH(ConstructionState[[#This Row],[Building or Upgrade]],$P$19:$S$19,0),0)+IFERROR(MATCH(ConstructionState[[#This Row],[Building or Upgrade]],$P$20:$S$20,0),0))&gt;0,"IGNORE",ConstructionState[Kind]&amp;"-"&amp;ConstructionState[Resource])</f>
        <v>Building-Gold</v>
      </c>
      <c r="E46" s="63">
        <f>IF(AND(ConstructionState[[#This Row],[Kind]]="Upgrade",LabLevel=0),0,VLOOKUP(ConstructionState[Building or Upgrade],QuantAvail[],1+IF(ConstructionState[[#This Row],[Kind]]="Upgrade",LabLevel,THLevel),FALSE))</f>
        <v>2</v>
      </c>
      <c r="F46" s="63">
        <f>IF(AND(ConstructionState[[#This Row],[Kind]]="Upgrade",LabLevel=0),0,VLOOKUP(ConstructionState[Building or Upgrade],MaxLevel[],1+IF(ConstructionState[[#This Row],[Kind]]="Upgrade",LabLevel,THLevel),FALSE))</f>
        <v>3</v>
      </c>
      <c r="G46" s="63">
        <f>ConstructionState[[#This Row],[Available]]-SUM(ConstructionState[[#This Row],[1]:[12]])</f>
        <v>0</v>
      </c>
      <c r="H46" s="1"/>
      <c r="I46" s="2"/>
      <c r="J46" s="2">
        <v>2</v>
      </c>
      <c r="K46" s="2"/>
      <c r="L46" s="2"/>
      <c r="M46" s="2"/>
      <c r="N46" s="2"/>
      <c r="O46" s="2"/>
      <c r="P46" s="2"/>
      <c r="Q46" s="2"/>
      <c r="R46" s="2"/>
      <c r="S46" s="3"/>
    </row>
    <row r="47" spans="1:19" ht="18">
      <c r="A47" s="61" t="s">
        <v>28</v>
      </c>
      <c r="B47" s="61" t="str">
        <f>VLOOKUP(ConstructionState[[#This Row],[Building or Upgrade]],Upgrades[],2,FALSE)</f>
        <v>Building</v>
      </c>
      <c r="C47" s="61" t="str">
        <f>VLOOKUP(ConstructionState[Building or Upgrade],Upgrades[],3,FALSE)</f>
        <v>Gold</v>
      </c>
      <c r="D47" s="62" t="str">
        <f>IF((IFERROR(MATCH(ConstructionState[[#This Row],[Building or Upgrade]],$P$19:$S$19,0),0)+IFERROR(MATCH(ConstructionState[[#This Row],[Building or Upgrade]],$P$20:$S$20,0),0))&gt;0,"IGNORE",ConstructionState[Kind]&amp;"-"&amp;ConstructionState[Resource])</f>
        <v>Building-Gold</v>
      </c>
      <c r="E47" s="63">
        <f>IF(AND(ConstructionState[[#This Row],[Kind]]="Upgrade",LabLevel=0),0,VLOOKUP(ConstructionState[Building or Upgrade],QuantAvail[],1+IF(ConstructionState[[#This Row],[Kind]]="Upgrade",LabLevel,THLevel),FALSE))</f>
        <v>1</v>
      </c>
      <c r="F47" s="63">
        <f>IF(AND(ConstructionState[[#This Row],[Kind]]="Upgrade",LabLevel=0),0,VLOOKUP(ConstructionState[Building or Upgrade],MaxLevel[],1+IF(ConstructionState[[#This Row],[Kind]]="Upgrade",LabLevel,THLevel),FALSE))</f>
        <v>1</v>
      </c>
      <c r="G47" s="63">
        <f>ConstructionState[[#This Row],[Available]]-SUM(ConstructionState[[#This Row],[1]:[12]])</f>
        <v>0</v>
      </c>
      <c r="H47" s="1">
        <v>1</v>
      </c>
      <c r="I47" s="2"/>
      <c r="J47" s="2"/>
      <c r="K47" s="2"/>
      <c r="L47" s="2"/>
      <c r="M47" s="2"/>
      <c r="N47" s="2"/>
      <c r="O47" s="2"/>
      <c r="P47" s="2"/>
      <c r="Q47" s="2"/>
      <c r="R47" s="2"/>
      <c r="S47" s="3"/>
    </row>
    <row r="48" spans="1:19" ht="18">
      <c r="A48" s="61" t="s">
        <v>11</v>
      </c>
      <c r="B48" s="61" t="str">
        <f>VLOOKUP(ConstructionState[[#This Row],[Building or Upgrade]],Upgrades[],2,FALSE)</f>
        <v>Building</v>
      </c>
      <c r="C48" s="61" t="str">
        <f>VLOOKUP(ConstructionState[Building or Upgrade],Upgrades[],3,FALSE)</f>
        <v>Gold</v>
      </c>
      <c r="D48" s="62" t="str">
        <f>IF((IFERROR(MATCH(ConstructionState[[#This Row],[Building or Upgrade]],$P$19:$S$19,0),0)+IFERROR(MATCH(ConstructionState[[#This Row],[Building or Upgrade]],$P$20:$S$20,0),0))&gt;0,"IGNORE",ConstructionState[Kind]&amp;"-"&amp;ConstructionState[Resource])</f>
        <v>Building-Gold</v>
      </c>
      <c r="E48" s="63">
        <f>IF(AND(ConstructionState[[#This Row],[Kind]]="Upgrade",LabLevel=0),0,VLOOKUP(ConstructionState[Building or Upgrade],QuantAvail[],1+IF(ConstructionState[[#This Row],[Kind]]="Upgrade",LabLevel,THLevel),FALSE))</f>
        <v>2</v>
      </c>
      <c r="F48" s="63">
        <f>IF(AND(ConstructionState[[#This Row],[Kind]]="Upgrade",LabLevel=0),0,VLOOKUP(ConstructionState[Building or Upgrade],MaxLevel[],1+IF(ConstructionState[[#This Row],[Kind]]="Upgrade",LabLevel,THLevel),FALSE))</f>
        <v>3</v>
      </c>
      <c r="G48" s="63">
        <f>ConstructionState[[#This Row],[Available]]-SUM(ConstructionState[[#This Row],[1]:[12]])</f>
        <v>0</v>
      </c>
      <c r="H48" s="1"/>
      <c r="I48" s="2"/>
      <c r="J48" s="2">
        <v>2</v>
      </c>
      <c r="K48" s="2"/>
      <c r="L48" s="2"/>
      <c r="M48" s="2"/>
      <c r="N48" s="2"/>
      <c r="O48" s="2"/>
      <c r="P48" s="2"/>
      <c r="Q48" s="2"/>
      <c r="R48" s="2"/>
      <c r="S48" s="3"/>
    </row>
    <row r="49" spans="1:19" ht="18">
      <c r="A49" s="61" t="s">
        <v>12</v>
      </c>
      <c r="B49" s="61" t="str">
        <f>VLOOKUP(ConstructionState[[#This Row],[Building or Upgrade]],Upgrades[],2,FALSE)</f>
        <v>Building</v>
      </c>
      <c r="C49" s="61" t="str">
        <f>VLOOKUP(ConstructionState[Building or Upgrade],Upgrades[],3,FALSE)</f>
        <v>Gold</v>
      </c>
      <c r="D49" s="62" t="str">
        <f>IF((IFERROR(MATCH(ConstructionState[[#This Row],[Building or Upgrade]],$P$19:$S$19,0),0)+IFERROR(MATCH(ConstructionState[[#This Row],[Building or Upgrade]],$P$20:$S$20,0),0))&gt;0,"IGNORE",ConstructionState[Kind]&amp;"-"&amp;ConstructionState[Resource])</f>
        <v>Building-Gold</v>
      </c>
      <c r="E49" s="63">
        <f>IF(AND(ConstructionState[[#This Row],[Kind]]="Upgrade",LabLevel=0),0,VLOOKUP(ConstructionState[Building or Upgrade],QuantAvail[],1+IF(ConstructionState[[#This Row],[Kind]]="Upgrade",LabLevel,THLevel),FALSE))</f>
        <v>0</v>
      </c>
      <c r="F49" s="63">
        <f>IF(AND(ConstructionState[[#This Row],[Kind]]="Upgrade",LabLevel=0),0,VLOOKUP(ConstructionState[Building or Upgrade],MaxLevel[],1+IF(ConstructionState[[#This Row],[Kind]]="Upgrade",LabLevel,THLevel),FALSE))</f>
        <v>0</v>
      </c>
      <c r="G49" s="63">
        <f>ConstructionState[[#This Row],[Available]]-SUM(ConstructionState[[#This Row],[1]:[12]])</f>
        <v>0</v>
      </c>
      <c r="H49" s="1"/>
      <c r="I49" s="2"/>
      <c r="J49" s="2"/>
      <c r="K49" s="2"/>
      <c r="L49" s="2"/>
      <c r="M49" s="2"/>
      <c r="N49" s="2"/>
      <c r="O49" s="2"/>
      <c r="P49" s="2"/>
      <c r="Q49" s="2"/>
      <c r="R49" s="2"/>
      <c r="S49" s="3"/>
    </row>
    <row r="50" spans="1:19" ht="18">
      <c r="A50" s="61" t="s">
        <v>29</v>
      </c>
      <c r="B50" s="61" t="str">
        <f>VLOOKUP(ConstructionState[[#This Row],[Building or Upgrade]],Upgrades[],2,FALSE)</f>
        <v>Building</v>
      </c>
      <c r="C50" s="61" t="str">
        <f>VLOOKUP(ConstructionState[Building or Upgrade],Upgrades[],3,FALSE)</f>
        <v>Gold</v>
      </c>
      <c r="D50" s="62" t="str">
        <f>IF((IFERROR(MATCH(ConstructionState[[#This Row],[Building or Upgrade]],$P$19:$S$19,0),0)+IFERROR(MATCH(ConstructionState[[#This Row],[Building or Upgrade]],$P$20:$S$20,0),0))&gt;0,"IGNORE",ConstructionState[Kind]&amp;"-"&amp;ConstructionState[Resource])</f>
        <v>Building-Gold</v>
      </c>
      <c r="E50" s="63">
        <f>IF(AND(ConstructionState[[#This Row],[Kind]]="Upgrade",LabLevel=0),0,VLOOKUP(ConstructionState[Building or Upgrade],QuantAvail[],1+IF(ConstructionState[[#This Row],[Kind]]="Upgrade",LabLevel,THLevel),FALSE))</f>
        <v>0</v>
      </c>
      <c r="F50" s="63">
        <f>IF(AND(ConstructionState[[#This Row],[Kind]]="Upgrade",LabLevel=0),0,VLOOKUP(ConstructionState[Building or Upgrade],MaxLevel[],1+IF(ConstructionState[[#This Row],[Kind]]="Upgrade",LabLevel,THLevel),FALSE))</f>
        <v>0</v>
      </c>
      <c r="G50" s="63">
        <f>ConstructionState[[#This Row],[Available]]-SUM(ConstructionState[[#This Row],[1]:[12]])</f>
        <v>0</v>
      </c>
      <c r="H50" s="1"/>
      <c r="I50" s="2"/>
      <c r="J50" s="2"/>
      <c r="K50" s="2"/>
      <c r="L50" s="2"/>
      <c r="M50" s="2"/>
      <c r="N50" s="2"/>
      <c r="O50" s="2"/>
      <c r="P50" s="2"/>
      <c r="Q50" s="2"/>
      <c r="R50" s="2"/>
      <c r="S50" s="3"/>
    </row>
    <row r="51" spans="1:19" ht="18">
      <c r="A51" s="61" t="s">
        <v>106</v>
      </c>
      <c r="B51" s="61" t="str">
        <f>VLOOKUP(ConstructionState[[#This Row],[Building or Upgrade]],Upgrades[],2,FALSE)</f>
        <v>Building</v>
      </c>
      <c r="C51" s="61" t="str">
        <f>VLOOKUP(ConstructionState[Building or Upgrade],Upgrades[],3,FALSE)</f>
        <v>Dark Elixir</v>
      </c>
      <c r="D51" s="62" t="str">
        <f>IF((IFERROR(MATCH(ConstructionState[[#This Row],[Building or Upgrade]],$P$19:$S$19,0),0)+IFERROR(MATCH(ConstructionState[[#This Row],[Building or Upgrade]],$P$20:$S$20,0),0))&gt;0,"IGNORE",ConstructionState[Kind]&amp;"-"&amp;ConstructionState[Resource])</f>
        <v>Building-Dark Elixir</v>
      </c>
      <c r="E51" s="67">
        <f>IF(AND(ConstructionState[[#This Row],[Kind]]="Upgrade",LabLevel=0),0,VLOOKUP(ConstructionState[Building or Upgrade],QuantAvail[],1+IF(ConstructionState[[#This Row],[Kind]]="Upgrade",LabLevel,THLevel),FALSE))</f>
        <v>1</v>
      </c>
      <c r="F51" s="67">
        <f>IF(AND(ConstructionState[[#This Row],[Kind]]="Upgrade",LabLevel=0),0,VLOOKUP(ConstructionState[Building or Upgrade],MaxLevel[],1+IF(ConstructionState[[#This Row],[Kind]]="Upgrade",LabLevel,THLevel),FALSE))</f>
        <v>1</v>
      </c>
      <c r="G51" s="67">
        <f>ConstructionState[[#This Row],[Available]]-SUM(ConstructionState[[#This Row],[1]:[12]])</f>
        <v>0</v>
      </c>
      <c r="H51" s="5">
        <v>1</v>
      </c>
      <c r="I51" s="4"/>
      <c r="J51" s="2"/>
      <c r="K51" s="2"/>
      <c r="L51" s="2"/>
      <c r="M51" s="2"/>
      <c r="N51" s="2"/>
      <c r="O51" s="2"/>
      <c r="P51" s="4"/>
      <c r="Q51" s="2"/>
      <c r="R51" s="2"/>
      <c r="S51" s="3"/>
    </row>
    <row r="52" spans="1:19" ht="18">
      <c r="A52" s="61" t="s">
        <v>107</v>
      </c>
      <c r="B52" s="61" t="str">
        <f>VLOOKUP(ConstructionState[[#This Row],[Building or Upgrade]],Upgrades[],2,FALSE)</f>
        <v>Building</v>
      </c>
      <c r="C52" s="61" t="str">
        <f>VLOOKUP(ConstructionState[Building or Upgrade],Upgrades[],3,FALSE)</f>
        <v>Dark Elixir</v>
      </c>
      <c r="D52" s="62" t="str">
        <f>IF((IFERROR(MATCH(ConstructionState[[#This Row],[Building or Upgrade]],$P$19:$S$19,0),0)+IFERROR(MATCH(ConstructionState[[#This Row],[Building or Upgrade]],$P$20:$S$20,0),0))&gt;0,"IGNORE",ConstructionState[Kind]&amp;"-"&amp;ConstructionState[Resource])</f>
        <v>Building-Dark Elixir</v>
      </c>
      <c r="E52" s="67">
        <f>IF(AND(ConstructionState[[#This Row],[Kind]]="Upgrade",LabLevel=0),0,VLOOKUP(ConstructionState[Building or Upgrade],QuantAvail[],1+IF(ConstructionState[[#This Row],[Kind]]="Upgrade",LabLevel,THLevel),FALSE))</f>
        <v>0</v>
      </c>
      <c r="F52" s="67">
        <f>IF(AND(ConstructionState[[#This Row],[Kind]]="Upgrade",LabLevel=0),0,VLOOKUP(ConstructionState[Building or Upgrade],MaxLevel[],1+IF(ConstructionState[[#This Row],[Kind]]="Upgrade",LabLevel,THLevel),FALSE))</f>
        <v>0</v>
      </c>
      <c r="G52" s="67">
        <f>ConstructionState[[#This Row],[Available]]-SUM(ConstructionState[[#This Row],[1]:[12]])</f>
        <v>0</v>
      </c>
      <c r="H52" s="5"/>
      <c r="I52" s="4"/>
      <c r="J52" s="2"/>
      <c r="K52" s="2"/>
      <c r="L52" s="2"/>
      <c r="M52" s="2"/>
      <c r="N52" s="2"/>
      <c r="O52" s="2"/>
      <c r="P52" s="4"/>
      <c r="Q52" s="2"/>
      <c r="R52" s="2"/>
      <c r="S52" s="3"/>
    </row>
    <row r="53" spans="1:19" ht="18">
      <c r="A53" s="61" t="s">
        <v>83</v>
      </c>
      <c r="B53" s="61" t="str">
        <f>VLOOKUP(ConstructionState[[#This Row],[Building or Upgrade]],Upgrades[],2,FALSE)</f>
        <v>Upgrade</v>
      </c>
      <c r="C53" s="61" t="str">
        <f>VLOOKUP(ConstructionState[Building or Upgrade],Upgrades[],3,FALSE)</f>
        <v>Elixir</v>
      </c>
      <c r="D53" s="62" t="str">
        <f>IF((IFERROR(MATCH(ConstructionState[[#This Row],[Building or Upgrade]],$P$19:$S$19,0),0)+IFERROR(MATCH(ConstructionState[[#This Row],[Building or Upgrade]],$P$20:$S$20,0),0))&gt;0,"IGNORE",ConstructionState[Kind]&amp;"-"&amp;ConstructionState[Resource])</f>
        <v>Upgrade-Elixir</v>
      </c>
      <c r="E53" s="67">
        <f>IF(AND(ConstructionState[[#This Row],[Kind]]="Upgrade",LabLevel=0),0,VLOOKUP(ConstructionState[Building or Upgrade],QuantAvail[],1+IF(ConstructionState[[#This Row],[Kind]]="Upgrade",LabLevel,THLevel),FALSE))</f>
        <v>1</v>
      </c>
      <c r="F53" s="67">
        <f>IF(AND(ConstructionState[[#This Row],[Kind]]="Upgrade",LabLevel=0),0,VLOOKUP(ConstructionState[Building or Upgrade],MaxLevel[],1+IF(ConstructionState[[#This Row],[Kind]]="Upgrade",LabLevel,THLevel),FALSE))</f>
        <v>4</v>
      </c>
      <c r="G53" s="67">
        <f>ConstructionState[[#This Row],[Available]]-SUM(ConstructionState[[#This Row],[1]:[12]])</f>
        <v>0</v>
      </c>
      <c r="H53" s="5"/>
      <c r="I53" s="4"/>
      <c r="J53" s="2"/>
      <c r="K53" s="2">
        <v>1</v>
      </c>
      <c r="L53" s="2"/>
      <c r="M53" s="2"/>
      <c r="N53" s="2"/>
      <c r="O53" s="2"/>
      <c r="P53" s="4"/>
      <c r="Q53" s="2"/>
      <c r="R53" s="2"/>
      <c r="S53" s="3"/>
    </row>
    <row r="54" spans="1:19" ht="18">
      <c r="A54" s="61" t="s">
        <v>84</v>
      </c>
      <c r="B54" s="61" t="str">
        <f>VLOOKUP(ConstructionState[[#This Row],[Building or Upgrade]],Upgrades[],2,FALSE)</f>
        <v>Upgrade</v>
      </c>
      <c r="C54" s="61" t="str">
        <f>VLOOKUP(ConstructionState[Building or Upgrade],Upgrades[],3,FALSE)</f>
        <v>Elixir</v>
      </c>
      <c r="D54" s="62" t="str">
        <f>IF((IFERROR(MATCH(ConstructionState[[#This Row],[Building or Upgrade]],$P$19:$S$19,0),0)+IFERROR(MATCH(ConstructionState[[#This Row],[Building or Upgrade]],$P$20:$S$20,0),0))&gt;0,"IGNORE",ConstructionState[Kind]&amp;"-"&amp;ConstructionState[Resource])</f>
        <v>Upgrade-Elixir</v>
      </c>
      <c r="E54" s="67">
        <f>IF(AND(ConstructionState[[#This Row],[Kind]]="Upgrade",LabLevel=0),0,VLOOKUP(ConstructionState[Building or Upgrade],QuantAvail[],1+IF(ConstructionState[[#This Row],[Kind]]="Upgrade",LabLevel,THLevel),FALSE))</f>
        <v>1</v>
      </c>
      <c r="F54" s="67">
        <f>IF(AND(ConstructionState[[#This Row],[Kind]]="Upgrade",LabLevel=0),0,VLOOKUP(ConstructionState[Building or Upgrade],MaxLevel[],1+IF(ConstructionState[[#This Row],[Kind]]="Upgrade",LabLevel,THLevel),FALSE))</f>
        <v>4</v>
      </c>
      <c r="G54" s="67">
        <f>ConstructionState[[#This Row],[Available]]-SUM(ConstructionState[[#This Row],[1]:[12]])</f>
        <v>0</v>
      </c>
      <c r="H54" s="5"/>
      <c r="I54" s="4"/>
      <c r="J54" s="2"/>
      <c r="K54" s="2">
        <v>1</v>
      </c>
      <c r="L54" s="2"/>
      <c r="M54" s="2"/>
      <c r="N54" s="2"/>
      <c r="O54" s="2"/>
      <c r="P54" s="4"/>
      <c r="Q54" s="2"/>
      <c r="R54" s="2"/>
      <c r="S54" s="3"/>
    </row>
    <row r="55" spans="1:19" ht="18">
      <c r="A55" s="61" t="s">
        <v>85</v>
      </c>
      <c r="B55" s="61" t="str">
        <f>VLOOKUP(ConstructionState[[#This Row],[Building or Upgrade]],Upgrades[],2,FALSE)</f>
        <v>Upgrade</v>
      </c>
      <c r="C55" s="61" t="str">
        <f>VLOOKUP(ConstructionState[Building or Upgrade],Upgrades[],3,FALSE)</f>
        <v>Elixir</v>
      </c>
      <c r="D55" s="62" t="str">
        <f>IF((IFERROR(MATCH(ConstructionState[[#This Row],[Building or Upgrade]],$P$19:$S$19,0),0)+IFERROR(MATCH(ConstructionState[[#This Row],[Building or Upgrade]],$P$20:$S$20,0),0))&gt;0,"IGNORE",ConstructionState[Kind]&amp;"-"&amp;ConstructionState[Resource])</f>
        <v>Upgrade-Elixir</v>
      </c>
      <c r="E55" s="67">
        <f>IF(AND(ConstructionState[[#This Row],[Kind]]="Upgrade",LabLevel=0),0,VLOOKUP(ConstructionState[Building or Upgrade],QuantAvail[],1+IF(ConstructionState[[#This Row],[Kind]]="Upgrade",LabLevel,THLevel),FALSE))</f>
        <v>1</v>
      </c>
      <c r="F55" s="67">
        <f>IF(AND(ConstructionState[[#This Row],[Kind]]="Upgrade",LabLevel=0),0,VLOOKUP(ConstructionState[Building or Upgrade],MaxLevel[],1+IF(ConstructionState[[#This Row],[Kind]]="Upgrade",LabLevel,THLevel),FALSE))</f>
        <v>4</v>
      </c>
      <c r="G55" s="67">
        <f>ConstructionState[[#This Row],[Available]]-SUM(ConstructionState[[#This Row],[1]:[12]])</f>
        <v>0</v>
      </c>
      <c r="H55" s="5"/>
      <c r="I55" s="4"/>
      <c r="J55" s="2"/>
      <c r="K55" s="2">
        <v>1</v>
      </c>
      <c r="L55" s="2"/>
      <c r="M55" s="2"/>
      <c r="N55" s="2"/>
      <c r="O55" s="2"/>
      <c r="P55" s="4"/>
      <c r="Q55" s="2"/>
      <c r="R55" s="2"/>
      <c r="S55" s="3"/>
    </row>
    <row r="56" spans="1:19" ht="18">
      <c r="A56" s="61" t="s">
        <v>86</v>
      </c>
      <c r="B56" s="61" t="str">
        <f>VLOOKUP(ConstructionState[[#This Row],[Building or Upgrade]],Upgrades[],2,FALSE)</f>
        <v>Upgrade</v>
      </c>
      <c r="C56" s="61" t="str">
        <f>VLOOKUP(ConstructionState[Building or Upgrade],Upgrades[],3,FALSE)</f>
        <v>Elixir</v>
      </c>
      <c r="D56" s="62" t="str">
        <f>IF((IFERROR(MATCH(ConstructionState[[#This Row],[Building or Upgrade]],$P$19:$S$19,0),0)+IFERROR(MATCH(ConstructionState[[#This Row],[Building or Upgrade]],$P$20:$S$20,0),0))&gt;0,"IGNORE",ConstructionState[Kind]&amp;"-"&amp;ConstructionState[Resource])</f>
        <v>Upgrade-Elixir</v>
      </c>
      <c r="E56" s="67">
        <f>IF(AND(ConstructionState[[#This Row],[Kind]]="Upgrade",LabLevel=0),0,VLOOKUP(ConstructionState[Building or Upgrade],QuantAvail[],1+IF(ConstructionState[[#This Row],[Kind]]="Upgrade",LabLevel,THLevel),FALSE))</f>
        <v>1</v>
      </c>
      <c r="F56" s="67">
        <f>IF(AND(ConstructionState[[#This Row],[Kind]]="Upgrade",LabLevel=0),0,VLOOKUP(ConstructionState[Building or Upgrade],MaxLevel[],1+IF(ConstructionState[[#This Row],[Kind]]="Upgrade",LabLevel,THLevel),FALSE))</f>
        <v>4</v>
      </c>
      <c r="G56" s="67">
        <f>ConstructionState[[#This Row],[Available]]-SUM(ConstructionState[[#This Row],[1]:[12]])</f>
        <v>0</v>
      </c>
      <c r="H56" s="5"/>
      <c r="I56" s="4"/>
      <c r="J56" s="2"/>
      <c r="K56" s="2">
        <v>1</v>
      </c>
      <c r="L56" s="2"/>
      <c r="M56" s="2"/>
      <c r="N56" s="2"/>
      <c r="O56" s="2"/>
      <c r="P56" s="4"/>
      <c r="Q56" s="2"/>
      <c r="R56" s="2"/>
      <c r="S56" s="3"/>
    </row>
    <row r="57" spans="1:19" ht="18">
      <c r="A57" s="61" t="s">
        <v>87</v>
      </c>
      <c r="B57" s="61" t="str">
        <f>VLOOKUP(ConstructionState[[#This Row],[Building or Upgrade]],Upgrades[],2,FALSE)</f>
        <v>Upgrade</v>
      </c>
      <c r="C57" s="61" t="str">
        <f>VLOOKUP(ConstructionState[Building or Upgrade],Upgrades[],3,FALSE)</f>
        <v>Elixir</v>
      </c>
      <c r="D57" s="62" t="str">
        <f>IF((IFERROR(MATCH(ConstructionState[[#This Row],[Building or Upgrade]],$P$19:$S$19,0),0)+IFERROR(MATCH(ConstructionState[[#This Row],[Building or Upgrade]],$P$20:$S$20,0),0))&gt;0,"IGNORE",ConstructionState[Kind]&amp;"-"&amp;ConstructionState[Resource])</f>
        <v>Upgrade-Elixir</v>
      </c>
      <c r="E57" s="67">
        <f>IF(AND(ConstructionState[[#This Row],[Kind]]="Upgrade",LabLevel=0),0,VLOOKUP(ConstructionState[Building or Upgrade],QuantAvail[],1+IF(ConstructionState[[#This Row],[Kind]]="Upgrade",LabLevel,THLevel),FALSE))</f>
        <v>1</v>
      </c>
      <c r="F57" s="67">
        <f>IF(AND(ConstructionState[[#This Row],[Kind]]="Upgrade",LabLevel=0),0,VLOOKUP(ConstructionState[Building or Upgrade],MaxLevel[],1+IF(ConstructionState[[#This Row],[Kind]]="Upgrade",LabLevel,THLevel),FALSE))</f>
        <v>4</v>
      </c>
      <c r="G57" s="67">
        <f>ConstructionState[[#This Row],[Available]]-SUM(ConstructionState[[#This Row],[1]:[12]])</f>
        <v>0</v>
      </c>
      <c r="H57" s="5"/>
      <c r="I57" s="4"/>
      <c r="J57" s="2"/>
      <c r="K57" s="2">
        <v>1</v>
      </c>
      <c r="L57" s="2"/>
      <c r="M57" s="2"/>
      <c r="N57" s="2"/>
      <c r="O57" s="2"/>
      <c r="P57" s="4"/>
      <c r="Q57" s="2"/>
      <c r="R57" s="2"/>
      <c r="S57" s="3"/>
    </row>
    <row r="58" spans="1:19" ht="18">
      <c r="A58" s="61" t="s">
        <v>88</v>
      </c>
      <c r="B58" s="61" t="str">
        <f>VLOOKUP(ConstructionState[[#This Row],[Building or Upgrade]],Upgrades[],2,FALSE)</f>
        <v>Upgrade</v>
      </c>
      <c r="C58" s="61" t="str">
        <f>VLOOKUP(ConstructionState[Building or Upgrade],Upgrades[],3,FALSE)</f>
        <v>Elixir</v>
      </c>
      <c r="D58" s="62" t="str">
        <f>IF((IFERROR(MATCH(ConstructionState[[#This Row],[Building or Upgrade]],$P$19:$S$19,0),0)+IFERROR(MATCH(ConstructionState[[#This Row],[Building or Upgrade]],$P$20:$S$20,0),0))&gt;0,"IGNORE",ConstructionState[Kind]&amp;"-"&amp;ConstructionState[Resource])</f>
        <v>IGNORE</v>
      </c>
      <c r="E58" s="67">
        <f>IF(AND(ConstructionState[[#This Row],[Kind]]="Upgrade",LabLevel=0),0,VLOOKUP(ConstructionState[Building or Upgrade],QuantAvail[],1+IF(ConstructionState[[#This Row],[Kind]]="Upgrade",LabLevel,THLevel),FALSE))</f>
        <v>1</v>
      </c>
      <c r="F58" s="67">
        <f>IF(AND(ConstructionState[[#This Row],[Kind]]="Upgrade",LabLevel=0),0,VLOOKUP(ConstructionState[Building or Upgrade],MaxLevel[],1+IF(ConstructionState[[#This Row],[Kind]]="Upgrade",LabLevel,THLevel),FALSE))</f>
        <v>4</v>
      </c>
      <c r="G58" s="67">
        <f>ConstructionState[[#This Row],[Available]]-SUM(ConstructionState[[#This Row],[1]:[12]])</f>
        <v>0</v>
      </c>
      <c r="H58" s="5"/>
      <c r="I58" s="4">
        <v>1</v>
      </c>
      <c r="J58" s="2"/>
      <c r="K58" s="2"/>
      <c r="L58" s="2"/>
      <c r="M58" s="2"/>
      <c r="N58" s="2"/>
      <c r="O58" s="2"/>
      <c r="P58" s="4"/>
      <c r="Q58" s="2"/>
      <c r="R58" s="2"/>
      <c r="S58" s="3"/>
    </row>
    <row r="59" spans="1:19" ht="18">
      <c r="A59" s="61" t="s">
        <v>89</v>
      </c>
      <c r="B59" s="61" t="str">
        <f>VLOOKUP(ConstructionState[[#This Row],[Building or Upgrade]],Upgrades[],2,FALSE)</f>
        <v>Upgrade</v>
      </c>
      <c r="C59" s="61" t="str">
        <f>VLOOKUP(ConstructionState[Building or Upgrade],Upgrades[],3,FALSE)</f>
        <v>Elixir</v>
      </c>
      <c r="D59" s="62" t="str">
        <f>IF((IFERROR(MATCH(ConstructionState[[#This Row],[Building or Upgrade]],$P$19:$S$19,0),0)+IFERROR(MATCH(ConstructionState[[#This Row],[Building or Upgrade]],$P$20:$S$20,0),0))&gt;0,"IGNORE",ConstructionState[Kind]&amp;"-"&amp;ConstructionState[Resource])</f>
        <v>Upgrade-Elixir</v>
      </c>
      <c r="E59" s="67">
        <f>IF(AND(ConstructionState[[#This Row],[Kind]]="Upgrade",LabLevel=0),0,VLOOKUP(ConstructionState[Building or Upgrade],QuantAvail[],1+IF(ConstructionState[[#This Row],[Kind]]="Upgrade",LabLevel,THLevel),FALSE))</f>
        <v>1</v>
      </c>
      <c r="F59" s="67">
        <f>IF(AND(ConstructionState[[#This Row],[Kind]]="Upgrade",LabLevel=0),0,VLOOKUP(ConstructionState[Building or Upgrade],MaxLevel[],1+IF(ConstructionState[[#This Row],[Kind]]="Upgrade",LabLevel,THLevel),FALSE))</f>
        <v>4</v>
      </c>
      <c r="G59" s="67">
        <f>ConstructionState[[#This Row],[Available]]-SUM(ConstructionState[[#This Row],[1]:[12]])</f>
        <v>0</v>
      </c>
      <c r="H59" s="5"/>
      <c r="I59" s="4"/>
      <c r="J59" s="2">
        <v>1</v>
      </c>
      <c r="K59" s="2"/>
      <c r="L59" s="2"/>
      <c r="M59" s="2"/>
      <c r="N59" s="2"/>
      <c r="O59" s="2"/>
      <c r="P59" s="4"/>
      <c r="Q59" s="2"/>
      <c r="R59" s="2"/>
      <c r="S59" s="3"/>
    </row>
    <row r="60" spans="1:19" ht="18">
      <c r="A60" s="61" t="s">
        <v>90</v>
      </c>
      <c r="B60" s="61" t="str">
        <f>VLOOKUP(ConstructionState[[#This Row],[Building or Upgrade]],Upgrades[],2,FALSE)</f>
        <v>Upgrade</v>
      </c>
      <c r="C60" s="61" t="str">
        <f>VLOOKUP(ConstructionState[Building or Upgrade],Upgrades[],3,FALSE)</f>
        <v>Elixir</v>
      </c>
      <c r="D60" s="62" t="str">
        <f>IF((IFERROR(MATCH(ConstructionState[[#This Row],[Building or Upgrade]],$P$19:$S$19,0),0)+IFERROR(MATCH(ConstructionState[[#This Row],[Building or Upgrade]],$P$20:$S$20,0),0))&gt;0,"IGNORE",ConstructionState[Kind]&amp;"-"&amp;ConstructionState[Resource])</f>
        <v>Upgrade-Elixir</v>
      </c>
      <c r="E60" s="67">
        <f>IF(AND(ConstructionState[[#This Row],[Kind]]="Upgrade",LabLevel=0),0,VLOOKUP(ConstructionState[Building or Upgrade],QuantAvail[],1+IF(ConstructionState[[#This Row],[Kind]]="Upgrade",LabLevel,THLevel),FALSE))</f>
        <v>1</v>
      </c>
      <c r="F60" s="67">
        <f>IF(AND(ConstructionState[[#This Row],[Kind]]="Upgrade",LabLevel=0),0,VLOOKUP(ConstructionState[Building or Upgrade],MaxLevel[],1+IF(ConstructionState[[#This Row],[Kind]]="Upgrade",LabLevel,THLevel),FALSE))</f>
        <v>2</v>
      </c>
      <c r="G60" s="67">
        <f>ConstructionState[[#This Row],[Available]]-SUM(ConstructionState[[#This Row],[1]:[12]])</f>
        <v>0</v>
      </c>
      <c r="H60" s="5"/>
      <c r="I60" s="4">
        <v>1</v>
      </c>
      <c r="J60" s="2"/>
      <c r="K60" s="2"/>
      <c r="L60" s="2"/>
      <c r="M60" s="2"/>
      <c r="N60" s="2"/>
      <c r="O60" s="2"/>
      <c r="P60" s="4"/>
      <c r="Q60" s="2"/>
      <c r="R60" s="2"/>
      <c r="S60" s="3"/>
    </row>
    <row r="61" spans="1:19" ht="18">
      <c r="A61" s="61" t="s">
        <v>91</v>
      </c>
      <c r="B61" s="61" t="str">
        <f>VLOOKUP(ConstructionState[[#This Row],[Building or Upgrade]],Upgrades[],2,FALSE)</f>
        <v>Upgrade</v>
      </c>
      <c r="C61" s="61" t="str">
        <f>VLOOKUP(ConstructionState[Building or Upgrade],Upgrades[],3,FALSE)</f>
        <v>Elixir</v>
      </c>
      <c r="D61" s="62" t="str">
        <f>IF((IFERROR(MATCH(ConstructionState[[#This Row],[Building or Upgrade]],$P$19:$S$19,0),0)+IFERROR(MATCH(ConstructionState[[#This Row],[Building or Upgrade]],$P$20:$S$20,0),0))&gt;0,"IGNORE",ConstructionState[Kind]&amp;"-"&amp;ConstructionState[Resource])</f>
        <v>Upgrade-Elixir</v>
      </c>
      <c r="E61" s="67">
        <f>IF(AND(ConstructionState[[#This Row],[Kind]]="Upgrade",LabLevel=0),0,VLOOKUP(ConstructionState[Building or Upgrade],QuantAvail[],1+IF(ConstructionState[[#This Row],[Kind]]="Upgrade",LabLevel,THLevel),FALSE))</f>
        <v>1</v>
      </c>
      <c r="F61" s="67">
        <f>IF(AND(ConstructionState[[#This Row],[Kind]]="Upgrade",LabLevel=0),0,VLOOKUP(ConstructionState[Building or Upgrade],MaxLevel[],1+IF(ConstructionState[[#This Row],[Kind]]="Upgrade",LabLevel,THLevel),FALSE))</f>
        <v>2</v>
      </c>
      <c r="G61" s="67">
        <f>ConstructionState[[#This Row],[Available]]-SUM(ConstructionState[[#This Row],[1]:[12]])</f>
        <v>1</v>
      </c>
      <c r="H61" s="5"/>
      <c r="I61" s="4"/>
      <c r="J61" s="2"/>
      <c r="K61" s="2"/>
      <c r="L61" s="2"/>
      <c r="M61" s="2"/>
      <c r="N61" s="2"/>
      <c r="O61" s="2"/>
      <c r="P61" s="4"/>
      <c r="Q61" s="2"/>
      <c r="R61" s="2"/>
      <c r="S61" s="3"/>
    </row>
    <row r="62" spans="1:19" ht="18">
      <c r="A62" s="61" t="s">
        <v>92</v>
      </c>
      <c r="B62" s="61" t="str">
        <f>VLOOKUP(ConstructionState[[#This Row],[Building or Upgrade]],Upgrades[],2,FALSE)</f>
        <v>Upgrade</v>
      </c>
      <c r="C62" s="61" t="str">
        <f>VLOOKUP(ConstructionState[Building or Upgrade],Upgrades[],3,FALSE)</f>
        <v>Elixir</v>
      </c>
      <c r="D62" s="62" t="str">
        <f>IF((IFERROR(MATCH(ConstructionState[[#This Row],[Building or Upgrade]],$P$19:$S$19,0),0)+IFERROR(MATCH(ConstructionState[[#This Row],[Building or Upgrade]],$P$20:$S$20,0),0))&gt;0,"IGNORE",ConstructionState[Kind]&amp;"-"&amp;ConstructionState[Resource])</f>
        <v>Upgrade-Elixir</v>
      </c>
      <c r="E62" s="67">
        <f>IF(AND(ConstructionState[[#This Row],[Kind]]="Upgrade",LabLevel=0),0,VLOOKUP(ConstructionState[Building or Upgrade],QuantAvail[],1+IF(ConstructionState[[#This Row],[Kind]]="Upgrade",LabLevel,THLevel),FALSE))</f>
        <v>0</v>
      </c>
      <c r="F62" s="67">
        <f>IF(AND(ConstructionState[[#This Row],[Kind]]="Upgrade",LabLevel=0),0,VLOOKUP(ConstructionState[Building or Upgrade],MaxLevel[],1+IF(ConstructionState[[#This Row],[Kind]]="Upgrade",LabLevel,THLevel),FALSE))</f>
        <v>0</v>
      </c>
      <c r="G62" s="67">
        <f>ConstructionState[[#This Row],[Available]]-SUM(ConstructionState[[#This Row],[1]:[12]])</f>
        <v>0</v>
      </c>
      <c r="H62" s="5"/>
      <c r="I62" s="4"/>
      <c r="J62" s="2"/>
      <c r="K62" s="2"/>
      <c r="L62" s="2"/>
      <c r="M62" s="2"/>
      <c r="N62" s="2"/>
      <c r="O62" s="2"/>
      <c r="P62" s="4"/>
      <c r="Q62" s="2"/>
      <c r="R62" s="2"/>
      <c r="S62" s="3"/>
    </row>
    <row r="63" spans="1:19" ht="18">
      <c r="A63" s="61" t="s">
        <v>93</v>
      </c>
      <c r="B63" s="61" t="str">
        <f>VLOOKUP(ConstructionState[[#This Row],[Building or Upgrade]],Upgrades[],2,FALSE)</f>
        <v>Upgrade</v>
      </c>
      <c r="C63" s="61" t="str">
        <f>VLOOKUP(ConstructionState[Building or Upgrade],Upgrades[],3,FALSE)</f>
        <v>Elixir</v>
      </c>
      <c r="D63" s="62" t="str">
        <f>IF((IFERROR(MATCH(ConstructionState[[#This Row],[Building or Upgrade]],$P$19:$S$19,0),0)+IFERROR(MATCH(ConstructionState[[#This Row],[Building or Upgrade]],$P$20:$S$20,0),0))&gt;0,"IGNORE",ConstructionState[Kind]&amp;"-"&amp;ConstructionState[Resource])</f>
        <v>Upgrade-Elixir</v>
      </c>
      <c r="E63" s="67">
        <f>IF(AND(ConstructionState[[#This Row],[Kind]]="Upgrade",LabLevel=0),0,VLOOKUP(ConstructionState[Building or Upgrade],QuantAvail[],1+IF(ConstructionState[[#This Row],[Kind]]="Upgrade",LabLevel,THLevel),FALSE))</f>
        <v>1</v>
      </c>
      <c r="F63" s="67">
        <f>IF(AND(ConstructionState[[#This Row],[Kind]]="Upgrade",LabLevel=0),0,VLOOKUP(ConstructionState[Building or Upgrade],MaxLevel[],1+IF(ConstructionState[[#This Row],[Kind]]="Upgrade",LabLevel,THLevel),FALSE))</f>
        <v>4</v>
      </c>
      <c r="G63" s="67">
        <f>ConstructionState[[#This Row],[Available]]-SUM(ConstructionState[[#This Row],[1]:[12]])</f>
        <v>0</v>
      </c>
      <c r="H63" s="5"/>
      <c r="I63" s="4"/>
      <c r="J63" s="2">
        <v>1</v>
      </c>
      <c r="K63" s="2"/>
      <c r="L63" s="2"/>
      <c r="M63" s="2"/>
      <c r="N63" s="2"/>
      <c r="O63" s="2"/>
      <c r="P63" s="4"/>
      <c r="Q63" s="2"/>
      <c r="R63" s="2"/>
      <c r="S63" s="3"/>
    </row>
    <row r="64" spans="1:19" ht="18">
      <c r="A64" s="61" t="s">
        <v>94</v>
      </c>
      <c r="B64" s="61" t="str">
        <f>VLOOKUP(ConstructionState[[#This Row],[Building or Upgrade]],Upgrades[],2,FALSE)</f>
        <v>Upgrade</v>
      </c>
      <c r="C64" s="61" t="str">
        <f>VLOOKUP(ConstructionState[Building or Upgrade],Upgrades[],3,FALSE)</f>
        <v>Elixir</v>
      </c>
      <c r="D64" s="62" t="str">
        <f>IF((IFERROR(MATCH(ConstructionState[[#This Row],[Building or Upgrade]],$P$19:$S$19,0),0)+IFERROR(MATCH(ConstructionState[[#This Row],[Building or Upgrade]],$P$20:$S$20,0),0))&gt;0,"IGNORE",ConstructionState[Kind]&amp;"-"&amp;ConstructionState[Resource])</f>
        <v>Upgrade-Elixir</v>
      </c>
      <c r="E64" s="67">
        <f>IF(AND(ConstructionState[[#This Row],[Kind]]="Upgrade",LabLevel=0),0,VLOOKUP(ConstructionState[Building or Upgrade],QuantAvail[],1+IF(ConstructionState[[#This Row],[Kind]]="Upgrade",LabLevel,THLevel),FALSE))</f>
        <v>1</v>
      </c>
      <c r="F64" s="67">
        <f>IF(AND(ConstructionState[[#This Row],[Kind]]="Upgrade",LabLevel=0),0,VLOOKUP(ConstructionState[Building or Upgrade],MaxLevel[],1+IF(ConstructionState[[#This Row],[Kind]]="Upgrade",LabLevel,THLevel),FALSE))</f>
        <v>4</v>
      </c>
      <c r="G64" s="67">
        <f>ConstructionState[[#This Row],[Available]]-SUM(ConstructionState[[#This Row],[1]:[12]])</f>
        <v>0</v>
      </c>
      <c r="H64" s="5"/>
      <c r="I64" s="4"/>
      <c r="J64" s="2"/>
      <c r="K64" s="2">
        <v>1</v>
      </c>
      <c r="L64" s="2"/>
      <c r="M64" s="2"/>
      <c r="N64" s="2"/>
      <c r="O64" s="2"/>
      <c r="P64" s="4"/>
      <c r="Q64" s="2"/>
      <c r="R64" s="2"/>
      <c r="S64" s="3"/>
    </row>
    <row r="65" spans="1:19" ht="18">
      <c r="A65" s="61" t="s">
        <v>95</v>
      </c>
      <c r="B65" s="61" t="str">
        <f>VLOOKUP(ConstructionState[[#This Row],[Building or Upgrade]],Upgrades[],2,FALSE)</f>
        <v>Upgrade</v>
      </c>
      <c r="C65" s="61" t="str">
        <f>VLOOKUP(ConstructionState[Building or Upgrade],Upgrades[],3,FALSE)</f>
        <v>Elixir</v>
      </c>
      <c r="D65" s="62" t="str">
        <f>IF((IFERROR(MATCH(ConstructionState[[#This Row],[Building or Upgrade]],$P$19:$S$19,0),0)+IFERROR(MATCH(ConstructionState[[#This Row],[Building or Upgrade]],$P$20:$S$20,0),0))&gt;0,"IGNORE",ConstructionState[Kind]&amp;"-"&amp;ConstructionState[Resource])</f>
        <v>Upgrade-Elixir</v>
      </c>
      <c r="E65" s="67">
        <f>IF(AND(ConstructionState[[#This Row],[Kind]]="Upgrade",LabLevel=0),0,VLOOKUP(ConstructionState[Building or Upgrade],QuantAvail[],1+IF(ConstructionState[[#This Row],[Kind]]="Upgrade",LabLevel,THLevel),FALSE))</f>
        <v>1</v>
      </c>
      <c r="F65" s="67">
        <f>IF(AND(ConstructionState[[#This Row],[Kind]]="Upgrade",LabLevel=0),0,VLOOKUP(ConstructionState[Building or Upgrade],MaxLevel[],1+IF(ConstructionState[[#This Row],[Kind]]="Upgrade",LabLevel,THLevel),FALSE))</f>
        <v>4</v>
      </c>
      <c r="G65" s="67">
        <f>ConstructionState[[#This Row],[Available]]-SUM(ConstructionState[[#This Row],[1]:[12]])</f>
        <v>0</v>
      </c>
      <c r="H65" s="5"/>
      <c r="I65" s="4">
        <v>1</v>
      </c>
      <c r="J65" s="2"/>
      <c r="K65" s="2"/>
      <c r="L65" s="2"/>
      <c r="M65" s="2"/>
      <c r="N65" s="2"/>
      <c r="O65" s="2"/>
      <c r="P65" s="4"/>
      <c r="Q65" s="2"/>
      <c r="R65" s="2"/>
      <c r="S65" s="3"/>
    </row>
    <row r="66" spans="1:19" ht="18">
      <c r="A66" s="61" t="s">
        <v>96</v>
      </c>
      <c r="B66" s="61" t="str">
        <f>VLOOKUP(ConstructionState[[#This Row],[Building or Upgrade]],Upgrades[],2,FALSE)</f>
        <v>Upgrade</v>
      </c>
      <c r="C66" s="61" t="str">
        <f>VLOOKUP(ConstructionState[Building or Upgrade],Upgrades[],3,FALSE)</f>
        <v>Elixir</v>
      </c>
      <c r="D66" s="62" t="str">
        <f>IF((IFERROR(MATCH(ConstructionState[[#This Row],[Building or Upgrade]],$P$19:$S$19,0),0)+IFERROR(MATCH(ConstructionState[[#This Row],[Building or Upgrade]],$P$20:$S$20,0),0))&gt;0,"IGNORE",ConstructionState[Kind]&amp;"-"&amp;ConstructionState[Resource])</f>
        <v>Upgrade-Elixir</v>
      </c>
      <c r="E66" s="67">
        <f>IF(AND(ConstructionState[[#This Row],[Kind]]="Upgrade",LabLevel=0),0,VLOOKUP(ConstructionState[Building or Upgrade],QuantAvail[],1+IF(ConstructionState[[#This Row],[Kind]]="Upgrade",LabLevel,THLevel),FALSE))</f>
        <v>0</v>
      </c>
      <c r="F66" s="67">
        <f>IF(AND(ConstructionState[[#This Row],[Kind]]="Upgrade",LabLevel=0),0,VLOOKUP(ConstructionState[Building or Upgrade],MaxLevel[],1+IF(ConstructionState[[#This Row],[Kind]]="Upgrade",LabLevel,THLevel),FALSE))</f>
        <v>0</v>
      </c>
      <c r="G66" s="67">
        <f>ConstructionState[[#This Row],[Available]]-SUM(ConstructionState[[#This Row],[1]:[12]])</f>
        <v>0</v>
      </c>
      <c r="H66" s="5"/>
      <c r="I66" s="4"/>
      <c r="J66" s="2"/>
      <c r="K66" s="2"/>
      <c r="L66" s="2"/>
      <c r="M66" s="2"/>
      <c r="N66" s="2"/>
      <c r="O66" s="2"/>
      <c r="P66" s="4"/>
      <c r="Q66" s="2"/>
      <c r="R66" s="2"/>
      <c r="S66" s="3"/>
    </row>
    <row r="67" spans="1:19" ht="18">
      <c r="A67" s="61" t="s">
        <v>97</v>
      </c>
      <c r="B67" s="61" t="str">
        <f>VLOOKUP(ConstructionState[[#This Row],[Building or Upgrade]],Upgrades[],2,FALSE)</f>
        <v>Upgrade</v>
      </c>
      <c r="C67" s="61" t="str">
        <f>VLOOKUP(ConstructionState[Building or Upgrade],Upgrades[],3,FALSE)</f>
        <v>Elixir</v>
      </c>
      <c r="D67" s="62" t="str">
        <f>IF((IFERROR(MATCH(ConstructionState[[#This Row],[Building or Upgrade]],$P$19:$S$19,0),0)+IFERROR(MATCH(ConstructionState[[#This Row],[Building or Upgrade]],$P$20:$S$20,0),0))&gt;0,"IGNORE",ConstructionState[Kind]&amp;"-"&amp;ConstructionState[Resource])</f>
        <v>Upgrade-Elixir</v>
      </c>
      <c r="E67" s="67">
        <f>IF(AND(ConstructionState[[#This Row],[Kind]]="Upgrade",LabLevel=0),0,VLOOKUP(ConstructionState[Building or Upgrade],QuantAvail[],1+IF(ConstructionState[[#This Row],[Kind]]="Upgrade",LabLevel,THLevel),FALSE))</f>
        <v>0</v>
      </c>
      <c r="F67" s="67">
        <f>IF(AND(ConstructionState[[#This Row],[Kind]]="Upgrade",LabLevel=0),0,VLOOKUP(ConstructionState[Building or Upgrade],MaxLevel[],1+IF(ConstructionState[[#This Row],[Kind]]="Upgrade",LabLevel,THLevel),FALSE))</f>
        <v>0</v>
      </c>
      <c r="G67" s="67">
        <f>ConstructionState[[#This Row],[Available]]-SUM(ConstructionState[[#This Row],[1]:[12]])</f>
        <v>0</v>
      </c>
      <c r="H67" s="5"/>
      <c r="I67" s="4"/>
      <c r="J67" s="2"/>
      <c r="K67" s="2"/>
      <c r="L67" s="2"/>
      <c r="M67" s="2"/>
      <c r="N67" s="2"/>
      <c r="O67" s="2"/>
      <c r="P67" s="4"/>
      <c r="Q67" s="2"/>
      <c r="R67" s="2"/>
      <c r="S67" s="3"/>
    </row>
    <row r="68" spans="1:19" ht="18">
      <c r="A68" s="61" t="s">
        <v>98</v>
      </c>
      <c r="B68" s="61" t="str">
        <f>VLOOKUP(ConstructionState[[#This Row],[Building or Upgrade]],Upgrades[],2,FALSE)</f>
        <v>Upgrade</v>
      </c>
      <c r="C68" s="61" t="str">
        <f>VLOOKUP(ConstructionState[Building or Upgrade],Upgrades[],3,FALSE)</f>
        <v>Dark Elixir</v>
      </c>
      <c r="D68" s="62" t="str">
        <f>IF((IFERROR(MATCH(ConstructionState[[#This Row],[Building or Upgrade]],$P$19:$S$19,0),0)+IFERROR(MATCH(ConstructionState[[#This Row],[Building or Upgrade]],$P$20:$S$20,0),0))&gt;0,"IGNORE",ConstructionState[Kind]&amp;"-"&amp;ConstructionState[Resource])</f>
        <v>IGNORE</v>
      </c>
      <c r="E68" s="67">
        <f>IF(AND(ConstructionState[[#This Row],[Kind]]="Upgrade",LabLevel=0),0,VLOOKUP(ConstructionState[Building or Upgrade],QuantAvail[],1+IF(ConstructionState[[#This Row],[Kind]]="Upgrade",LabLevel,THLevel),FALSE))</f>
        <v>1</v>
      </c>
      <c r="F68" s="67">
        <f>IF(AND(ConstructionState[[#This Row],[Kind]]="Upgrade",LabLevel=0),0,VLOOKUP(ConstructionState[Building or Upgrade],MaxLevel[],1+IF(ConstructionState[[#This Row],[Kind]]="Upgrade",LabLevel,THLevel),FALSE))</f>
        <v>2</v>
      </c>
      <c r="G68" s="67">
        <f>ConstructionState[[#This Row],[Available]]-SUM(ConstructionState[[#This Row],[1]:[12]])</f>
        <v>1</v>
      </c>
      <c r="H68" s="5"/>
      <c r="I68" s="4"/>
      <c r="J68" s="2"/>
      <c r="K68" s="2"/>
      <c r="L68" s="2"/>
      <c r="M68" s="2"/>
      <c r="N68" s="2"/>
      <c r="O68" s="2"/>
      <c r="P68" s="4"/>
      <c r="Q68" s="2"/>
      <c r="R68" s="2"/>
      <c r="S68" s="3"/>
    </row>
    <row r="69" spans="1:19" ht="18">
      <c r="A69" s="61" t="s">
        <v>99</v>
      </c>
      <c r="B69" s="61" t="str">
        <f>VLOOKUP(ConstructionState[[#This Row],[Building or Upgrade]],Upgrades[],2,FALSE)</f>
        <v>Upgrade</v>
      </c>
      <c r="C69" s="61" t="str">
        <f>VLOOKUP(ConstructionState[Building or Upgrade],Upgrades[],3,FALSE)</f>
        <v>Dark Elixir</v>
      </c>
      <c r="D69" s="62" t="str">
        <f>IF((IFERROR(MATCH(ConstructionState[[#This Row],[Building or Upgrade]],$P$19:$S$19,0),0)+IFERROR(MATCH(ConstructionState[[#This Row],[Building or Upgrade]],$P$20:$S$20,0),0))&gt;0,"IGNORE",ConstructionState[Kind]&amp;"-"&amp;ConstructionState[Resource])</f>
        <v>Upgrade-Dark Elixir</v>
      </c>
      <c r="E69" s="67">
        <f>IF(AND(ConstructionState[[#This Row],[Kind]]="Upgrade",LabLevel=0),0,VLOOKUP(ConstructionState[Building or Upgrade],QuantAvail[],1+IF(ConstructionState[[#This Row],[Kind]]="Upgrade",LabLevel,THLevel),FALSE))</f>
        <v>1</v>
      </c>
      <c r="F69" s="67">
        <f>IF(AND(ConstructionState[[#This Row],[Kind]]="Upgrade",LabLevel=0),0,VLOOKUP(ConstructionState[Building or Upgrade],MaxLevel[],1+IF(ConstructionState[[#This Row],[Kind]]="Upgrade",LabLevel,THLevel),FALSE))</f>
        <v>2</v>
      </c>
      <c r="G69" s="67">
        <f>ConstructionState[[#This Row],[Available]]-SUM(ConstructionState[[#This Row],[1]:[12]])</f>
        <v>1</v>
      </c>
      <c r="H69" s="5"/>
      <c r="I69" s="4"/>
      <c r="J69" s="2"/>
      <c r="K69" s="2"/>
      <c r="L69" s="2"/>
      <c r="M69" s="2"/>
      <c r="N69" s="2"/>
      <c r="O69" s="2"/>
      <c r="P69" s="4"/>
      <c r="Q69" s="2"/>
      <c r="R69" s="2"/>
      <c r="S69" s="3"/>
    </row>
    <row r="70" spans="1:19" ht="18">
      <c r="A70" s="61" t="s">
        <v>100</v>
      </c>
      <c r="B70" s="61" t="str">
        <f>VLOOKUP(ConstructionState[[#This Row],[Building or Upgrade]],Upgrades[],2,FALSE)</f>
        <v>Upgrade</v>
      </c>
      <c r="C70" s="61" t="str">
        <f>VLOOKUP(ConstructionState[Building or Upgrade],Upgrades[],3,FALSE)</f>
        <v>Dark Elixir</v>
      </c>
      <c r="D70" s="62" t="str">
        <f>IF((IFERROR(MATCH(ConstructionState[[#This Row],[Building or Upgrade]],$P$19:$S$19,0),0)+IFERROR(MATCH(ConstructionState[[#This Row],[Building or Upgrade]],$P$20:$S$20,0),0))&gt;0,"IGNORE",ConstructionState[Kind]&amp;"-"&amp;ConstructionState[Resource])</f>
        <v>Upgrade-Dark Elixir</v>
      </c>
      <c r="E70" s="67">
        <f>IF(AND(ConstructionState[[#This Row],[Kind]]="Upgrade",LabLevel=0),0,VLOOKUP(ConstructionState[Building or Upgrade],QuantAvail[],1+IF(ConstructionState[[#This Row],[Kind]]="Upgrade",LabLevel,THLevel),FALSE))</f>
        <v>0</v>
      </c>
      <c r="F70" s="67">
        <f>IF(AND(ConstructionState[[#This Row],[Kind]]="Upgrade",LabLevel=0),0,VLOOKUP(ConstructionState[Building or Upgrade],MaxLevel[],1+IF(ConstructionState[[#This Row],[Kind]]="Upgrade",LabLevel,THLevel),FALSE))</f>
        <v>0</v>
      </c>
      <c r="G70" s="67">
        <f>ConstructionState[[#This Row],[Available]]-SUM(ConstructionState[[#This Row],[1]:[12]])</f>
        <v>0</v>
      </c>
      <c r="H70" s="5"/>
      <c r="I70" s="4"/>
      <c r="J70" s="2"/>
      <c r="K70" s="2"/>
      <c r="L70" s="2"/>
      <c r="M70" s="2"/>
      <c r="N70" s="2"/>
      <c r="O70" s="2"/>
      <c r="P70" s="4"/>
      <c r="Q70" s="2"/>
      <c r="R70" s="2"/>
      <c r="S70" s="3"/>
    </row>
    <row r="71" spans="1:19" ht="18">
      <c r="A71" s="61" t="s">
        <v>101</v>
      </c>
      <c r="B71" s="61" t="str">
        <f>VLOOKUP(ConstructionState[[#This Row],[Building or Upgrade]],Upgrades[],2,FALSE)</f>
        <v>Upgrade</v>
      </c>
      <c r="C71" s="61" t="str">
        <f>VLOOKUP(ConstructionState[Building or Upgrade],Upgrades[],3,FALSE)</f>
        <v>Dark Elixir</v>
      </c>
      <c r="D71" s="62" t="str">
        <f>IF((IFERROR(MATCH(ConstructionState[[#This Row],[Building or Upgrade]],$P$19:$S$19,0),0)+IFERROR(MATCH(ConstructionState[[#This Row],[Building or Upgrade]],$P$20:$S$20,0),0))&gt;0,"IGNORE",ConstructionState[Kind]&amp;"-"&amp;ConstructionState[Resource])</f>
        <v>Upgrade-Dark Elixir</v>
      </c>
      <c r="E71" s="67">
        <f>IF(AND(ConstructionState[[#This Row],[Kind]]="Upgrade",LabLevel=0),0,VLOOKUP(ConstructionState[Building or Upgrade],QuantAvail[],1+IF(ConstructionState[[#This Row],[Kind]]="Upgrade",LabLevel,THLevel),FALSE))</f>
        <v>0</v>
      </c>
      <c r="F71" s="67">
        <f>IF(AND(ConstructionState[[#This Row],[Kind]]="Upgrade",LabLevel=0),0,VLOOKUP(ConstructionState[Building or Upgrade],MaxLevel[],1+IF(ConstructionState[[#This Row],[Kind]]="Upgrade",LabLevel,THLevel),FALSE))</f>
        <v>0</v>
      </c>
      <c r="G71" s="67">
        <f>ConstructionState[[#This Row],[Available]]-SUM(ConstructionState[[#This Row],[1]:[12]])</f>
        <v>0</v>
      </c>
      <c r="H71" s="5"/>
      <c r="I71" s="4"/>
      <c r="J71" s="2"/>
      <c r="K71" s="2"/>
      <c r="L71" s="2"/>
      <c r="M71" s="2"/>
      <c r="N71" s="2"/>
      <c r="O71" s="2"/>
      <c r="P71" s="4"/>
      <c r="Q71" s="2"/>
      <c r="R71" s="2"/>
      <c r="S71" s="3"/>
    </row>
    <row r="72" spans="1:19" ht="19" thickBot="1">
      <c r="A72" s="68" t="s">
        <v>102</v>
      </c>
      <c r="B72" s="68" t="str">
        <f>VLOOKUP(ConstructionState[[#This Row],[Building or Upgrade]],Upgrades[],2,FALSE)</f>
        <v>Upgrade</v>
      </c>
      <c r="C72" s="68" t="str">
        <f>VLOOKUP(ConstructionState[Building or Upgrade],Upgrades[],3,FALSE)</f>
        <v>Dark Elixir</v>
      </c>
      <c r="D72" s="69" t="str">
        <f>IF((IFERROR(MATCH(ConstructionState[[#This Row],[Building or Upgrade]],$P$19:$S$19,0),0)+IFERROR(MATCH(ConstructionState[[#This Row],[Building or Upgrade]],$P$20:$S$20,0),0))&gt;0,"IGNORE",ConstructionState[Kind]&amp;"-"&amp;ConstructionState[Resource])</f>
        <v>Upgrade-Dark Elixir</v>
      </c>
      <c r="E72" s="64">
        <f>IF(AND(ConstructionState[[#This Row],[Kind]]="Upgrade",LabLevel=0),0,VLOOKUP(ConstructionState[Building or Upgrade],QuantAvail[],1+IF(ConstructionState[[#This Row],[Kind]]="Upgrade",LabLevel,THLevel),FALSE))</f>
        <v>0</v>
      </c>
      <c r="F72" s="64">
        <f>IF(AND(ConstructionState[[#This Row],[Kind]]="Upgrade",LabLevel=0),0,VLOOKUP(ConstructionState[Building or Upgrade],MaxLevel[],1+IF(ConstructionState[[#This Row],[Kind]]="Upgrade",LabLevel,THLevel),FALSE))</f>
        <v>0</v>
      </c>
      <c r="G72" s="64">
        <f>ConstructionState[[#This Row],[Available]]-SUM(ConstructionState[[#This Row],[1]:[12]])</f>
        <v>0</v>
      </c>
      <c r="H72" s="6"/>
      <c r="I72" s="7"/>
      <c r="J72" s="8"/>
      <c r="K72" s="8"/>
      <c r="L72" s="8"/>
      <c r="M72" s="8"/>
      <c r="N72" s="8"/>
      <c r="O72" s="8"/>
      <c r="P72" s="7"/>
      <c r="Q72" s="8"/>
      <c r="R72" s="8"/>
      <c r="S72" s="9"/>
    </row>
    <row r="73" spans="1:19" ht="16" thickTop="1">
      <c r="A73" s="167"/>
      <c r="B73" s="167"/>
      <c r="C73" s="167"/>
      <c r="D73" s="167"/>
      <c r="E73" s="167"/>
      <c r="F73" s="167"/>
      <c r="G73" s="167"/>
      <c r="H73" s="167"/>
      <c r="I73" s="167"/>
      <c r="J73" s="167"/>
      <c r="K73" s="167"/>
      <c r="L73" s="167"/>
      <c r="M73" s="167"/>
      <c r="N73" s="167"/>
      <c r="O73" s="167"/>
      <c r="P73" s="167"/>
      <c r="Q73" s="167"/>
      <c r="R73" s="167"/>
      <c r="S73" s="167"/>
    </row>
  </sheetData>
  <sheetProtection selectLockedCells="1" sort="0" autoFilter="0" pivotTables="0"/>
  <mergeCells count="20">
    <mergeCell ref="C19:F19"/>
    <mergeCell ref="J19:N19"/>
    <mergeCell ref="H18:N18"/>
    <mergeCell ref="J21:N21"/>
    <mergeCell ref="J22:N22"/>
    <mergeCell ref="J20:N20"/>
    <mergeCell ref="A1:S2"/>
    <mergeCell ref="I11:N11"/>
    <mergeCell ref="C16:F16"/>
    <mergeCell ref="C17:F17"/>
    <mergeCell ref="C18:F18"/>
    <mergeCell ref="A4:G5"/>
    <mergeCell ref="B13:F14"/>
    <mergeCell ref="P4:S4"/>
    <mergeCell ref="P10:S10"/>
    <mergeCell ref="H16:S17"/>
    <mergeCell ref="I4:N4"/>
    <mergeCell ref="P18:S18"/>
    <mergeCell ref="A6:G11"/>
    <mergeCell ref="C15:F15"/>
  </mergeCells>
  <phoneticPr fontId="8" type="noConversion"/>
  <conditionalFormatting sqref="G24:G72">
    <cfRule type="cellIs" dxfId="261" priority="45" operator="lessThan">
      <formula>0</formula>
    </cfRule>
    <cfRule type="cellIs" dxfId="260" priority="46" operator="greaterThan">
      <formula>0</formula>
    </cfRule>
  </conditionalFormatting>
  <conditionalFormatting sqref="J6:N8 Q6:S8 Q12:S13 I21:I22">
    <cfRule type="cellIs" dxfId="259" priority="25" operator="equal">
      <formula>0</formula>
    </cfRule>
  </conditionalFormatting>
  <conditionalFormatting sqref="I20:I22">
    <cfRule type="cellIs" dxfId="258" priority="7" operator="equal">
      <formula>TRUE</formula>
    </cfRule>
  </conditionalFormatting>
  <conditionalFormatting sqref="H24:S72">
    <cfRule type="expression" dxfId="257" priority="71">
      <formula>OR(VALUE(H$23)&gt;$F24,AND($B24="Upgrade",H$23="1"))</formula>
    </cfRule>
    <cfRule type="expression" dxfId="256" priority="72">
      <formula>AND(VALUE(H$23)&lt;$F24,VALUE(H24)&gt;0)</formula>
    </cfRule>
  </conditionalFormatting>
  <conditionalFormatting sqref="A1:G2 A23:S26 P19:S22 P18 G18:M19 T1:XFD2 A27:XFD73">
    <cfRule type="containsErrors" dxfId="255" priority="1">
      <formula>ISERROR(A1)</formula>
    </cfRule>
  </conditionalFormatting>
  <dataValidations count="5">
    <dataValidation type="list" allowBlank="1" showInputMessage="1" showErrorMessage="1" sqref="P19:S22">
      <formula1>Actionables</formula1>
    </dataValidation>
    <dataValidation type="whole" allowBlank="1" showInputMessage="1" showErrorMessage="1" sqref="I19">
      <formula1>1</formula1>
      <formula2>5</formula2>
    </dataValidation>
    <dataValidation type="whole" operator="greaterThanOrEqual" allowBlank="1" showInputMessage="1" showErrorMessage="1" sqref="H24:S72">
      <formula1>1</formula1>
    </dataValidation>
    <dataValidation type="list" allowBlank="1" showInputMessage="1" showErrorMessage="1" sqref="I20">
      <formula1>Booleans</formula1>
    </dataValidation>
    <dataValidation type="whole" allowBlank="1" showInputMessage="1" showErrorMessage="1" sqref="I21 I22">
      <formula1>0</formula1>
      <formula2>40</formula2>
    </dataValidation>
  </dataValidations>
  <pageMargins left="0.7" right="0.7" top="0.75" bottom="0.75" header="0.3" footer="0.3"/>
  <pageSetup scale="30" orientation="landscape" horizontalDpi="4294967292" verticalDpi="4294967292"/>
  <rowBreaks count="3" manualBreakCount="3">
    <brk id="73" max="16383" man="1"/>
    <brk id="125" max="16383" man="1"/>
    <brk id="177" max="16383" man="1"/>
  </rowBreaks>
  <tableParts count="1">
    <tablePart r:id="rId1"/>
  </tableParts>
  <extLst>
    <ext xmlns:mx="http://schemas.microsoft.com/office/mac/excel/2008/main" uri="{64002731-A6B0-56B0-2670-7721B7C09600}">
      <mx:PLV Mode="0" OnePage="0" WScale="3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Y47"/>
  <sheetViews>
    <sheetView workbookViewId="0">
      <selection activeCell="H17" sqref="H17"/>
    </sheetView>
  </sheetViews>
  <sheetFormatPr baseColWidth="10" defaultRowHeight="15" x14ac:dyDescent="0"/>
  <cols>
    <col min="1" max="1" width="1.83203125" style="83" customWidth="1"/>
    <col min="2" max="2" width="13" style="83" bestFit="1" customWidth="1"/>
    <col min="3" max="3" width="5.1640625" style="83" bestFit="1" customWidth="1"/>
    <col min="4" max="4" width="6.6640625" style="83" bestFit="1" customWidth="1"/>
    <col min="5" max="5" width="7.33203125" style="83" bestFit="1" customWidth="1"/>
    <col min="6" max="6" width="9.6640625" style="83" bestFit="1" customWidth="1"/>
    <col min="7" max="9" width="8.33203125" style="83" customWidth="1"/>
    <col min="10" max="10" width="9.5" style="83" bestFit="1" customWidth="1"/>
    <col min="11" max="11" width="11.1640625" style="83" bestFit="1" customWidth="1"/>
    <col min="12" max="12" width="10.6640625" style="83" bestFit="1" customWidth="1"/>
    <col min="13" max="13" width="1.83203125" style="83" customWidth="1"/>
    <col min="14" max="14" width="13.5" style="83" bestFit="1" customWidth="1"/>
    <col min="15" max="24" width="8.33203125" style="83" customWidth="1"/>
    <col min="25" max="25" width="1.6640625" style="83" customWidth="1"/>
    <col min="26" max="16384" width="10.83203125" style="83"/>
  </cols>
  <sheetData>
    <row r="1" spans="1:25" ht="16" thickBot="1">
      <c r="A1" s="170"/>
      <c r="B1" s="170"/>
      <c r="C1" s="170"/>
      <c r="D1" s="170"/>
      <c r="E1" s="170"/>
      <c r="F1" s="170"/>
      <c r="G1" s="170"/>
      <c r="H1" s="170"/>
      <c r="I1" s="170"/>
      <c r="J1" s="170"/>
      <c r="K1" s="170"/>
      <c r="L1" s="170"/>
      <c r="M1" s="170"/>
      <c r="N1" s="170"/>
      <c r="O1" s="170"/>
      <c r="P1" s="170"/>
      <c r="Q1" s="170"/>
      <c r="R1" s="170"/>
      <c r="S1" s="170"/>
      <c r="T1" s="170"/>
      <c r="U1" s="170"/>
      <c r="V1" s="170"/>
      <c r="W1" s="170"/>
      <c r="X1" s="170"/>
      <c r="Y1" s="170"/>
    </row>
    <row r="2" spans="1:25" ht="16" thickTop="1">
      <c r="A2" s="170"/>
      <c r="B2" s="192" t="s">
        <v>132</v>
      </c>
      <c r="C2" s="193"/>
      <c r="D2" s="193"/>
      <c r="E2" s="193"/>
      <c r="F2" s="193"/>
      <c r="G2" s="193"/>
      <c r="H2" s="209"/>
      <c r="I2" s="170"/>
      <c r="J2" s="192" t="s">
        <v>115</v>
      </c>
      <c r="K2" s="193"/>
      <c r="L2" s="193"/>
      <c r="M2" s="193"/>
      <c r="N2" s="209"/>
      <c r="O2" s="170"/>
      <c r="P2" s="170"/>
      <c r="Q2" s="170"/>
      <c r="R2" s="170"/>
      <c r="S2" s="170"/>
      <c r="T2" s="170"/>
      <c r="U2" s="170"/>
      <c r="V2" s="170"/>
      <c r="W2" s="170"/>
      <c r="X2" s="170"/>
      <c r="Y2" s="170"/>
    </row>
    <row r="3" spans="1:25" ht="16" thickBot="1">
      <c r="A3" s="170"/>
      <c r="B3" s="210"/>
      <c r="C3" s="211"/>
      <c r="D3" s="211"/>
      <c r="E3" s="211"/>
      <c r="F3" s="211"/>
      <c r="G3" s="211"/>
      <c r="H3" s="212"/>
      <c r="I3" s="170"/>
      <c r="J3" s="197"/>
      <c r="K3" s="198"/>
      <c r="L3" s="198"/>
      <c r="M3" s="198"/>
      <c r="N3" s="213"/>
      <c r="O3" s="170"/>
      <c r="P3" s="170"/>
      <c r="Q3" s="170"/>
      <c r="R3" s="170"/>
      <c r="S3" s="170"/>
      <c r="T3" s="170"/>
      <c r="U3" s="170"/>
      <c r="V3" s="170"/>
      <c r="W3" s="170"/>
      <c r="X3" s="170"/>
      <c r="Y3" s="170"/>
    </row>
    <row r="4" spans="1:25" ht="19" thickTop="1">
      <c r="A4" s="170"/>
      <c r="B4" s="250" t="s">
        <v>199</v>
      </c>
      <c r="C4" s="251"/>
      <c r="D4" s="251"/>
      <c r="E4" s="251"/>
      <c r="F4" s="251"/>
      <c r="G4" s="251"/>
      <c r="H4" s="252"/>
      <c r="I4" s="170"/>
      <c r="J4" s="115">
        <v>2</v>
      </c>
      <c r="K4" s="233" t="s">
        <v>186</v>
      </c>
      <c r="L4" s="234"/>
      <c r="M4" s="234"/>
      <c r="N4" s="235"/>
      <c r="O4" s="170"/>
      <c r="P4" s="170"/>
      <c r="Q4" s="170"/>
      <c r="R4" s="170"/>
      <c r="S4" s="170"/>
      <c r="T4" s="170"/>
      <c r="U4" s="170"/>
      <c r="V4" s="170"/>
      <c r="W4" s="170"/>
      <c r="X4" s="170"/>
      <c r="Y4" s="170"/>
    </row>
    <row r="5" spans="1:25" ht="18">
      <c r="A5" s="170"/>
      <c r="B5" s="253"/>
      <c r="C5" s="254"/>
      <c r="D5" s="254"/>
      <c r="E5" s="254"/>
      <c r="F5" s="254"/>
      <c r="G5" s="254"/>
      <c r="H5" s="255"/>
      <c r="I5" s="170"/>
      <c r="J5" s="52">
        <v>0</v>
      </c>
      <c r="K5" s="206" t="s">
        <v>187</v>
      </c>
      <c r="L5" s="207"/>
      <c r="M5" s="207"/>
      <c r="N5" s="208"/>
      <c r="O5" s="170"/>
      <c r="P5" s="170"/>
      <c r="Q5" s="170"/>
      <c r="R5" s="170"/>
      <c r="S5" s="170"/>
      <c r="T5" s="170"/>
      <c r="U5" s="170"/>
      <c r="V5" s="170"/>
      <c r="W5" s="170"/>
      <c r="X5" s="170"/>
      <c r="Y5" s="170"/>
    </row>
    <row r="6" spans="1:25" ht="18">
      <c r="A6" s="170"/>
      <c r="B6" s="253"/>
      <c r="C6" s="254"/>
      <c r="D6" s="254"/>
      <c r="E6" s="254"/>
      <c r="F6" s="254"/>
      <c r="G6" s="254"/>
      <c r="H6" s="255"/>
      <c r="I6" s="170"/>
      <c r="J6" s="54">
        <v>-1</v>
      </c>
      <c r="K6" s="206" t="s">
        <v>112</v>
      </c>
      <c r="L6" s="207"/>
      <c r="M6" s="207"/>
      <c r="N6" s="208"/>
      <c r="O6" s="170"/>
      <c r="P6" s="170"/>
      <c r="Q6" s="170"/>
      <c r="R6" s="170"/>
      <c r="S6" s="170"/>
      <c r="T6" s="170"/>
      <c r="U6" s="170"/>
      <c r="V6" s="170"/>
      <c r="W6" s="170"/>
      <c r="X6" s="170"/>
      <c r="Y6" s="170"/>
    </row>
    <row r="7" spans="1:25" ht="19" thickBot="1">
      <c r="A7" s="170"/>
      <c r="B7" s="256"/>
      <c r="C7" s="257"/>
      <c r="D7" s="257"/>
      <c r="E7" s="257"/>
      <c r="F7" s="257"/>
      <c r="G7" s="257"/>
      <c r="H7" s="258"/>
      <c r="I7" s="170"/>
      <c r="J7" s="114"/>
      <c r="K7" s="236" t="s">
        <v>164</v>
      </c>
      <c r="L7" s="237"/>
      <c r="M7" s="237"/>
      <c r="N7" s="238"/>
      <c r="O7" s="170"/>
      <c r="P7" s="170"/>
      <c r="Q7" s="170"/>
      <c r="R7" s="170"/>
      <c r="S7" s="170"/>
      <c r="T7" s="170"/>
      <c r="U7" s="170"/>
      <c r="V7" s="170"/>
      <c r="W7" s="170"/>
      <c r="X7" s="170"/>
      <c r="Y7" s="170"/>
    </row>
    <row r="8" spans="1:25" ht="17" thickTop="1" thickBot="1">
      <c r="A8" s="170"/>
      <c r="B8" s="170"/>
      <c r="C8" s="170"/>
      <c r="D8" s="170"/>
      <c r="E8" s="170"/>
      <c r="F8" s="170"/>
      <c r="G8" s="170"/>
      <c r="H8" s="170"/>
      <c r="I8" s="170"/>
      <c r="J8" s="170"/>
      <c r="K8" s="170"/>
      <c r="L8" s="170"/>
      <c r="M8" s="170"/>
      <c r="N8" s="170"/>
      <c r="O8" s="170"/>
      <c r="P8" s="170"/>
      <c r="Q8" s="170"/>
      <c r="R8" s="170"/>
      <c r="S8" s="170"/>
      <c r="T8" s="170"/>
      <c r="U8" s="170"/>
      <c r="V8" s="170"/>
      <c r="W8" s="170"/>
      <c r="X8" s="170"/>
      <c r="Y8" s="170"/>
    </row>
    <row r="9" spans="1:25" ht="17" thickTop="1" thickBot="1">
      <c r="A9" s="170"/>
      <c r="B9" s="170"/>
      <c r="C9" s="170"/>
      <c r="D9" s="170"/>
      <c r="E9" s="170"/>
      <c r="F9" s="269" t="s">
        <v>182</v>
      </c>
      <c r="G9" s="204"/>
      <c r="H9" s="204"/>
      <c r="I9" s="270"/>
      <c r="J9" s="170"/>
      <c r="K9" s="170"/>
      <c r="L9" s="170"/>
      <c r="M9" s="170"/>
      <c r="N9" s="170"/>
      <c r="O9" s="170"/>
      <c r="P9" s="170"/>
      <c r="Q9" s="170"/>
      <c r="R9" s="170"/>
      <c r="S9" s="170"/>
      <c r="T9" s="170"/>
      <c r="U9" s="170"/>
      <c r="V9" s="170"/>
      <c r="W9" s="170"/>
      <c r="X9" s="170"/>
      <c r="Y9" s="170"/>
    </row>
    <row r="10" spans="1:25" ht="16" thickTop="1">
      <c r="A10" s="170"/>
      <c r="B10" s="170"/>
      <c r="C10" s="170"/>
      <c r="D10" s="170"/>
      <c r="E10" s="170"/>
      <c r="F10" s="86" t="s">
        <v>142</v>
      </c>
      <c r="G10" s="87" t="s">
        <v>111</v>
      </c>
      <c r="H10" s="87" t="s">
        <v>177</v>
      </c>
      <c r="I10" s="101" t="s">
        <v>178</v>
      </c>
      <c r="J10" s="170"/>
      <c r="K10" s="170"/>
      <c r="L10" s="170"/>
      <c r="M10" s="170"/>
      <c r="N10" s="170"/>
      <c r="O10" s="170"/>
      <c r="P10" s="170"/>
      <c r="Q10" s="170"/>
      <c r="R10" s="170"/>
      <c r="S10" s="170"/>
      <c r="T10" s="170"/>
      <c r="U10" s="170"/>
      <c r="V10" s="170"/>
      <c r="W10" s="170"/>
      <c r="X10" s="170"/>
      <c r="Y10" s="170"/>
    </row>
    <row r="11" spans="1:25">
      <c r="A11" s="170"/>
      <c r="B11" s="170"/>
      <c r="C11" s="170"/>
      <c r="D11" s="170"/>
      <c r="E11" s="170"/>
      <c r="F11" s="89" t="s">
        <v>150</v>
      </c>
      <c r="G11" s="146">
        <f>ArmyCap</f>
        <v>200</v>
      </c>
      <c r="H11" s="147">
        <f>SUMIFS(ArmyState[Total Space],ArmyState[Type],F11)</f>
        <v>200</v>
      </c>
      <c r="I11" s="148">
        <f>G11-H11</f>
        <v>0</v>
      </c>
      <c r="J11" s="167"/>
      <c r="K11" s="170"/>
      <c r="L11" s="170"/>
      <c r="M11" s="170"/>
      <c r="N11" s="170"/>
      <c r="O11" s="170"/>
      <c r="P11" s="170"/>
      <c r="Q11" s="170"/>
      <c r="R11" s="170"/>
      <c r="S11" s="170"/>
      <c r="T11" s="170"/>
      <c r="U11" s="170"/>
      <c r="V11" s="170"/>
      <c r="W11" s="170"/>
      <c r="X11" s="170"/>
      <c r="Y11" s="170"/>
    </row>
    <row r="12" spans="1:25" ht="16" thickBot="1">
      <c r="A12" s="170"/>
      <c r="B12" s="170"/>
      <c r="C12" s="170"/>
      <c r="D12" s="170"/>
      <c r="E12" s="170"/>
      <c r="F12" s="100" t="s">
        <v>151</v>
      </c>
      <c r="G12" s="149">
        <f>SpellCap</f>
        <v>3</v>
      </c>
      <c r="H12" s="150">
        <f>SUMIFS(ArmyState[Total Space],ArmyState[Type],F12)</f>
        <v>0</v>
      </c>
      <c r="I12" s="151">
        <f>G12-H12</f>
        <v>3</v>
      </c>
      <c r="J12" s="167"/>
      <c r="K12" s="170"/>
      <c r="L12" s="170"/>
      <c r="M12" s="170"/>
      <c r="N12" s="170"/>
      <c r="O12" s="170"/>
      <c r="P12" s="170"/>
      <c r="Q12" s="170"/>
      <c r="R12" s="170"/>
      <c r="S12" s="170"/>
      <c r="T12" s="170"/>
      <c r="U12" s="170"/>
      <c r="V12" s="170"/>
      <c r="W12" s="170"/>
      <c r="X12" s="170"/>
      <c r="Y12" s="170"/>
    </row>
    <row r="13" spans="1:25" ht="17" thickTop="1" thickBot="1">
      <c r="A13" s="170"/>
      <c r="B13" s="170"/>
      <c r="C13" s="170"/>
      <c r="D13" s="170"/>
      <c r="E13" s="167"/>
      <c r="F13" s="167"/>
      <c r="G13" s="167"/>
      <c r="H13" s="167"/>
      <c r="I13" s="26"/>
      <c r="J13" s="167"/>
      <c r="K13" s="170"/>
      <c r="L13" s="170"/>
      <c r="M13" s="170"/>
      <c r="N13" s="170"/>
      <c r="O13" s="170"/>
      <c r="P13" s="170"/>
      <c r="Q13" s="170"/>
      <c r="R13" s="170"/>
      <c r="S13" s="170"/>
      <c r="T13" s="170"/>
      <c r="U13" s="170"/>
      <c r="V13" s="170"/>
      <c r="W13" s="170"/>
      <c r="X13" s="170"/>
      <c r="Y13" s="170"/>
    </row>
    <row r="14" spans="1:25" ht="17" thickTop="1" thickBot="1">
      <c r="A14" s="170"/>
      <c r="B14" s="170"/>
      <c r="C14" s="170"/>
      <c r="D14" s="269" t="s">
        <v>185</v>
      </c>
      <c r="E14" s="204"/>
      <c r="F14" s="270"/>
      <c r="G14" s="170"/>
      <c r="H14" s="170"/>
      <c r="I14" s="269" t="s">
        <v>183</v>
      </c>
      <c r="J14" s="204"/>
      <c r="K14" s="270"/>
      <c r="L14" s="170"/>
      <c r="M14" s="170"/>
      <c r="N14" s="170"/>
      <c r="O14" s="170"/>
      <c r="P14" s="170"/>
      <c r="Q14" s="170"/>
      <c r="R14" s="170"/>
      <c r="S14" s="170"/>
      <c r="T14" s="170"/>
      <c r="U14" s="170"/>
      <c r="V14" s="170"/>
      <c r="W14" s="170"/>
      <c r="X14" s="170"/>
      <c r="Y14" s="170"/>
    </row>
    <row r="15" spans="1:25" ht="16" thickTop="1">
      <c r="A15" s="170"/>
      <c r="B15" s="170"/>
      <c r="C15" s="170"/>
      <c r="D15" s="86" t="s">
        <v>142</v>
      </c>
      <c r="E15" s="87" t="s">
        <v>1</v>
      </c>
      <c r="F15" s="88" t="s">
        <v>103</v>
      </c>
      <c r="G15" s="170"/>
      <c r="H15" s="170"/>
      <c r="I15" s="105" t="s">
        <v>142</v>
      </c>
      <c r="J15" s="106" t="s">
        <v>0</v>
      </c>
      <c r="K15" s="88" t="s">
        <v>184</v>
      </c>
      <c r="L15" s="170"/>
      <c r="M15" s="170"/>
      <c r="N15" s="170"/>
      <c r="O15" s="170"/>
      <c r="P15" s="170"/>
      <c r="Q15" s="170"/>
      <c r="R15" s="170"/>
      <c r="S15" s="170"/>
      <c r="T15" s="170"/>
      <c r="U15" s="170"/>
      <c r="V15" s="170"/>
      <c r="W15" s="170"/>
      <c r="X15" s="170"/>
      <c r="Y15" s="170"/>
    </row>
    <row r="16" spans="1:25">
      <c r="A16" s="170"/>
      <c r="B16" s="170"/>
      <c r="C16" s="170"/>
      <c r="D16" s="89" t="s">
        <v>150</v>
      </c>
      <c r="E16" s="34">
        <f>SUMIFS(ArmyState[Total Cost],ArmyState[Resource],E$15,ArmyState[Type],$D16)</f>
        <v>52320</v>
      </c>
      <c r="F16" s="111">
        <f>SUMIFS(ArmyState[Total Cost],ArmyState[Resource],F$15,ArmyState[Type],$D16)</f>
        <v>0</v>
      </c>
      <c r="G16" s="170"/>
      <c r="H16" s="170"/>
      <c r="I16" s="89" t="s">
        <v>2</v>
      </c>
      <c r="J16" s="102">
        <f>SUMIFS(ArmyState[Total Time],ArmyState[Type],"Unit",ArmyState[Resource],"Elixir")</f>
        <v>92.333333333333329</v>
      </c>
      <c r="K16" s="107">
        <f>J16/NumBarracks</f>
        <v>23.083333333333332</v>
      </c>
      <c r="L16" s="170"/>
      <c r="M16" s="170"/>
      <c r="N16" s="170"/>
      <c r="O16" s="170"/>
      <c r="P16" s="170"/>
      <c r="Q16" s="170"/>
      <c r="R16" s="170"/>
      <c r="S16" s="170"/>
      <c r="T16" s="170"/>
      <c r="U16" s="170"/>
      <c r="V16" s="170"/>
      <c r="W16" s="170"/>
      <c r="X16" s="170"/>
      <c r="Y16" s="170"/>
    </row>
    <row r="17" spans="1:25">
      <c r="A17" s="170"/>
      <c r="B17" s="170"/>
      <c r="C17" s="170"/>
      <c r="D17" s="89" t="s">
        <v>151</v>
      </c>
      <c r="E17" s="110">
        <f>SUMIFS(ArmyState[Total Cost],ArmyState[Resource],E$15,ArmyState[Type],$D17)</f>
        <v>0</v>
      </c>
      <c r="F17" s="112">
        <f>SUMIFS(ArmyState[Total Cost],ArmyState[Resource],F$15,ArmyState[Type],$D17)</f>
        <v>0</v>
      </c>
      <c r="G17" s="170"/>
      <c r="H17" s="170"/>
      <c r="I17" s="89" t="s">
        <v>19</v>
      </c>
      <c r="J17" s="104">
        <f>SUMIFS(ArmyState[Total Time],ArmyState[Type],"Unit",ArmyState[Resource],"Dark Elixir")</f>
        <v>0</v>
      </c>
      <c r="K17" s="108">
        <f>J17/NumDarkBarracks</f>
        <v>0</v>
      </c>
      <c r="L17" s="170"/>
      <c r="M17" s="170"/>
      <c r="N17" s="170"/>
      <c r="O17" s="170"/>
      <c r="P17" s="170"/>
      <c r="Q17" s="170"/>
      <c r="R17" s="170"/>
      <c r="S17" s="170"/>
      <c r="T17" s="170"/>
      <c r="U17" s="170"/>
      <c r="V17" s="170"/>
      <c r="W17" s="170"/>
      <c r="X17" s="170"/>
      <c r="Y17" s="170"/>
    </row>
    <row r="18" spans="1:25" ht="16" thickBot="1">
      <c r="A18" s="170"/>
      <c r="B18" s="170"/>
      <c r="C18" s="170"/>
      <c r="D18" s="99" t="s">
        <v>109</v>
      </c>
      <c r="E18" s="47">
        <f>SUM(E16:E17)</f>
        <v>52320</v>
      </c>
      <c r="F18" s="113">
        <f>SUM(F16:F17)</f>
        <v>0</v>
      </c>
      <c r="G18" s="170"/>
      <c r="H18" s="170"/>
      <c r="I18" s="100" t="s">
        <v>22</v>
      </c>
      <c r="J18" s="103">
        <f>SUMIFS(ArmyState[Total Time],ArmyState[Type],"Spell")</f>
        <v>0</v>
      </c>
      <c r="K18" s="109">
        <f>J18/1</f>
        <v>0</v>
      </c>
      <c r="L18" s="170"/>
      <c r="M18" s="170"/>
      <c r="N18" s="170"/>
      <c r="O18" s="170"/>
      <c r="P18" s="170"/>
      <c r="Q18" s="170"/>
      <c r="R18" s="170"/>
      <c r="S18" s="170"/>
      <c r="T18" s="170"/>
      <c r="U18" s="170"/>
      <c r="V18" s="170"/>
      <c r="W18" s="170"/>
      <c r="X18" s="170"/>
      <c r="Y18" s="170"/>
    </row>
    <row r="19" spans="1:25" ht="17" thickTop="1" thickBot="1">
      <c r="A19" s="170"/>
      <c r="B19" s="170"/>
      <c r="C19" s="170"/>
      <c r="D19" s="170"/>
      <c r="E19" s="170"/>
      <c r="F19" s="170"/>
      <c r="G19" s="170"/>
      <c r="H19" s="170"/>
      <c r="I19" s="170"/>
      <c r="J19" s="170"/>
      <c r="K19" s="170"/>
      <c r="L19" s="170"/>
      <c r="M19" s="170"/>
      <c r="N19" s="170"/>
      <c r="O19" s="170"/>
      <c r="P19" s="170"/>
      <c r="Q19" s="170"/>
      <c r="R19" s="170"/>
      <c r="S19" s="170"/>
      <c r="T19" s="170"/>
      <c r="U19" s="170"/>
      <c r="V19" s="170"/>
      <c r="W19" s="170"/>
      <c r="X19" s="170"/>
      <c r="Y19" s="170"/>
    </row>
    <row r="20" spans="1:25" ht="25" thickTop="1" thickBot="1">
      <c r="A20" s="170"/>
      <c r="B20" s="262" t="s">
        <v>197</v>
      </c>
      <c r="C20" s="263"/>
      <c r="D20" s="259" t="s">
        <v>223</v>
      </c>
      <c r="E20" s="260"/>
      <c r="F20" s="260"/>
      <c r="G20" s="261"/>
      <c r="H20" s="170"/>
      <c r="I20" s="170"/>
      <c r="J20" s="170"/>
      <c r="K20" s="170"/>
      <c r="L20" s="170"/>
      <c r="M20" s="170"/>
      <c r="N20" s="264" t="s">
        <v>198</v>
      </c>
      <c r="O20" s="265"/>
      <c r="P20" s="266"/>
      <c r="Q20" s="266"/>
      <c r="R20" s="267"/>
      <c r="S20" s="267"/>
      <c r="T20" s="267"/>
      <c r="U20" s="267"/>
      <c r="V20" s="267"/>
      <c r="W20" s="267"/>
      <c r="X20" s="268"/>
      <c r="Y20" s="170"/>
    </row>
    <row r="21" spans="1:25" ht="16" thickTop="1">
      <c r="A21" s="170"/>
      <c r="B21" s="170"/>
      <c r="C21" s="170"/>
      <c r="D21" s="170"/>
      <c r="E21" s="170"/>
      <c r="F21" s="170"/>
      <c r="G21" s="170"/>
      <c r="H21" s="170"/>
      <c r="I21" s="170"/>
      <c r="J21" s="170"/>
      <c r="K21" s="170"/>
      <c r="L21" s="170"/>
      <c r="M21" s="170"/>
      <c r="N21" s="170"/>
      <c r="O21" s="170"/>
      <c r="P21" s="170"/>
      <c r="Q21" s="170"/>
      <c r="R21" s="170"/>
      <c r="S21" s="170"/>
      <c r="T21" s="170"/>
      <c r="U21" s="170"/>
      <c r="V21" s="170"/>
      <c r="W21" s="170"/>
      <c r="X21" s="170"/>
      <c r="Y21" s="170"/>
    </row>
    <row r="22" spans="1:25">
      <c r="A22" s="170"/>
      <c r="B22" s="83" t="s">
        <v>153</v>
      </c>
      <c r="C22" s="83" t="s">
        <v>196</v>
      </c>
      <c r="D22" s="83" t="s">
        <v>142</v>
      </c>
      <c r="E22" s="83" t="s">
        <v>152</v>
      </c>
      <c r="F22" s="83" t="s">
        <v>31</v>
      </c>
      <c r="G22" s="83" t="s">
        <v>105</v>
      </c>
      <c r="H22" s="83" t="s">
        <v>0</v>
      </c>
      <c r="I22" s="83" t="s">
        <v>156</v>
      </c>
      <c r="J22" s="83" t="s">
        <v>148</v>
      </c>
      <c r="K22" s="83" t="s">
        <v>157</v>
      </c>
      <c r="L22" s="83" t="s">
        <v>158</v>
      </c>
      <c r="M22" s="170"/>
      <c r="N22" s="83" t="s">
        <v>195</v>
      </c>
      <c r="O22" s="158" t="s">
        <v>203</v>
      </c>
      <c r="P22" s="158" t="s">
        <v>223</v>
      </c>
      <c r="Q22" s="158" t="s">
        <v>216</v>
      </c>
      <c r="R22" s="158" t="s">
        <v>215</v>
      </c>
      <c r="S22" s="158" t="s">
        <v>217</v>
      </c>
      <c r="T22" s="158" t="s">
        <v>221</v>
      </c>
      <c r="U22" s="158" t="s">
        <v>222</v>
      </c>
      <c r="V22" s="158" t="s">
        <v>200</v>
      </c>
      <c r="W22" s="158" t="s">
        <v>201</v>
      </c>
      <c r="X22" s="158" t="s">
        <v>202</v>
      </c>
      <c r="Y22" s="170"/>
    </row>
    <row r="23" spans="1:25">
      <c r="A23" s="170"/>
      <c r="B23" s="83" t="s">
        <v>83</v>
      </c>
      <c r="C23" s="159">
        <f>INDEX(AttackSets[],MATCH(ArmyState[[#This Row],[Name]],AttackSets[Unit Set],0),MATCH($D$20,AttackSets[#Headers],0))</f>
        <v>40</v>
      </c>
      <c r="D23" s="84" t="str">
        <f>INDEX(UnitCosts[Type],MATCH(ArmyState[[#This Row],[Name]],UnitCosts[Name],0))</f>
        <v>Unit</v>
      </c>
      <c r="E23" s="83">
        <f>IFERROR(MATCH(1,'Construction Dashboard'!H53:S53,0),1)</f>
        <v>4</v>
      </c>
      <c r="F23" s="84" t="str">
        <f>INDEX(UnitCosts[Resource],MATCH(ArmyState[[#This Row],[Name]],UnitCosts[Name],0))</f>
        <v>Elixir</v>
      </c>
      <c r="G23" s="85">
        <f>VLOOKUP(ArmyState[[#This Row],[Name]],UnitCosts[],MATCH(TEXT(ArmyState[[#This Row],[Level]],"#"),UnitCosts[#Headers],0),FALSE)</f>
        <v>80</v>
      </c>
      <c r="H23" s="84">
        <f>INDEX(UnitCosts[Train Time],MATCH(ArmyState[[#This Row],[Name]],UnitCosts[Name],0))</f>
        <v>0.33333333333333331</v>
      </c>
      <c r="I23" s="85">
        <f>INDEX(UnitCosts[Space],MATCH(ArmyState[[#This Row],[Name]],UnitCosts[Name],0))</f>
        <v>1</v>
      </c>
      <c r="J23" s="85">
        <f>ArmyState[[#This Row],[Num]]*ArmyState[[#This Row],[Cost]]</f>
        <v>3200</v>
      </c>
      <c r="K23" s="84">
        <f>ArmyState[[#This Row],[Num]]*ArmyState[[#This Row],[Time]]</f>
        <v>13.333333333333332</v>
      </c>
      <c r="L23" s="85">
        <f>ArmyState[[#This Row],[Num]]*ArmyState[[#This Row],[Space]]</f>
        <v>40</v>
      </c>
      <c r="M23" s="170"/>
      <c r="N23" s="83" t="s">
        <v>83</v>
      </c>
      <c r="O23" s="158"/>
      <c r="P23" s="158">
        <v>40</v>
      </c>
      <c r="Q23" s="158">
        <v>41</v>
      </c>
      <c r="R23" s="158">
        <v>32</v>
      </c>
      <c r="S23" s="158">
        <v>48</v>
      </c>
      <c r="T23" s="158">
        <v>60</v>
      </c>
      <c r="U23" s="158">
        <v>56</v>
      </c>
      <c r="V23" s="158"/>
      <c r="W23" s="158"/>
      <c r="X23" s="158"/>
      <c r="Y23" s="170"/>
    </row>
    <row r="24" spans="1:25">
      <c r="A24" s="170"/>
      <c r="B24" s="83" t="s">
        <v>84</v>
      </c>
      <c r="C24" s="83">
        <f>INDEX(AttackSets[],MATCH(ArmyState[[#This Row],[Name]],AttackSets[Unit Set],0),MATCH($D$20,AttackSets[#Headers],0))</f>
        <v>60</v>
      </c>
      <c r="D24" s="84" t="str">
        <f>INDEX(UnitCosts[Type],MATCH(ArmyState[[#This Row],[Name]],UnitCosts[Name],0))</f>
        <v>Unit</v>
      </c>
      <c r="E24" s="83">
        <f>IFERROR(MATCH(1,'Construction Dashboard'!H54:S54,0),1)</f>
        <v>4</v>
      </c>
      <c r="F24" s="84" t="str">
        <f>INDEX(UnitCosts[Resource],MATCH(ArmyState[[#This Row],[Name]],UnitCosts[Name],0))</f>
        <v>Elixir</v>
      </c>
      <c r="G24" s="85">
        <f>VLOOKUP(ArmyState[[#This Row],[Name]],UnitCosts[],MATCH(TEXT(ArmyState[[#This Row],[Level]],"#"),UnitCosts[#Headers],0),FALSE)</f>
        <v>160</v>
      </c>
      <c r="H24" s="84">
        <f>INDEX(UnitCosts[Train Time],MATCH(ArmyState[[#This Row],[Name]],UnitCosts[Name],0))</f>
        <v>0.41666666666666669</v>
      </c>
      <c r="I24" s="85">
        <f>INDEX(UnitCosts[Space],MATCH(ArmyState[[#This Row],[Name]],UnitCosts[Name],0))</f>
        <v>1</v>
      </c>
      <c r="J24" s="85">
        <f>ArmyState[[#This Row],[Num]]*ArmyState[[#This Row],[Cost]]</f>
        <v>9600</v>
      </c>
      <c r="K24" s="84">
        <f>ArmyState[[#This Row],[Num]]*ArmyState[[#This Row],[Time]]</f>
        <v>25</v>
      </c>
      <c r="L24" s="85">
        <f>ArmyState[[#This Row],[Num]]*ArmyState[[#This Row],[Space]]</f>
        <v>60</v>
      </c>
      <c r="M24" s="170"/>
      <c r="N24" s="83" t="s">
        <v>84</v>
      </c>
      <c r="O24" s="158"/>
      <c r="P24" s="158">
        <v>60</v>
      </c>
      <c r="Q24" s="158">
        <v>55</v>
      </c>
      <c r="R24" s="158">
        <v>46</v>
      </c>
      <c r="S24" s="158">
        <v>66</v>
      </c>
      <c r="T24" s="158">
        <v>80</v>
      </c>
      <c r="U24" s="158">
        <v>76</v>
      </c>
      <c r="V24" s="158"/>
      <c r="W24" s="158"/>
      <c r="X24" s="158"/>
      <c r="Y24" s="170"/>
    </row>
    <row r="25" spans="1:25">
      <c r="A25" s="170"/>
      <c r="B25" s="83" t="s">
        <v>85</v>
      </c>
      <c r="C25" s="83">
        <f>INDEX(AttackSets[],MATCH(ArmyState[[#This Row],[Name]],AttackSets[Unit Set],0),MATCH($D$20,AttackSets[#Headers],0))</f>
        <v>44</v>
      </c>
      <c r="D25" s="84" t="str">
        <f>INDEX(UnitCosts[Type],MATCH(ArmyState[[#This Row],[Name]],UnitCosts[Name],0))</f>
        <v>Unit</v>
      </c>
      <c r="E25" s="83">
        <f>IFERROR(MATCH(1,'Construction Dashboard'!H55:S55,0),1)</f>
        <v>4</v>
      </c>
      <c r="F25" s="84" t="str">
        <f>INDEX(UnitCosts[Resource],MATCH(ArmyState[[#This Row],[Name]],UnitCosts[Name],0))</f>
        <v>Elixir</v>
      </c>
      <c r="G25" s="85">
        <f>VLOOKUP(ArmyState[[#This Row],[Name]],UnitCosts[],MATCH(TEXT(ArmyState[[#This Row],[Level]],"#"),UnitCosts[#Headers],0),FALSE)</f>
        <v>80</v>
      </c>
      <c r="H25" s="84">
        <f>INDEX(UnitCosts[Train Time],MATCH(ArmyState[[#This Row],[Name]],UnitCosts[Name],0))</f>
        <v>0.5</v>
      </c>
      <c r="I25" s="85">
        <f>INDEX(UnitCosts[Space],MATCH(ArmyState[[#This Row],[Name]],UnitCosts[Name],0))</f>
        <v>1</v>
      </c>
      <c r="J25" s="85">
        <f>ArmyState[[#This Row],[Num]]*ArmyState[[#This Row],[Cost]]</f>
        <v>3520</v>
      </c>
      <c r="K25" s="84">
        <f>ArmyState[[#This Row],[Num]]*ArmyState[[#This Row],[Time]]</f>
        <v>22</v>
      </c>
      <c r="L25" s="85">
        <f>ArmyState[[#This Row],[Num]]*ArmyState[[#This Row],[Space]]</f>
        <v>44</v>
      </c>
      <c r="M25" s="170"/>
      <c r="N25" s="83" t="s">
        <v>85</v>
      </c>
      <c r="O25" s="158"/>
      <c r="P25" s="158">
        <v>44</v>
      </c>
      <c r="Q25" s="158"/>
      <c r="R25" s="158"/>
      <c r="S25" s="158"/>
      <c r="T25" s="158">
        <v>60</v>
      </c>
      <c r="U25" s="158">
        <v>40</v>
      </c>
      <c r="V25" s="158"/>
      <c r="W25" s="158"/>
      <c r="X25" s="158"/>
      <c r="Y25" s="170"/>
    </row>
    <row r="26" spans="1:25">
      <c r="A26" s="170"/>
      <c r="B26" s="83" t="s">
        <v>86</v>
      </c>
      <c r="C26" s="83">
        <f>INDEX(AttackSets[],MATCH(ArmyState[[#This Row],[Name]],AttackSets[Unit Set],0),MATCH($D$20,AttackSets[#Headers],0))</f>
        <v>8</v>
      </c>
      <c r="D26" s="84" t="str">
        <f>INDEX(UnitCosts[Type],MATCH(ArmyState[[#This Row],[Name]],UnitCosts[Name],0))</f>
        <v>Unit</v>
      </c>
      <c r="E26" s="83">
        <f>IFERROR(MATCH(1,'Construction Dashboard'!H56:S56,0),1)</f>
        <v>4</v>
      </c>
      <c r="F26" s="84" t="str">
        <f>INDEX(UnitCosts[Resource],MATCH(ArmyState[[#This Row],[Name]],UnitCosts[Name],0))</f>
        <v>Elixir</v>
      </c>
      <c r="G26" s="85">
        <f>VLOOKUP(ArmyState[[#This Row],[Name]],UnitCosts[],MATCH(TEXT(ArmyState[[#This Row],[Level]],"#"),UnitCosts[#Headers],0),FALSE)</f>
        <v>2000</v>
      </c>
      <c r="H26" s="84">
        <f>INDEX(UnitCosts[Train Time],MATCH(ArmyState[[#This Row],[Name]],UnitCosts[Name],0))</f>
        <v>2</v>
      </c>
      <c r="I26" s="85">
        <f>INDEX(UnitCosts[Space],MATCH(ArmyState[[#This Row],[Name]],UnitCosts[Name],0))</f>
        <v>5</v>
      </c>
      <c r="J26" s="85">
        <f>ArmyState[[#This Row],[Num]]*ArmyState[[#This Row],[Cost]]</f>
        <v>16000</v>
      </c>
      <c r="K26" s="84">
        <f>ArmyState[[#This Row],[Num]]*ArmyState[[#This Row],[Time]]</f>
        <v>16</v>
      </c>
      <c r="L26" s="85">
        <f>ArmyState[[#This Row],[Num]]*ArmyState[[#This Row],[Space]]</f>
        <v>40</v>
      </c>
      <c r="M26" s="170"/>
      <c r="N26" s="83" t="s">
        <v>86</v>
      </c>
      <c r="O26" s="158"/>
      <c r="P26" s="158">
        <v>8</v>
      </c>
      <c r="Q26" s="158">
        <v>16</v>
      </c>
      <c r="R26" s="158">
        <v>14</v>
      </c>
      <c r="S26" s="158">
        <v>14</v>
      </c>
      <c r="T26" s="158"/>
      <c r="U26" s="158">
        <v>2</v>
      </c>
      <c r="V26" s="158"/>
      <c r="W26" s="158"/>
      <c r="X26" s="158"/>
      <c r="Y26" s="170"/>
    </row>
    <row r="27" spans="1:25">
      <c r="A27" s="170"/>
      <c r="B27" s="83" t="s">
        <v>87</v>
      </c>
      <c r="C27" s="83">
        <f>INDEX(AttackSets[],MATCH(ArmyState[[#This Row],[Name]],AttackSets[Unit Set],0),MATCH($D$20,AttackSets[#Headers],0))</f>
        <v>8</v>
      </c>
      <c r="D27" s="84" t="str">
        <f>INDEX(UnitCosts[Type],MATCH(ArmyState[[#This Row],[Name]],UnitCosts[Name],0))</f>
        <v>Unit</v>
      </c>
      <c r="E27" s="83">
        <f>IFERROR(MATCH(1,'Construction Dashboard'!H57:S57,0),1)</f>
        <v>4</v>
      </c>
      <c r="F27" s="84" t="str">
        <f>INDEX(UnitCosts[Resource],MATCH(ArmyState[[#This Row],[Name]],UnitCosts[Name],0))</f>
        <v>Elixir</v>
      </c>
      <c r="G27" s="85">
        <f>VLOOKUP(ArmyState[[#This Row],[Name]],UnitCosts[],MATCH(TEXT(ArmyState[[#This Row],[Level]],"#"),UnitCosts[#Headers],0),FALSE)</f>
        <v>2500</v>
      </c>
      <c r="H27" s="84">
        <f>INDEX(UnitCosts[Train Time],MATCH(ArmyState[[#This Row],[Name]],UnitCosts[Name],0))</f>
        <v>2</v>
      </c>
      <c r="I27" s="85">
        <f>INDEX(UnitCosts[Space],MATCH(ArmyState[[#This Row],[Name]],UnitCosts[Name],0))</f>
        <v>2</v>
      </c>
      <c r="J27" s="85">
        <f>ArmyState[[#This Row],[Num]]*ArmyState[[#This Row],[Cost]]</f>
        <v>20000</v>
      </c>
      <c r="K27" s="84">
        <f>ArmyState[[#This Row],[Num]]*ArmyState[[#This Row],[Time]]</f>
        <v>16</v>
      </c>
      <c r="L27" s="85">
        <f>ArmyState[[#This Row],[Num]]*ArmyState[[#This Row],[Space]]</f>
        <v>16</v>
      </c>
      <c r="M27" s="170"/>
      <c r="N27" s="83" t="s">
        <v>87</v>
      </c>
      <c r="O27" s="158"/>
      <c r="P27" s="158">
        <v>8</v>
      </c>
      <c r="Q27" s="158">
        <v>12</v>
      </c>
      <c r="R27" s="158">
        <v>12</v>
      </c>
      <c r="S27" s="158">
        <v>8</v>
      </c>
      <c r="T27" s="158"/>
      <c r="U27" s="158">
        <v>9</v>
      </c>
      <c r="V27" s="158"/>
      <c r="W27" s="158"/>
      <c r="X27" s="158"/>
      <c r="Y27" s="170"/>
    </row>
    <row r="28" spans="1:25">
      <c r="A28" s="170"/>
      <c r="B28" s="83" t="s">
        <v>88</v>
      </c>
      <c r="C28" s="83">
        <f>INDEX(AttackSets[],MATCH(ArmyState[[#This Row],[Name]],AttackSets[Unit Set],0),MATCH($D$20,AttackSets[#Headers],0))</f>
        <v>0</v>
      </c>
      <c r="D28" s="84" t="str">
        <f>INDEX(UnitCosts[Type],MATCH(ArmyState[[#This Row],[Name]],UnitCosts[Name],0))</f>
        <v>Unit</v>
      </c>
      <c r="E28" s="83">
        <f>IFERROR(MATCH(1,'Construction Dashboard'!H58:S58,0),1)</f>
        <v>2</v>
      </c>
      <c r="F28" s="84" t="str">
        <f>INDEX(UnitCosts[Resource],MATCH(ArmyState[[#This Row],[Name]],UnitCosts[Name],0))</f>
        <v>Elixir</v>
      </c>
      <c r="G28" s="85">
        <f>VLOOKUP(ArmyState[[#This Row],[Name]],UnitCosts[],MATCH(TEXT(ArmyState[[#This Row],[Level]],"#"),UnitCosts[#Headers],0),FALSE)</f>
        <v>2500</v>
      </c>
      <c r="H28" s="84">
        <f>INDEX(UnitCosts[Train Time],MATCH(ArmyState[[#This Row],[Name]],UnitCosts[Name],0))</f>
        <v>8</v>
      </c>
      <c r="I28" s="85">
        <f>INDEX(UnitCosts[Space],MATCH(ArmyState[[#This Row],[Name]],UnitCosts[Name],0))</f>
        <v>5</v>
      </c>
      <c r="J28" s="85">
        <f>ArmyState[[#This Row],[Num]]*ArmyState[[#This Row],[Cost]]</f>
        <v>0</v>
      </c>
      <c r="K28" s="84">
        <f>ArmyState[[#This Row],[Num]]*ArmyState[[#This Row],[Time]]</f>
        <v>0</v>
      </c>
      <c r="L28" s="85">
        <f>ArmyState[[#This Row],[Num]]*ArmyState[[#This Row],[Space]]</f>
        <v>0</v>
      </c>
      <c r="M28" s="170"/>
      <c r="N28" s="83" t="s">
        <v>88</v>
      </c>
      <c r="O28" s="158"/>
      <c r="P28" s="158"/>
      <c r="Q28" s="158"/>
      <c r="R28" s="158"/>
      <c r="S28" s="158"/>
      <c r="T28" s="158"/>
      <c r="U28" s="158"/>
      <c r="V28" s="158"/>
      <c r="W28" s="158"/>
      <c r="X28" s="158"/>
      <c r="Y28" s="170"/>
    </row>
    <row r="29" spans="1:25">
      <c r="A29" s="170"/>
      <c r="B29" s="83" t="s">
        <v>89</v>
      </c>
      <c r="C29" s="83">
        <f>INDEX(AttackSets[],MATCH(ArmyState[[#This Row],[Name]],AttackSets[Unit Set],0),MATCH($D$20,AttackSets[#Headers],0))</f>
        <v>0</v>
      </c>
      <c r="D29" s="84" t="str">
        <f>INDEX(UnitCosts[Type],MATCH(ArmyState[[#This Row],[Name]],UnitCosts[Name],0))</f>
        <v>Unit</v>
      </c>
      <c r="E29" s="83">
        <f>IFERROR(MATCH(1,'Construction Dashboard'!H59:S59,0),1)</f>
        <v>3</v>
      </c>
      <c r="F29" s="84" t="str">
        <f>INDEX(UnitCosts[Resource],MATCH(ArmyState[[#This Row],[Name]],UnitCosts[Name],0))</f>
        <v>Elixir</v>
      </c>
      <c r="G29" s="85">
        <f>VLOOKUP(ArmyState[[#This Row],[Name]],UnitCosts[],MATCH(TEXT(ArmyState[[#This Row],[Level]],"#"),UnitCosts[#Headers],0),FALSE)</f>
        <v>2500</v>
      </c>
      <c r="H29" s="84">
        <f>INDEX(UnitCosts[Train Time],MATCH(ArmyState[[#This Row],[Name]],UnitCosts[Name],0))</f>
        <v>8</v>
      </c>
      <c r="I29" s="85">
        <f>INDEX(UnitCosts[Space],MATCH(ArmyState[[#This Row],[Name]],UnitCosts[Name],0))</f>
        <v>4</v>
      </c>
      <c r="J29" s="85">
        <f>ArmyState[[#This Row],[Num]]*ArmyState[[#This Row],[Cost]]</f>
        <v>0</v>
      </c>
      <c r="K29" s="84">
        <f>ArmyState[[#This Row],[Num]]*ArmyState[[#This Row],[Time]]</f>
        <v>0</v>
      </c>
      <c r="L29" s="85">
        <f>ArmyState[[#This Row],[Num]]*ArmyState[[#This Row],[Space]]</f>
        <v>0</v>
      </c>
      <c r="M29" s="170"/>
      <c r="N29" s="83" t="s">
        <v>89</v>
      </c>
      <c r="O29" s="158"/>
      <c r="P29" s="158"/>
      <c r="Q29" s="158"/>
      <c r="R29" s="158"/>
      <c r="S29" s="158"/>
      <c r="T29" s="158"/>
      <c r="U29" s="158"/>
      <c r="V29" s="158"/>
      <c r="W29" s="158"/>
      <c r="X29" s="158"/>
      <c r="Y29" s="170"/>
    </row>
    <row r="30" spans="1:25">
      <c r="A30" s="170"/>
      <c r="B30" s="83" t="s">
        <v>90</v>
      </c>
      <c r="C30" s="83">
        <f>INDEX(AttackSets[],MATCH(ArmyState[[#This Row],[Name]],AttackSets[Unit Set],0),MATCH($D$20,AttackSets[#Headers],0))</f>
        <v>0</v>
      </c>
      <c r="D30" s="84" t="str">
        <f>INDEX(UnitCosts[Type],MATCH(ArmyState[[#This Row],[Name]],UnitCosts[Name],0))</f>
        <v>Unit</v>
      </c>
      <c r="E30" s="83">
        <f>IFERROR(MATCH(1,'Construction Dashboard'!H60:S60,0),1)</f>
        <v>2</v>
      </c>
      <c r="F30" s="84" t="str">
        <f>INDEX(UnitCosts[Resource],MATCH(ArmyState[[#This Row],[Name]],UnitCosts[Name],0))</f>
        <v>Elixir</v>
      </c>
      <c r="G30" s="85">
        <f>VLOOKUP(ArmyState[[#This Row],[Name]],UnitCosts[],MATCH(TEXT(ArmyState[[#This Row],[Level]],"#"),UnitCosts[#Headers],0),FALSE)</f>
        <v>6000</v>
      </c>
      <c r="H30" s="84">
        <f>INDEX(UnitCosts[Train Time],MATCH(ArmyState[[#This Row],[Name]],UnitCosts[Name],0))</f>
        <v>15</v>
      </c>
      <c r="I30" s="85">
        <f>INDEX(UnitCosts[Space],MATCH(ArmyState[[#This Row],[Name]],UnitCosts[Name],0))</f>
        <v>14</v>
      </c>
      <c r="J30" s="85">
        <f>ArmyState[[#This Row],[Num]]*ArmyState[[#This Row],[Cost]]</f>
        <v>0</v>
      </c>
      <c r="K30" s="84">
        <f>ArmyState[[#This Row],[Num]]*ArmyState[[#This Row],[Time]]</f>
        <v>0</v>
      </c>
      <c r="L30" s="85">
        <f>ArmyState[[#This Row],[Num]]*ArmyState[[#This Row],[Space]]</f>
        <v>0</v>
      </c>
      <c r="M30" s="170"/>
      <c r="N30" s="83" t="s">
        <v>90</v>
      </c>
      <c r="O30" s="158"/>
      <c r="P30" s="158"/>
      <c r="Q30" s="158"/>
      <c r="R30" s="158">
        <v>2</v>
      </c>
      <c r="S30" s="158"/>
      <c r="T30" s="158"/>
      <c r="U30" s="158"/>
      <c r="V30" s="158"/>
      <c r="W30" s="158"/>
      <c r="X30" s="158"/>
      <c r="Y30" s="170"/>
    </row>
    <row r="31" spans="1:25">
      <c r="A31" s="170"/>
      <c r="B31" s="83" t="s">
        <v>91</v>
      </c>
      <c r="C31" s="83">
        <f>INDEX(AttackSets[],MATCH(ArmyState[[#This Row],[Name]],AttackSets[Unit Set],0),MATCH($D$20,AttackSets[#Headers],0))</f>
        <v>0</v>
      </c>
      <c r="D31" s="84" t="str">
        <f>INDEX(UnitCosts[Type],MATCH(ArmyState[[#This Row],[Name]],UnitCosts[Name],0))</f>
        <v>Unit</v>
      </c>
      <c r="E31" s="83">
        <f>IFERROR(MATCH(1,'Construction Dashboard'!H61:S61,0),1)</f>
        <v>1</v>
      </c>
      <c r="F31" s="84" t="str">
        <f>INDEX(UnitCosts[Resource],MATCH(ArmyState[[#This Row],[Name]],UnitCosts[Name],0))</f>
        <v>Elixir</v>
      </c>
      <c r="G31" s="85">
        <f>VLOOKUP(ArmyState[[#This Row],[Name]],UnitCosts[],MATCH(TEXT(ArmyState[[#This Row],[Level]],"#"),UnitCosts[#Headers],0),FALSE)</f>
        <v>25000</v>
      </c>
      <c r="H31" s="84">
        <f>INDEX(UnitCosts[Train Time],MATCH(ArmyState[[#This Row],[Name]],UnitCosts[Name],0))</f>
        <v>30</v>
      </c>
      <c r="I31" s="85">
        <f>INDEX(UnitCosts[Space],MATCH(ArmyState[[#This Row],[Name]],UnitCosts[Name],0))</f>
        <v>20</v>
      </c>
      <c r="J31" s="85">
        <f>ArmyState[[#This Row],[Num]]*ArmyState[[#This Row],[Cost]]</f>
        <v>0</v>
      </c>
      <c r="K31" s="84">
        <f>ArmyState[[#This Row],[Num]]*ArmyState[[#This Row],[Time]]</f>
        <v>0</v>
      </c>
      <c r="L31" s="85">
        <f>ArmyState[[#This Row],[Num]]*ArmyState[[#This Row],[Space]]</f>
        <v>0</v>
      </c>
      <c r="M31" s="170"/>
      <c r="N31" s="83" t="s">
        <v>91</v>
      </c>
      <c r="O31" s="158"/>
      <c r="P31" s="158"/>
      <c r="Q31" s="158"/>
      <c r="R31" s="158"/>
      <c r="S31" s="158"/>
      <c r="T31" s="158"/>
      <c r="U31" s="158"/>
      <c r="V31" s="158"/>
      <c r="W31" s="158"/>
      <c r="X31" s="158"/>
      <c r="Y31" s="170"/>
    </row>
    <row r="32" spans="1:25">
      <c r="A32" s="170"/>
      <c r="B32" s="83" t="s">
        <v>92</v>
      </c>
      <c r="C32" s="83">
        <f>INDEX(AttackSets[],MATCH(ArmyState[[#This Row],[Name]],AttackSets[Unit Set],0),MATCH($D$20,AttackSets[#Headers],0))</f>
        <v>0</v>
      </c>
      <c r="D32" s="84" t="str">
        <f>INDEX(UnitCosts[Type],MATCH(ArmyState[[#This Row],[Name]],UnitCosts[Name],0))</f>
        <v>Unit</v>
      </c>
      <c r="E32" s="83">
        <f>IFERROR(MATCH(1,'Construction Dashboard'!H62:S62,0),1)</f>
        <v>1</v>
      </c>
      <c r="F32" s="84" t="str">
        <f>INDEX(UnitCosts[Resource],MATCH(ArmyState[[#This Row],[Name]],UnitCosts[Name],0))</f>
        <v>Elixir</v>
      </c>
      <c r="G32" s="85">
        <f>VLOOKUP(ArmyState[[#This Row],[Name]],UnitCosts[],MATCH(TEXT(ArmyState[[#This Row],[Level]],"#"),UnitCosts[#Headers],0),FALSE)</f>
        <v>30000</v>
      </c>
      <c r="H32" s="84">
        <f>INDEX(UnitCosts[Train Time],MATCH(ArmyState[[#This Row],[Name]],UnitCosts[Name],0))</f>
        <v>45</v>
      </c>
      <c r="I32" s="85">
        <f>INDEX(UnitCosts[Space],MATCH(ArmyState[[#This Row],[Name]],UnitCosts[Name],0))</f>
        <v>25</v>
      </c>
      <c r="J32" s="85">
        <f>ArmyState[[#This Row],[Num]]*ArmyState[[#This Row],[Cost]]</f>
        <v>0</v>
      </c>
      <c r="K32" s="84">
        <f>ArmyState[[#This Row],[Num]]*ArmyState[[#This Row],[Time]]</f>
        <v>0</v>
      </c>
      <c r="L32" s="85">
        <f>ArmyState[[#This Row],[Num]]*ArmyState[[#This Row],[Space]]</f>
        <v>0</v>
      </c>
      <c r="M32" s="170"/>
      <c r="N32" s="83" t="s">
        <v>92</v>
      </c>
      <c r="O32" s="158"/>
      <c r="P32" s="158"/>
      <c r="Q32" s="158"/>
      <c r="R32" s="158"/>
      <c r="S32" s="158"/>
      <c r="T32" s="158"/>
      <c r="U32" s="158"/>
      <c r="V32" s="158"/>
      <c r="W32" s="158"/>
      <c r="X32" s="158"/>
      <c r="Y32" s="170"/>
    </row>
    <row r="33" spans="1:25">
      <c r="A33" s="170"/>
      <c r="B33" s="83" t="s">
        <v>93</v>
      </c>
      <c r="C33" s="83">
        <f>INDEX(AttackSets[],MATCH(ArmyState[[#This Row],[Name]],AttackSets[Unit Set],0),MATCH($D$20,AttackSets[#Headers],0))</f>
        <v>0</v>
      </c>
      <c r="D33" s="84" t="str">
        <f>INDEX(UnitCosts[Type],MATCH(ArmyState[[#This Row],[Name]],UnitCosts[Name],0))</f>
        <v>Spell</v>
      </c>
      <c r="E33" s="83">
        <f>IFERROR(MATCH(1,'Construction Dashboard'!H63:S63,0),1)</f>
        <v>3</v>
      </c>
      <c r="F33" s="84" t="str">
        <f>INDEX(UnitCosts[Resource],MATCH(ArmyState[[#This Row],[Name]],UnitCosts[Name],0))</f>
        <v>Elixir</v>
      </c>
      <c r="G33" s="85">
        <f>VLOOKUP(ArmyState[[#This Row],[Name]],UnitCosts[],MATCH(TEXT(ArmyState[[#This Row],[Level]],"#"),UnitCosts[#Headers],0),FALSE)</f>
        <v>18000</v>
      </c>
      <c r="H33" s="84">
        <f>INDEX(UnitCosts[Train Time],MATCH(ArmyState[[#This Row],[Name]],UnitCosts[Name],0))</f>
        <v>30</v>
      </c>
      <c r="I33" s="85">
        <f>INDEX(UnitCosts[Space],MATCH(ArmyState[[#This Row],[Name]],UnitCosts[Name],0))</f>
        <v>1</v>
      </c>
      <c r="J33" s="85">
        <f>ArmyState[[#This Row],[Num]]*ArmyState[[#This Row],[Cost]]</f>
        <v>0</v>
      </c>
      <c r="K33" s="84">
        <f>ArmyState[[#This Row],[Num]]*ArmyState[[#This Row],[Time]]</f>
        <v>0</v>
      </c>
      <c r="L33" s="85">
        <f>ArmyState[[#This Row],[Num]]*ArmyState[[#This Row],[Space]]</f>
        <v>0</v>
      </c>
      <c r="M33" s="170"/>
      <c r="N33" s="83" t="s">
        <v>93</v>
      </c>
      <c r="O33" s="158"/>
      <c r="P33" s="158"/>
      <c r="Q33" s="158"/>
      <c r="R33" s="158"/>
      <c r="S33" s="158"/>
      <c r="T33" s="158"/>
      <c r="U33" s="158"/>
      <c r="V33" s="158"/>
      <c r="W33" s="158"/>
      <c r="X33" s="158"/>
      <c r="Y33" s="170"/>
    </row>
    <row r="34" spans="1:25">
      <c r="A34" s="170"/>
      <c r="B34" s="83" t="s">
        <v>94</v>
      </c>
      <c r="C34" s="83">
        <f>INDEX(AttackSets[],MATCH(ArmyState[[#This Row],[Name]],AttackSets[Unit Set],0),MATCH($D$20,AttackSets[#Headers],0))</f>
        <v>0</v>
      </c>
      <c r="D34" s="84" t="str">
        <f>INDEX(UnitCosts[Type],MATCH(ArmyState[[#This Row],[Name]],UnitCosts[Name],0))</f>
        <v>Spell</v>
      </c>
      <c r="E34" s="83">
        <f>IFERROR(MATCH(1,'Construction Dashboard'!H64:S64,0),1)</f>
        <v>4</v>
      </c>
      <c r="F34" s="84" t="str">
        <f>INDEX(UnitCosts[Resource],MATCH(ArmyState[[#This Row],[Name]],UnitCosts[Name],0))</f>
        <v>Elixir</v>
      </c>
      <c r="G34" s="85">
        <f>VLOOKUP(ArmyState[[#This Row],[Name]],UnitCosts[],MATCH(TEXT(ArmyState[[#This Row],[Level]],"#"),UnitCosts[#Headers],0),FALSE)</f>
        <v>20000</v>
      </c>
      <c r="H34" s="84">
        <f>INDEX(UnitCosts[Train Time],MATCH(ArmyState[[#This Row],[Name]],UnitCosts[Name],0))</f>
        <v>30</v>
      </c>
      <c r="I34" s="85">
        <f>INDEX(UnitCosts[Space],MATCH(ArmyState[[#This Row],[Name]],UnitCosts[Name],0))</f>
        <v>1</v>
      </c>
      <c r="J34" s="85">
        <f>ArmyState[[#This Row],[Num]]*ArmyState[[#This Row],[Cost]]</f>
        <v>0</v>
      </c>
      <c r="K34" s="84">
        <f>ArmyState[[#This Row],[Num]]*ArmyState[[#This Row],[Time]]</f>
        <v>0</v>
      </c>
      <c r="L34" s="85">
        <f>ArmyState[[#This Row],[Num]]*ArmyState[[#This Row],[Space]]</f>
        <v>0</v>
      </c>
      <c r="M34" s="170"/>
      <c r="N34" s="83" t="s">
        <v>94</v>
      </c>
      <c r="O34" s="158"/>
      <c r="P34" s="158"/>
      <c r="Q34" s="158">
        <v>3</v>
      </c>
      <c r="R34" s="158">
        <v>3</v>
      </c>
      <c r="S34" s="158">
        <v>2</v>
      </c>
      <c r="T34" s="158"/>
      <c r="U34" s="158">
        <v>2</v>
      </c>
      <c r="V34" s="158"/>
      <c r="W34" s="158"/>
      <c r="X34" s="158"/>
      <c r="Y34" s="170"/>
    </row>
    <row r="35" spans="1:25">
      <c r="A35" s="170"/>
      <c r="B35" s="83" t="s">
        <v>95</v>
      </c>
      <c r="C35" s="83">
        <f>INDEX(AttackSets[],MATCH(ArmyState[[#This Row],[Name]],AttackSets[Unit Set],0),MATCH($D$20,AttackSets[#Headers],0))</f>
        <v>0</v>
      </c>
      <c r="D35" s="84" t="str">
        <f>INDEX(UnitCosts[Type],MATCH(ArmyState[[#This Row],[Name]],UnitCosts[Name],0))</f>
        <v>Spell</v>
      </c>
      <c r="E35" s="83">
        <f>IFERROR(MATCH(1,'Construction Dashboard'!H65:S65,0),1)</f>
        <v>2</v>
      </c>
      <c r="F35" s="84" t="str">
        <f>INDEX(UnitCosts[Resource],MATCH(ArmyState[[#This Row],[Name]],UnitCosts[Name],0))</f>
        <v>Elixir</v>
      </c>
      <c r="G35" s="85">
        <f>VLOOKUP(ArmyState[[#This Row],[Name]],UnitCosts[],MATCH(TEXT(ArmyState[[#This Row],[Level]],"#"),UnitCosts[#Headers],0),FALSE)</f>
        <v>25000</v>
      </c>
      <c r="H35" s="84">
        <f>INDEX(UnitCosts[Train Time],MATCH(ArmyState[[#This Row],[Name]],UnitCosts[Name],0))</f>
        <v>45</v>
      </c>
      <c r="I35" s="85">
        <f>INDEX(UnitCosts[Space],MATCH(ArmyState[[#This Row],[Name]],UnitCosts[Name],0))</f>
        <v>1</v>
      </c>
      <c r="J35" s="85">
        <f>ArmyState[[#This Row],[Num]]*ArmyState[[#This Row],[Cost]]</f>
        <v>0</v>
      </c>
      <c r="K35" s="84">
        <f>ArmyState[[#This Row],[Num]]*ArmyState[[#This Row],[Time]]</f>
        <v>0</v>
      </c>
      <c r="L35" s="85">
        <f>ArmyState[[#This Row],[Num]]*ArmyState[[#This Row],[Space]]</f>
        <v>0</v>
      </c>
      <c r="M35" s="170"/>
      <c r="N35" s="83" t="s">
        <v>95</v>
      </c>
      <c r="O35" s="158"/>
      <c r="P35" s="158"/>
      <c r="Q35" s="158"/>
      <c r="R35" s="158"/>
      <c r="S35" s="158"/>
      <c r="T35" s="158"/>
      <c r="U35" s="158">
        <v>1</v>
      </c>
      <c r="V35" s="158"/>
      <c r="W35" s="158"/>
      <c r="X35" s="158"/>
      <c r="Y35" s="170"/>
    </row>
    <row r="36" spans="1:25">
      <c r="A36" s="170"/>
      <c r="B36" s="83" t="s">
        <v>96</v>
      </c>
      <c r="C36" s="83">
        <f>INDEX(AttackSets[],MATCH(ArmyState[[#This Row],[Name]],AttackSets[Unit Set],0),MATCH($D$20,AttackSets[#Headers],0))</f>
        <v>0</v>
      </c>
      <c r="D36" s="84" t="str">
        <f>INDEX(UnitCosts[Type],MATCH(ArmyState[[#This Row],[Name]],UnitCosts[Name],0))</f>
        <v>Spell</v>
      </c>
      <c r="E36" s="83">
        <f>IFERROR(MATCH(1,'Construction Dashboard'!H66:S66,0),1)</f>
        <v>1</v>
      </c>
      <c r="F36" s="84" t="str">
        <f>INDEX(UnitCosts[Resource],MATCH(ArmyState[[#This Row],[Name]],UnitCosts[Name],0))</f>
        <v>Elixir</v>
      </c>
      <c r="G36" s="85">
        <f>VLOOKUP(ArmyState[[#This Row],[Name]],UnitCosts[],MATCH(TEXT(ArmyState[[#This Row],[Level]],"#"),UnitCosts[#Headers],0),FALSE)</f>
        <v>23000</v>
      </c>
      <c r="H36" s="84">
        <f>INDEX(UnitCosts[Train Time],MATCH(ArmyState[[#This Row],[Name]],UnitCosts[Name],0))</f>
        <v>45</v>
      </c>
      <c r="I36" s="85">
        <f>INDEX(UnitCosts[Space],MATCH(ArmyState[[#This Row],[Name]],UnitCosts[Name],0))</f>
        <v>1</v>
      </c>
      <c r="J36" s="85">
        <f>ArmyState[[#This Row],[Num]]*ArmyState[[#This Row],[Cost]]</f>
        <v>0</v>
      </c>
      <c r="K36" s="84">
        <f>ArmyState[[#This Row],[Num]]*ArmyState[[#This Row],[Time]]</f>
        <v>0</v>
      </c>
      <c r="L36" s="85">
        <f>ArmyState[[#This Row],[Num]]*ArmyState[[#This Row],[Space]]</f>
        <v>0</v>
      </c>
      <c r="M36" s="170"/>
      <c r="N36" s="83" t="s">
        <v>96</v>
      </c>
      <c r="O36" s="158"/>
      <c r="P36" s="158"/>
      <c r="Q36" s="158"/>
      <c r="R36" s="158"/>
      <c r="S36" s="158"/>
      <c r="T36" s="158"/>
      <c r="U36" s="158"/>
      <c r="V36" s="158"/>
      <c r="W36" s="158"/>
      <c r="X36" s="158"/>
      <c r="Y36" s="170"/>
    </row>
    <row r="37" spans="1:25">
      <c r="A37" s="170"/>
      <c r="B37" s="83" t="s">
        <v>97</v>
      </c>
      <c r="C37" s="83">
        <f>INDEX(AttackSets[],MATCH(ArmyState[[#This Row],[Name]],AttackSets[Unit Set],0),MATCH($D$20,AttackSets[#Headers],0))</f>
        <v>0</v>
      </c>
      <c r="D37" s="84" t="str">
        <f>INDEX(UnitCosts[Type],MATCH(ArmyState[[#This Row],[Name]],UnitCosts[Name],0))</f>
        <v>Spell</v>
      </c>
      <c r="E37" s="83">
        <f>IFERROR(MATCH(1,'Construction Dashboard'!H67:S67,0),1)</f>
        <v>1</v>
      </c>
      <c r="F37" s="84" t="str">
        <f>INDEX(UnitCosts[Resource],MATCH(ArmyState[[#This Row],[Name]],UnitCosts[Name],0))</f>
        <v>Elixir</v>
      </c>
      <c r="G37" s="85">
        <f>VLOOKUP(ArmyState[[#This Row],[Name]],UnitCosts[],MATCH(TEXT(ArmyState[[#This Row],[Level]],"#"),UnitCosts[#Headers],0),FALSE)</f>
        <v>26000</v>
      </c>
      <c r="H37" s="84">
        <f>INDEX(UnitCosts[Train Time],MATCH(ArmyState[[#This Row],[Name]],UnitCosts[Name],0))</f>
        <v>45</v>
      </c>
      <c r="I37" s="85">
        <f>INDEX(UnitCosts[Space],MATCH(ArmyState[[#This Row],[Name]],UnitCosts[Name],0))</f>
        <v>1</v>
      </c>
      <c r="J37" s="85">
        <f>ArmyState[[#This Row],[Num]]*ArmyState[[#This Row],[Cost]]</f>
        <v>0</v>
      </c>
      <c r="K37" s="84">
        <f>ArmyState[[#This Row],[Num]]*ArmyState[[#This Row],[Time]]</f>
        <v>0</v>
      </c>
      <c r="L37" s="85">
        <f>ArmyState[[#This Row],[Num]]*ArmyState[[#This Row],[Space]]</f>
        <v>0</v>
      </c>
      <c r="M37" s="170"/>
      <c r="N37" s="83" t="s">
        <v>97</v>
      </c>
      <c r="O37" s="158"/>
      <c r="P37" s="158"/>
      <c r="Q37" s="158"/>
      <c r="R37" s="158"/>
      <c r="S37" s="158"/>
      <c r="T37" s="158"/>
      <c r="U37" s="158"/>
      <c r="V37" s="158"/>
      <c r="W37" s="158"/>
      <c r="X37" s="158"/>
      <c r="Y37" s="170"/>
    </row>
    <row r="38" spans="1:25">
      <c r="A38" s="170"/>
      <c r="B38" s="83" t="s">
        <v>98</v>
      </c>
      <c r="C38" s="83">
        <f>INDEX(AttackSets[],MATCH(ArmyState[[#This Row],[Name]],AttackSets[Unit Set],0),MATCH($D$20,AttackSets[#Headers],0))</f>
        <v>0</v>
      </c>
      <c r="D38" s="84" t="str">
        <f>INDEX(UnitCosts[Type],MATCH(ArmyState[[#This Row],[Name]],UnitCosts[Name],0))</f>
        <v>Unit</v>
      </c>
      <c r="E38" s="83">
        <f>IFERROR(MATCH(1,'Construction Dashboard'!H68:S68,0),1)</f>
        <v>1</v>
      </c>
      <c r="F38" s="84" t="str">
        <f>INDEX(UnitCosts[Resource],MATCH(ArmyState[[#This Row],[Name]],UnitCosts[Name],0))</f>
        <v>Dark Elixir</v>
      </c>
      <c r="G38" s="85">
        <f>VLOOKUP(ArmyState[[#This Row],[Name]],UnitCosts[],MATCH(TEXT(ArmyState[[#This Row],[Level]],"#"),UnitCosts[#Headers],0),FALSE)</f>
        <v>6</v>
      </c>
      <c r="H38" s="84">
        <f>INDEX(UnitCosts[Train Time],MATCH(ArmyState[[#This Row],[Name]],UnitCosts[Name],0))</f>
        <v>0.75</v>
      </c>
      <c r="I38" s="85">
        <f>INDEX(UnitCosts[Space],MATCH(ArmyState[[#This Row],[Name]],UnitCosts[Name],0))</f>
        <v>2</v>
      </c>
      <c r="J38" s="85">
        <f>ArmyState[[#This Row],[Num]]*ArmyState[[#This Row],[Cost]]</f>
        <v>0</v>
      </c>
      <c r="K38" s="84">
        <f>ArmyState[[#This Row],[Num]]*ArmyState[[#This Row],[Time]]</f>
        <v>0</v>
      </c>
      <c r="L38" s="85">
        <f>ArmyState[[#This Row],[Num]]*ArmyState[[#This Row],[Space]]</f>
        <v>0</v>
      </c>
      <c r="M38" s="170"/>
      <c r="N38" s="83" t="s">
        <v>98</v>
      </c>
      <c r="O38" s="158"/>
      <c r="P38" s="158"/>
      <c r="Q38" s="158"/>
      <c r="R38" s="158"/>
      <c r="S38" s="158"/>
      <c r="T38" s="158"/>
      <c r="U38" s="158"/>
      <c r="V38" s="158"/>
      <c r="W38" s="158"/>
      <c r="X38" s="158"/>
      <c r="Y38" s="170"/>
    </row>
    <row r="39" spans="1:25">
      <c r="A39" s="170"/>
      <c r="B39" s="83" t="s">
        <v>99</v>
      </c>
      <c r="C39" s="83">
        <f>INDEX(AttackSets[],MATCH(ArmyState[[#This Row],[Name]],AttackSets[Unit Set],0),MATCH($D$20,AttackSets[#Headers],0))</f>
        <v>0</v>
      </c>
      <c r="D39" s="84" t="str">
        <f>INDEX(UnitCosts[Type],MATCH(ArmyState[[#This Row],[Name]],UnitCosts[Name],0))</f>
        <v>Unit</v>
      </c>
      <c r="E39" s="83">
        <f>IFERROR(MATCH(1,'Construction Dashboard'!H69:S69,0),1)</f>
        <v>1</v>
      </c>
      <c r="F39" s="84" t="str">
        <f>INDEX(UnitCosts[Resource],MATCH(ArmyState[[#This Row],[Name]],UnitCosts[Name],0))</f>
        <v>Dark Elixir</v>
      </c>
      <c r="G39" s="85">
        <f>VLOOKUP(ArmyState[[#This Row],[Name]],UnitCosts[],MATCH(TEXT(ArmyState[[#This Row],[Level]],"#"),UnitCosts[#Headers],0),FALSE)</f>
        <v>40</v>
      </c>
      <c r="H39" s="84">
        <f>INDEX(UnitCosts[Train Time],MATCH(ArmyState[[#This Row],[Name]],UnitCosts[Name],0))</f>
        <v>2</v>
      </c>
      <c r="I39" s="85">
        <f>INDEX(UnitCosts[Space],MATCH(ArmyState[[#This Row],[Name]],UnitCosts[Name],0))</f>
        <v>5</v>
      </c>
      <c r="J39" s="85">
        <f>ArmyState[[#This Row],[Num]]*ArmyState[[#This Row],[Cost]]</f>
        <v>0</v>
      </c>
      <c r="K39" s="84">
        <f>ArmyState[[#This Row],[Num]]*ArmyState[[#This Row],[Time]]</f>
        <v>0</v>
      </c>
      <c r="L39" s="85">
        <f>ArmyState[[#This Row],[Num]]*ArmyState[[#This Row],[Space]]</f>
        <v>0</v>
      </c>
      <c r="M39" s="170"/>
      <c r="N39" s="83" t="s">
        <v>99</v>
      </c>
      <c r="O39" s="158"/>
      <c r="P39" s="158"/>
      <c r="Q39" s="158"/>
      <c r="R39" s="158"/>
      <c r="S39" s="158"/>
      <c r="T39" s="158"/>
      <c r="U39" s="158"/>
      <c r="V39" s="158"/>
      <c r="W39" s="158"/>
      <c r="X39" s="158"/>
      <c r="Y39" s="170"/>
    </row>
    <row r="40" spans="1:25">
      <c r="A40" s="170"/>
      <c r="B40" s="83" t="s">
        <v>100</v>
      </c>
      <c r="C40" s="83">
        <f>INDEX(AttackSets[],MATCH(ArmyState[[#This Row],[Name]],AttackSets[Unit Set],0),MATCH($D$20,AttackSets[#Headers],0))</f>
        <v>0</v>
      </c>
      <c r="D40" s="84" t="str">
        <f>INDEX(UnitCosts[Type],MATCH(ArmyState[[#This Row],[Name]],UnitCosts[Name],0))</f>
        <v>Unit</v>
      </c>
      <c r="E40" s="83">
        <f>IFERROR(MATCH(1,'Construction Dashboard'!H70:S70,0),1)</f>
        <v>1</v>
      </c>
      <c r="F40" s="84" t="str">
        <f>INDEX(UnitCosts[Resource],MATCH(ArmyState[[#This Row],[Name]],UnitCosts[Name],0))</f>
        <v>Dark Elixir</v>
      </c>
      <c r="G40" s="85">
        <f>VLOOKUP(ArmyState[[#This Row],[Name]],UnitCosts[],MATCH(TEXT(ArmyState[[#This Row],[Level]],"#"),UnitCosts[#Headers],0),FALSE)</f>
        <v>70</v>
      </c>
      <c r="H40" s="84">
        <f>INDEX(UnitCosts[Train Time],MATCH(ArmyState[[#This Row],[Name]],UnitCosts[Name],0))</f>
        <v>15</v>
      </c>
      <c r="I40" s="85">
        <f>INDEX(UnitCosts[Space],MATCH(ArmyState[[#This Row],[Name]],UnitCosts[Name],0))</f>
        <v>8</v>
      </c>
      <c r="J40" s="85">
        <f>ArmyState[[#This Row],[Num]]*ArmyState[[#This Row],[Cost]]</f>
        <v>0</v>
      </c>
      <c r="K40" s="84">
        <f>ArmyState[[#This Row],[Num]]*ArmyState[[#This Row],[Time]]</f>
        <v>0</v>
      </c>
      <c r="L40" s="85">
        <f>ArmyState[[#This Row],[Num]]*ArmyState[[#This Row],[Space]]</f>
        <v>0</v>
      </c>
      <c r="M40" s="170"/>
      <c r="N40" s="83" t="s">
        <v>100</v>
      </c>
      <c r="O40" s="158"/>
      <c r="P40" s="158"/>
      <c r="Q40" s="158"/>
      <c r="R40" s="158"/>
      <c r="S40" s="158"/>
      <c r="T40" s="158"/>
      <c r="U40" s="158"/>
      <c r="V40" s="158"/>
      <c r="W40" s="158"/>
      <c r="X40" s="158"/>
      <c r="Y40" s="170"/>
    </row>
    <row r="41" spans="1:25">
      <c r="A41" s="170"/>
      <c r="B41" s="83" t="s">
        <v>101</v>
      </c>
      <c r="C41" s="83">
        <f>INDEX(AttackSets[],MATCH(ArmyState[[#This Row],[Name]],AttackSets[Unit Set],0),MATCH($D$20,AttackSets[#Headers],0))</f>
        <v>0</v>
      </c>
      <c r="D41" s="84" t="str">
        <f>INDEX(UnitCosts[Type],MATCH(ArmyState[[#This Row],[Name]],UnitCosts[Name],0))</f>
        <v>Unit</v>
      </c>
      <c r="E41" s="83">
        <f>IFERROR(MATCH(1,'Construction Dashboard'!H71:S71,0),1)</f>
        <v>1</v>
      </c>
      <c r="F41" s="84" t="str">
        <f>INDEX(UnitCosts[Resource],MATCH(ArmyState[[#This Row],[Name]],UnitCosts[Name],0))</f>
        <v>Dark Elixir</v>
      </c>
      <c r="G41" s="85">
        <f>VLOOKUP(ArmyState[[#This Row],[Name]],UnitCosts[],MATCH(TEXT(ArmyState[[#This Row],[Level]],"#"),UnitCosts[#Headers],0),FALSE)</f>
        <v>450</v>
      </c>
      <c r="H41" s="84">
        <f>INDEX(UnitCosts[Train Time],MATCH(ArmyState[[#This Row],[Name]],UnitCosts[Name],0))</f>
        <v>45</v>
      </c>
      <c r="I41" s="85">
        <f>INDEX(UnitCosts[Space],MATCH(ArmyState[[#This Row],[Name]],UnitCosts[Name],0))</f>
        <v>30</v>
      </c>
      <c r="J41" s="85">
        <f>ArmyState[[#This Row],[Num]]*ArmyState[[#This Row],[Cost]]</f>
        <v>0</v>
      </c>
      <c r="K41" s="84">
        <f>ArmyState[[#This Row],[Num]]*ArmyState[[#This Row],[Time]]</f>
        <v>0</v>
      </c>
      <c r="L41" s="85">
        <f>ArmyState[[#This Row],[Num]]*ArmyState[[#This Row],[Space]]</f>
        <v>0</v>
      </c>
      <c r="M41" s="170"/>
      <c r="N41" s="83" t="s">
        <v>101</v>
      </c>
      <c r="O41" s="158"/>
      <c r="P41" s="158"/>
      <c r="Q41" s="158"/>
      <c r="R41" s="158"/>
      <c r="S41" s="158"/>
      <c r="T41" s="158"/>
      <c r="U41" s="158"/>
      <c r="V41" s="158"/>
      <c r="W41" s="158"/>
      <c r="X41" s="158"/>
      <c r="Y41" s="170"/>
    </row>
    <row r="42" spans="1:25" ht="16" thickBot="1">
      <c r="A42" s="170"/>
      <c r="B42" s="83" t="s">
        <v>102</v>
      </c>
      <c r="C42" s="83">
        <f>INDEX(AttackSets[],MATCH(ArmyState[[#This Row],[Name]],AttackSets[Unit Set],0),MATCH($D$20,AttackSets[#Headers],0))</f>
        <v>0</v>
      </c>
      <c r="D42" s="84" t="str">
        <f>INDEX(UnitCosts[Type],MATCH(ArmyState[[#This Row],[Name]],UnitCosts[Name],0))</f>
        <v>Unit</v>
      </c>
      <c r="E42" s="83">
        <f>IFERROR(MATCH(1,'Construction Dashboard'!H72:S72,0),1)</f>
        <v>1</v>
      </c>
      <c r="F42" s="84" t="str">
        <f>INDEX(UnitCosts[Resource],MATCH(ArmyState[[#This Row],[Name]],UnitCosts[Name],0))</f>
        <v>Dark Elixir</v>
      </c>
      <c r="G42" s="85">
        <f>VLOOKUP(ArmyState[[#This Row],[Name]],UnitCosts[],MATCH(TEXT(ArmyState[[#This Row],[Level]],"#"),UnitCosts[#Headers],0),FALSE)</f>
        <v>250</v>
      </c>
      <c r="H42" s="84">
        <f>INDEX(UnitCosts[Train Time],MATCH(ArmyState[[#This Row],[Name]],UnitCosts[Name],0))</f>
        <v>20</v>
      </c>
      <c r="I42" s="85">
        <f>INDEX(UnitCosts[Space],MATCH(ArmyState[[#This Row],[Name]],UnitCosts[Name],0))</f>
        <v>12</v>
      </c>
      <c r="J42" s="85">
        <f>ArmyState[[#This Row],[Num]]*ArmyState[[#This Row],[Cost]]</f>
        <v>0</v>
      </c>
      <c r="K42" s="84">
        <f>ArmyState[[#This Row],[Num]]*ArmyState[[#This Row],[Time]]</f>
        <v>0</v>
      </c>
      <c r="L42" s="85">
        <f>ArmyState[[#This Row],[Num]]*ArmyState[[#This Row],[Space]]</f>
        <v>0</v>
      </c>
      <c r="M42" s="170"/>
      <c r="N42" s="83" t="s">
        <v>102</v>
      </c>
      <c r="O42" s="158"/>
      <c r="P42" s="158"/>
      <c r="Q42" s="158"/>
      <c r="R42" s="158"/>
      <c r="S42" s="158"/>
      <c r="T42" s="158"/>
      <c r="U42" s="158"/>
      <c r="V42" s="158"/>
      <c r="W42" s="158"/>
      <c r="X42" s="158"/>
      <c r="Y42" s="170"/>
    </row>
    <row r="43" spans="1:25" ht="16" thickTop="1">
      <c r="A43" s="170"/>
      <c r="B43" s="170"/>
      <c r="C43" s="170"/>
      <c r="D43" s="170"/>
      <c r="E43" s="170"/>
      <c r="F43" s="170"/>
      <c r="G43" s="170"/>
      <c r="H43" s="170"/>
      <c r="I43" s="170"/>
      <c r="J43" s="170"/>
      <c r="K43" s="170"/>
      <c r="L43" s="170"/>
      <c r="M43" s="170"/>
      <c r="N43" s="152" t="s">
        <v>219</v>
      </c>
      <c r="O43" s="155">
        <f t="array" ref="O43">SUMPRODUCT(O$23:O$42,ArmyState[Cost],IF(ArmyState[Resource]="Elixir",1,0),IF(ArmyState[Type]="Unit",1,0))</f>
        <v>0</v>
      </c>
      <c r="P43" s="155">
        <f t="array" ref="P43">SUMPRODUCT(P$23:P$42,ArmyState[Cost],IF(ArmyState[Resource]="Elixir",1,0),IF(ArmyState[Type]="Unit",1,0))</f>
        <v>52320</v>
      </c>
      <c r="Q43" s="155">
        <f t="array" ref="Q43">SUMPRODUCT(Q$23:Q$42,ArmyState[Cost],IF(ArmyState[Resource]="Elixir",1,0),IF(ArmyState[Type]="Unit",1,0))</f>
        <v>74080</v>
      </c>
      <c r="R43" s="155">
        <f t="array" ref="R43">SUMPRODUCT(R$23:R$42,ArmyState[Cost],IF(ArmyState[Resource]="Elixir",1,0),IF(ArmyState[Type]="Unit",1,0))</f>
        <v>79920</v>
      </c>
      <c r="S43" s="155">
        <f t="array" ref="S43">SUMPRODUCT(S$23:S$42,ArmyState[Cost],IF(ArmyState[Resource]="Elixir",1,0),IF(ArmyState[Type]="Unit",1,0))</f>
        <v>62400</v>
      </c>
      <c r="T43" s="155">
        <f t="array" ref="T43">SUMPRODUCT(T$23:T$42,ArmyState[Cost],IF(ArmyState[Resource]="Elixir",1,0),IF(ArmyState[Type]="Unit",1,0))</f>
        <v>22400</v>
      </c>
      <c r="U43" s="155">
        <f t="array" ref="U43">SUMPRODUCT(U$23:U$42,ArmyState[Cost],IF(ArmyState[Resource]="Elixir",1,0),IF(ArmyState[Type]="Unit",1,0))</f>
        <v>46340</v>
      </c>
      <c r="V43" s="155">
        <f t="array" ref="V43">SUMPRODUCT(V$23:V$42,ArmyState[Cost],IF(ArmyState[Resource]="Elixir",1,0),IF(ArmyState[Type]="Unit",1,0))</f>
        <v>0</v>
      </c>
      <c r="W43" s="155">
        <f t="array" ref="W43">SUMPRODUCT(W$23:W$42,ArmyState[Cost],IF(ArmyState[Resource]="Elixir",1,0),IF(ArmyState[Type]="Unit",1,0))</f>
        <v>0</v>
      </c>
      <c r="X43" s="177">
        <f t="array" ref="X43">SUMPRODUCT(X$23:X$42,ArmyState[Cost],IF(ArmyState[Resource]="Elixir",1,0),IF(ArmyState[Type]="Unit",1,0))</f>
        <v>0</v>
      </c>
      <c r="Y43" s="170"/>
    </row>
    <row r="44" spans="1:25" ht="16" thickBot="1">
      <c r="A44" s="170"/>
      <c r="B44" s="170"/>
      <c r="C44" s="170"/>
      <c r="D44" s="170"/>
      <c r="E44" s="170"/>
      <c r="F44" s="170"/>
      <c r="G44" s="170"/>
      <c r="H44" s="170"/>
      <c r="I44" s="170"/>
      <c r="J44" s="170"/>
      <c r="K44" s="170"/>
      <c r="L44" s="170"/>
      <c r="M44" s="170"/>
      <c r="N44" s="154" t="s">
        <v>220</v>
      </c>
      <c r="O44" s="157">
        <f t="array" ref="O44">SUMPRODUCT(O$23:O$42,ArmyState[Cost],IF(ArmyState[Resource]="Elixir",1,0),IF(ArmyState[Type]="Spell",1,0))</f>
        <v>0</v>
      </c>
      <c r="P44" s="157">
        <f t="array" ref="P44">SUMPRODUCT(P$23:P$42,ArmyState[Cost],IF(ArmyState[Resource]="Elixir",1,0),IF(ArmyState[Type]="Spell",1,0))</f>
        <v>0</v>
      </c>
      <c r="Q44" s="157">
        <f t="array" ref="Q44">SUMPRODUCT(Q$23:Q$42,ArmyState[Cost],IF(ArmyState[Resource]="Elixir",1,0),IF(ArmyState[Type]="Spell",1,0))</f>
        <v>60000</v>
      </c>
      <c r="R44" s="157">
        <f t="array" ref="R44">SUMPRODUCT(R$23:R$42,ArmyState[Cost],IF(ArmyState[Resource]="Elixir",1,0),IF(ArmyState[Type]="Spell",1,0))</f>
        <v>60000</v>
      </c>
      <c r="S44" s="157">
        <f t="array" ref="S44">SUMPRODUCT(S$23:S$42,ArmyState[Cost],IF(ArmyState[Resource]="Elixir",1,0),IF(ArmyState[Type]="Spell",1,0))</f>
        <v>40000</v>
      </c>
      <c r="T44" s="157">
        <f t="array" ref="T44">SUMPRODUCT(T$23:T$42,ArmyState[Cost],IF(ArmyState[Resource]="Elixir",1,0),IF(ArmyState[Type]="Spell",1,0))</f>
        <v>0</v>
      </c>
      <c r="U44" s="157">
        <f t="array" ref="U44">SUMPRODUCT(U$23:U$42,ArmyState[Cost],IF(ArmyState[Resource]="Elixir",1,0),IF(ArmyState[Type]="Spell",1,0))</f>
        <v>65000</v>
      </c>
      <c r="V44" s="157">
        <f t="array" ref="V44">SUMPRODUCT(V$23:V$42,ArmyState[Cost],IF(ArmyState[Resource]="Elixir",1,0),IF(ArmyState[Type]="Spell",1,0))</f>
        <v>0</v>
      </c>
      <c r="W44" s="157">
        <f t="array" ref="W44">SUMPRODUCT(W$23:W$42,ArmyState[Cost],IF(ArmyState[Resource]="Elixir",1,0),IF(ArmyState[Type]="Spell",1,0))</f>
        <v>0</v>
      </c>
      <c r="X44" s="178">
        <f t="array" ref="X44">SUMPRODUCT(X$23:X$42,ArmyState[Cost],IF(ArmyState[Resource]="Elixir",1,0),IF(ArmyState[Type]="Spell",1,0))</f>
        <v>0</v>
      </c>
      <c r="Y44" s="170"/>
    </row>
    <row r="45" spans="1:25" ht="16" thickTop="1">
      <c r="A45" s="170"/>
      <c r="B45" s="170"/>
      <c r="C45" s="170"/>
      <c r="D45" s="170"/>
      <c r="E45" s="170"/>
      <c r="F45" s="170"/>
      <c r="G45" s="170"/>
      <c r="H45" s="170"/>
      <c r="I45" s="170"/>
      <c r="J45" s="170"/>
      <c r="K45" s="170"/>
      <c r="L45" s="170"/>
      <c r="M45" s="170"/>
      <c r="N45" s="153" t="s">
        <v>218</v>
      </c>
      <c r="O45" s="156">
        <f t="array" ref="O45">SUMPRODUCT(O$23:O$42,ArmyState[Cost],IF(ArmyState[Resource]="Elixir",1,0))</f>
        <v>0</v>
      </c>
      <c r="P45" s="156">
        <f t="array" ref="P45">SUMPRODUCT(P$23:P$42,ArmyState[Cost],IF(ArmyState[Resource]="Elixir",1,0))</f>
        <v>52320</v>
      </c>
      <c r="Q45" s="156">
        <f t="array" ref="Q45">SUMPRODUCT(Q$23:Q$42,ArmyState[Cost],IF(ArmyState[Resource]="Elixir",1,0))</f>
        <v>134080</v>
      </c>
      <c r="R45" s="156">
        <f t="array" ref="R45">SUMPRODUCT(R$23:R$42,ArmyState[Cost],IF(ArmyState[Resource]="Elixir",1,0))</f>
        <v>139920</v>
      </c>
      <c r="S45" s="156">
        <f t="array" ref="S45">SUMPRODUCT(S$23:S$42,ArmyState[Cost],IF(ArmyState[Resource]="Elixir",1,0))</f>
        <v>102400</v>
      </c>
      <c r="T45" s="156">
        <f t="array" ref="T45">SUMPRODUCT(T$23:T$42,ArmyState[Cost],IF(ArmyState[Resource]="Elixir",1,0))</f>
        <v>22400</v>
      </c>
      <c r="U45" s="156">
        <f t="array" ref="U45">SUMPRODUCT(U$23:U$42,ArmyState[Cost],IF(ArmyState[Resource]="Elixir",1,0))</f>
        <v>111340</v>
      </c>
      <c r="V45" s="156">
        <f t="array" ref="V45">SUMPRODUCT(V$23:V$42,ArmyState[Cost],IF(ArmyState[Resource]="Elixir",1,0))</f>
        <v>0</v>
      </c>
      <c r="W45" s="156">
        <f t="array" ref="W45">SUMPRODUCT(W$23:W$42,ArmyState[Cost],IF(ArmyState[Resource]="Elixir",1,0))</f>
        <v>0</v>
      </c>
      <c r="X45" s="179">
        <f t="array" ref="X45">SUMPRODUCT(X$23:X$42,ArmyState[Cost],IF(ArmyState[Resource]="Elixir",1,0))</f>
        <v>0</v>
      </c>
      <c r="Y45" s="170"/>
    </row>
    <row r="46" spans="1:25" ht="16" thickBot="1">
      <c r="A46" s="170"/>
      <c r="B46" s="170"/>
      <c r="C46" s="170"/>
      <c r="D46" s="170"/>
      <c r="E46" s="170"/>
      <c r="F46" s="170"/>
      <c r="G46" s="170"/>
      <c r="H46" s="170"/>
      <c r="I46" s="170"/>
      <c r="J46" s="170"/>
      <c r="K46" s="170"/>
      <c r="L46" s="170"/>
      <c r="M46" s="170"/>
      <c r="N46" s="154" t="s">
        <v>103</v>
      </c>
      <c r="O46" s="157">
        <f t="array" ref="O46">SUMPRODUCT(O$23:O$42,ArmyState[Cost],IF(ArmyState[Resource]="Dark Elixir",1,0))</f>
        <v>0</v>
      </c>
      <c r="P46" s="157">
        <f t="array" ref="P46">SUMPRODUCT(P$23:P$42,ArmyState[Cost],IF(ArmyState[Resource]="Dark Elixir",1,0))</f>
        <v>0</v>
      </c>
      <c r="Q46" s="157">
        <f t="array" ref="Q46">SUMPRODUCT(Q$23:Q$42,ArmyState[Cost],IF(ArmyState[Resource]="Dark Elixir",1,0))</f>
        <v>0</v>
      </c>
      <c r="R46" s="157">
        <f t="array" ref="R46">SUMPRODUCT(R$23:R$42,ArmyState[Cost],IF(ArmyState[Resource]="Dark Elixir",1,0))</f>
        <v>0</v>
      </c>
      <c r="S46" s="157">
        <f t="array" ref="S46">SUMPRODUCT(S$23:S$42,ArmyState[Cost],IF(ArmyState[Resource]="Dark Elixir",1,0))</f>
        <v>0</v>
      </c>
      <c r="T46" s="157">
        <f t="array" ref="T46">SUMPRODUCT(T$23:T$42,ArmyState[Cost],IF(ArmyState[Resource]="Dark Elixir",1,0))</f>
        <v>0</v>
      </c>
      <c r="U46" s="157">
        <f t="array" ref="U46">SUMPRODUCT(U$23:U$42,ArmyState[Cost],IF(ArmyState[Resource]="Dark Elixir",1,0))</f>
        <v>0</v>
      </c>
      <c r="V46" s="157">
        <f t="array" ref="V46">SUMPRODUCT(V$23:V$42,ArmyState[Cost],IF(ArmyState[Resource]="Dark Elixir",1,0))</f>
        <v>0</v>
      </c>
      <c r="W46" s="157">
        <f t="array" ref="W46">SUMPRODUCT(W$23:W$42,ArmyState[Cost],IF(ArmyState[Resource]="Dark Elixir",1,0))</f>
        <v>0</v>
      </c>
      <c r="X46" s="178">
        <f t="array" ref="X46">SUMPRODUCT(X$23:X$42,ArmyState[Cost],IF(ArmyState[Resource]="Dark Elixir",1,0))</f>
        <v>0</v>
      </c>
      <c r="Y46" s="170"/>
    </row>
    <row r="47" spans="1:25" ht="16" thickTop="1">
      <c r="A47" s="170"/>
      <c r="B47" s="170"/>
      <c r="C47" s="170"/>
      <c r="D47" s="170"/>
      <c r="E47" s="170"/>
      <c r="F47" s="170"/>
      <c r="G47" s="170"/>
      <c r="H47" s="170"/>
      <c r="I47" s="170"/>
      <c r="J47" s="170"/>
      <c r="K47" s="170"/>
      <c r="L47" s="170"/>
      <c r="M47" s="170"/>
      <c r="N47" s="170"/>
      <c r="O47" s="170"/>
      <c r="P47" s="170"/>
      <c r="Q47" s="170"/>
      <c r="R47" s="170"/>
      <c r="S47" s="170"/>
      <c r="T47" s="170"/>
      <c r="U47" s="170"/>
      <c r="V47" s="170"/>
      <c r="W47" s="170"/>
      <c r="X47" s="170"/>
      <c r="Y47" s="170"/>
    </row>
  </sheetData>
  <sheetProtection sort="0" autoFilter="0" pivotTables="0"/>
  <mergeCells count="13">
    <mergeCell ref="D20:G20"/>
    <mergeCell ref="B20:C20"/>
    <mergeCell ref="N20:X20"/>
    <mergeCell ref="F9:I9"/>
    <mergeCell ref="I14:K14"/>
    <mergeCell ref="D14:F14"/>
    <mergeCell ref="B2:H3"/>
    <mergeCell ref="B4:H7"/>
    <mergeCell ref="J2:N3"/>
    <mergeCell ref="K4:N4"/>
    <mergeCell ref="K5:N5"/>
    <mergeCell ref="K7:N7"/>
    <mergeCell ref="K6:N6"/>
  </mergeCells>
  <conditionalFormatting sqref="E16:F18 J16:K18 G11:I12 O43:X46">
    <cfRule type="cellIs" dxfId="233" priority="7" operator="equal">
      <formula>0</formula>
    </cfRule>
  </conditionalFormatting>
  <conditionalFormatting sqref="I11:I12">
    <cfRule type="cellIs" dxfId="232" priority="5" operator="greaterThan">
      <formula>0</formula>
    </cfRule>
    <cfRule type="cellIs" dxfId="231" priority="8" operator="lessThan">
      <formula>0</formula>
    </cfRule>
  </conditionalFormatting>
  <conditionalFormatting sqref="O22:X22">
    <cfRule type="expression" dxfId="230" priority="1">
      <formula>$D$20=O$22</formula>
    </cfRule>
  </conditionalFormatting>
  <conditionalFormatting sqref="A1:XFD19 A20:Q20 Y20:XFD20 A21:XFD1048576">
    <cfRule type="containsErrors" dxfId="229" priority="4">
      <formula>ISERROR(A1)</formula>
    </cfRule>
  </conditionalFormatting>
  <conditionalFormatting sqref="N23:X42">
    <cfRule type="expression" dxfId="228" priority="2">
      <formula>$D$20=N$22</formula>
    </cfRule>
  </conditionalFormatting>
  <dataValidations disablePrompts="1" count="1">
    <dataValidation type="whole" operator="greaterThanOrEqual" allowBlank="1" showInputMessage="1" showErrorMessage="1" sqref="C23">
      <formula1>0</formula1>
    </dataValidation>
  </dataValidations>
  <pageMargins left="0.75" right="0.75" top="1" bottom="1" header="0.5" footer="0.5"/>
  <pageSetup orientation="portrait" horizontalDpi="4294967292" verticalDpi="4294967292"/>
  <tableParts count="2">
    <tablePart r:id="rId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F12"/>
  <sheetViews>
    <sheetView workbookViewId="0">
      <selection activeCell="A4" sqref="A4:F12"/>
    </sheetView>
  </sheetViews>
  <sheetFormatPr baseColWidth="10" defaultRowHeight="15" x14ac:dyDescent="0"/>
  <cols>
    <col min="1" max="16384" width="10.83203125" style="26"/>
  </cols>
  <sheetData>
    <row r="1" spans="1:6" ht="16" thickTop="1">
      <c r="A1" s="271" t="s">
        <v>137</v>
      </c>
      <c r="B1" s="272"/>
      <c r="C1" s="272"/>
      <c r="D1" s="272"/>
      <c r="E1" s="272"/>
      <c r="F1" s="273"/>
    </row>
    <row r="2" spans="1:6" ht="16" thickBot="1">
      <c r="A2" s="274"/>
      <c r="B2" s="275"/>
      <c r="C2" s="275"/>
      <c r="D2" s="275"/>
      <c r="E2" s="275"/>
      <c r="F2" s="276"/>
    </row>
    <row r="3" spans="1:6" ht="16" thickTop="1"/>
    <row r="4" spans="1:6">
      <c r="A4" s="277" t="s">
        <v>209</v>
      </c>
      <c r="B4" s="278"/>
      <c r="C4" s="278"/>
      <c r="D4" s="278"/>
      <c r="E4" s="278"/>
      <c r="F4" s="278"/>
    </row>
    <row r="5" spans="1:6">
      <c r="A5" s="278"/>
      <c r="B5" s="278"/>
      <c r="C5" s="278"/>
      <c r="D5" s="278"/>
      <c r="E5" s="278"/>
      <c r="F5" s="278"/>
    </row>
    <row r="6" spans="1:6">
      <c r="A6" s="278"/>
      <c r="B6" s="278"/>
      <c r="C6" s="278"/>
      <c r="D6" s="278"/>
      <c r="E6" s="278"/>
      <c r="F6" s="278"/>
    </row>
    <row r="7" spans="1:6">
      <c r="A7" s="278"/>
      <c r="B7" s="278"/>
      <c r="C7" s="278"/>
      <c r="D7" s="278"/>
      <c r="E7" s="278"/>
      <c r="F7" s="278"/>
    </row>
    <row r="8" spans="1:6">
      <c r="A8" s="278"/>
      <c r="B8" s="278"/>
      <c r="C8" s="278"/>
      <c r="D8" s="278"/>
      <c r="E8" s="278"/>
      <c r="F8" s="278"/>
    </row>
    <row r="9" spans="1:6">
      <c r="A9" s="278"/>
      <c r="B9" s="278"/>
      <c r="C9" s="278"/>
      <c r="D9" s="278"/>
      <c r="E9" s="278"/>
      <c r="F9" s="278"/>
    </row>
    <row r="10" spans="1:6">
      <c r="A10" s="279"/>
      <c r="B10" s="279"/>
      <c r="C10" s="279"/>
      <c r="D10" s="279"/>
      <c r="E10" s="279"/>
      <c r="F10" s="279"/>
    </row>
    <row r="11" spans="1:6">
      <c r="A11" s="279"/>
      <c r="B11" s="279"/>
      <c r="C11" s="279"/>
      <c r="D11" s="279"/>
      <c r="E11" s="279"/>
      <c r="F11" s="279"/>
    </row>
    <row r="12" spans="1:6">
      <c r="A12" s="279"/>
      <c r="B12" s="279"/>
      <c r="C12" s="279"/>
      <c r="D12" s="279"/>
      <c r="E12" s="279"/>
      <c r="F12" s="279"/>
    </row>
  </sheetData>
  <mergeCells count="2">
    <mergeCell ref="A1:F2"/>
    <mergeCell ref="A4:F1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C54"/>
  <sheetViews>
    <sheetView topLeftCell="A7" workbookViewId="0">
      <selection activeCell="C19" sqref="C19"/>
    </sheetView>
  </sheetViews>
  <sheetFormatPr baseColWidth="10" defaultRowHeight="15" x14ac:dyDescent="0"/>
  <cols>
    <col min="1" max="1" width="5" style="73" customWidth="1"/>
    <col min="2" max="2" width="10.5" style="73" bestFit="1" customWidth="1"/>
    <col min="3" max="3" width="69" style="73" customWidth="1"/>
    <col min="4" max="16384" width="10.83203125" style="73"/>
  </cols>
  <sheetData>
    <row r="1" spans="2:3" ht="16" thickBot="1"/>
    <row r="2" spans="2:3" ht="16" thickTop="1">
      <c r="B2" s="280" t="s">
        <v>116</v>
      </c>
      <c r="C2" s="281"/>
    </row>
    <row r="3" spans="2:3">
      <c r="B3" s="122"/>
      <c r="C3" s="123" t="s">
        <v>117</v>
      </c>
    </row>
    <row r="4" spans="2:3">
      <c r="B4" s="122"/>
      <c r="C4" s="124" t="s">
        <v>125</v>
      </c>
    </row>
    <row r="5" spans="2:3">
      <c r="B5" s="122"/>
      <c r="C5" s="125" t="s">
        <v>138</v>
      </c>
    </row>
    <row r="6" spans="2:3">
      <c r="B6" s="126"/>
      <c r="C6" s="125"/>
    </row>
    <row r="7" spans="2:3">
      <c r="B7" s="126"/>
      <c r="C7" s="127" t="s">
        <v>169</v>
      </c>
    </row>
    <row r="8" spans="2:3">
      <c r="B8" s="126"/>
      <c r="C8" s="125" t="str">
        <f>HYPERLINK("https://github.com/straxhaber")</f>
        <v>https://github.com/straxhaber</v>
      </c>
    </row>
    <row r="9" spans="2:3">
      <c r="B9" s="126"/>
      <c r="C9" s="128"/>
    </row>
    <row r="10" spans="2:3">
      <c r="B10" s="126"/>
      <c r="C10" s="128" t="s">
        <v>188</v>
      </c>
    </row>
    <row r="11" spans="2:3">
      <c r="B11" s="126"/>
      <c r="C11" s="129" t="s">
        <v>170</v>
      </c>
    </row>
    <row r="12" spans="2:3">
      <c r="B12" s="126"/>
      <c r="C12" s="130" t="s">
        <v>174</v>
      </c>
    </row>
    <row r="13" spans="2:3">
      <c r="B13" s="126"/>
      <c r="C13" s="129" t="s">
        <v>172</v>
      </c>
    </row>
    <row r="14" spans="2:3" ht="30">
      <c r="B14" s="126"/>
      <c r="C14" s="131" t="s">
        <v>173</v>
      </c>
    </row>
    <row r="15" spans="2:3">
      <c r="B15" s="126"/>
      <c r="C15" s="132" t="s">
        <v>175</v>
      </c>
    </row>
    <row r="16" spans="2:3" ht="16" thickBot="1">
      <c r="B16" s="133"/>
      <c r="C16" s="134" t="s">
        <v>176</v>
      </c>
    </row>
    <row r="17" spans="2:3" ht="17" thickTop="1" thickBot="1">
      <c r="B17" s="75"/>
      <c r="C17" s="50"/>
    </row>
    <row r="18" spans="2:3" ht="16" thickTop="1">
      <c r="B18" s="280" t="s">
        <v>171</v>
      </c>
      <c r="C18" s="281"/>
    </row>
    <row r="19" spans="2:3">
      <c r="B19" s="122"/>
      <c r="C19" s="144" t="s">
        <v>194</v>
      </c>
    </row>
    <row r="20" spans="2:3" ht="16" thickBot="1">
      <c r="B20" s="133"/>
      <c r="C20" s="145"/>
    </row>
    <row r="21" spans="2:3" ht="17" thickTop="1" thickBot="1">
      <c r="B21" s="135"/>
    </row>
    <row r="22" spans="2:3" ht="16" thickTop="1">
      <c r="B22" s="280" t="s">
        <v>120</v>
      </c>
      <c r="C22" s="281"/>
    </row>
    <row r="23" spans="2:3" ht="45">
      <c r="B23" s="126"/>
      <c r="C23" s="123" t="s">
        <v>119</v>
      </c>
    </row>
    <row r="24" spans="2:3">
      <c r="B24" s="126"/>
      <c r="C24" s="125" t="str">
        <f>HYPERLINK("http://creativecommons.org/licenses/by-sa/3.0/", "Read the license summary")</f>
        <v>Read the license summary</v>
      </c>
    </row>
    <row r="25" spans="2:3">
      <c r="B25" s="126"/>
      <c r="C25" s="125" t="str">
        <f>HYPERLINK("http://creativecommons.org/licenses/by-sa/3.0/legalcode", "Read the full legal code of the license")</f>
        <v>Read the full legal code of the license</v>
      </c>
    </row>
    <row r="26" spans="2:3">
      <c r="B26" s="126"/>
      <c r="C26" s="136"/>
    </row>
    <row r="27" spans="2:3" ht="31" thickBot="1">
      <c r="B27" s="133"/>
      <c r="C27" s="137" t="s">
        <v>133</v>
      </c>
    </row>
    <row r="28" spans="2:3" ht="17" thickTop="1" thickBot="1">
      <c r="B28" s="135"/>
    </row>
    <row r="29" spans="2:3" ht="16" thickTop="1">
      <c r="B29" s="280" t="s">
        <v>118</v>
      </c>
      <c r="C29" s="281"/>
    </row>
    <row r="30" spans="2:3">
      <c r="B30" s="122"/>
      <c r="C30" s="138" t="s">
        <v>135</v>
      </c>
    </row>
    <row r="31" spans="2:3" ht="16" thickBot="1">
      <c r="B31" s="133"/>
      <c r="C31" s="139" t="s">
        <v>136</v>
      </c>
    </row>
    <row r="32" spans="2:3" ht="17" thickTop="1" thickBot="1"/>
    <row r="33" spans="1:3" ht="16" thickTop="1">
      <c r="B33" s="280" t="s">
        <v>121</v>
      </c>
      <c r="C33" s="281"/>
    </row>
    <row r="34" spans="1:3">
      <c r="B34" s="140" t="s">
        <v>123</v>
      </c>
      <c r="C34" s="141" t="s">
        <v>124</v>
      </c>
    </row>
    <row r="35" spans="1:3">
      <c r="A35" s="135"/>
      <c r="B35" s="142">
        <v>41780</v>
      </c>
      <c r="C35" s="128" t="s">
        <v>122</v>
      </c>
    </row>
    <row r="36" spans="1:3" ht="60">
      <c r="A36" s="135"/>
      <c r="B36" s="142">
        <v>41814</v>
      </c>
      <c r="C36" s="128" t="s">
        <v>134</v>
      </c>
    </row>
    <row r="37" spans="1:3">
      <c r="A37" s="135"/>
      <c r="B37" s="142">
        <v>41815</v>
      </c>
      <c r="C37" s="136" t="s">
        <v>126</v>
      </c>
    </row>
    <row r="38" spans="1:3" ht="30">
      <c r="A38" s="135"/>
      <c r="B38" s="142">
        <v>41816</v>
      </c>
      <c r="C38" s="136" t="s">
        <v>167</v>
      </c>
    </row>
    <row r="39" spans="1:3" ht="60">
      <c r="A39" s="135"/>
      <c r="B39" s="142">
        <v>41824</v>
      </c>
      <c r="C39" s="136" t="s">
        <v>249</v>
      </c>
    </row>
    <row r="40" spans="1:3">
      <c r="A40" s="135"/>
      <c r="B40" s="142"/>
      <c r="C40" s="136"/>
    </row>
    <row r="41" spans="1:3">
      <c r="A41" s="135"/>
      <c r="B41" s="142"/>
      <c r="C41" s="136"/>
    </row>
    <row r="42" spans="1:3">
      <c r="A42" s="135"/>
      <c r="B42" s="142"/>
      <c r="C42" s="136"/>
    </row>
    <row r="43" spans="1:3" ht="16" thickBot="1">
      <c r="A43" s="135"/>
      <c r="B43" s="143"/>
      <c r="C43" s="137"/>
    </row>
    <row r="44" spans="1:3" ht="17" thickTop="1" thickBot="1">
      <c r="A44" s="135"/>
    </row>
    <row r="45" spans="1:3" ht="16" thickTop="1">
      <c r="A45" s="135"/>
      <c r="B45" s="280" t="s">
        <v>146</v>
      </c>
      <c r="C45" s="281"/>
    </row>
    <row r="46" spans="1:3">
      <c r="A46" s="135"/>
      <c r="B46" s="140" t="s">
        <v>142</v>
      </c>
      <c r="C46" s="141" t="s">
        <v>124</v>
      </c>
    </row>
    <row r="47" spans="1:3">
      <c r="B47" s="142" t="s">
        <v>143</v>
      </c>
      <c r="C47" s="128" t="s">
        <v>224</v>
      </c>
    </row>
    <row r="48" spans="1:3">
      <c r="B48" s="142" t="s">
        <v>147</v>
      </c>
      <c r="C48" s="128" t="s">
        <v>149</v>
      </c>
    </row>
    <row r="49" spans="2:3">
      <c r="B49" s="142" t="s">
        <v>147</v>
      </c>
      <c r="C49" s="136" t="s">
        <v>154</v>
      </c>
    </row>
    <row r="50" spans="2:3">
      <c r="B50" s="142" t="s">
        <v>147</v>
      </c>
      <c r="C50" s="136" t="s">
        <v>166</v>
      </c>
    </row>
    <row r="51" spans="2:3">
      <c r="B51" s="142"/>
      <c r="C51" s="136"/>
    </row>
    <row r="52" spans="2:3">
      <c r="B52" s="142"/>
      <c r="C52" s="136"/>
    </row>
    <row r="53" spans="2:3" ht="16" thickBot="1">
      <c r="B53" s="143"/>
      <c r="C53" s="137"/>
    </row>
    <row r="54" spans="2:3" ht="16" thickTop="1"/>
  </sheetData>
  <sheetProtection password="9AF0" sheet="1" objects="1" scenarios="1" selectLockedCells="1"/>
  <mergeCells count="6">
    <mergeCell ref="B2:C2"/>
    <mergeCell ref="B22:C22"/>
    <mergeCell ref="B33:C33"/>
    <mergeCell ref="B29:C29"/>
    <mergeCell ref="B45:C45"/>
    <mergeCell ref="B18:C18"/>
  </mergeCells>
  <phoneticPr fontId="8" type="noConversion"/>
  <hyperlinks>
    <hyperlink ref="C31" r:id="rId1"/>
    <hyperlink ref="C5" r:id="rId2"/>
    <hyperlink ref="C14" r:id="rId3"/>
  </hyperlinks>
  <pageMargins left="0.75" right="0.75" top="1" bottom="1" header="0.5" footer="0.5"/>
  <pageSetup scale="99" orientation="portrait" horizontalDpi="4294967292" verticalDpi="4294967292"/>
  <colBreaks count="1" manualBreakCount="1">
    <brk id="4" max="1048575" man="1"/>
  </col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292"/>
  <sheetViews>
    <sheetView workbookViewId="0">
      <selection activeCell="K201" sqref="K201"/>
    </sheetView>
  </sheetViews>
  <sheetFormatPr baseColWidth="10" defaultRowHeight="15" x14ac:dyDescent="0"/>
  <cols>
    <col min="1" max="1" width="17.5" style="26" bestFit="1" customWidth="1"/>
    <col min="2" max="2" width="11" style="26" customWidth="1"/>
    <col min="3" max="3" width="11.5" style="26" bestFit="1" customWidth="1"/>
    <col min="4" max="4" width="10.83203125" style="26"/>
    <col min="5" max="15" width="10" style="26" customWidth="1"/>
    <col min="16" max="27" width="10.1640625" style="26" customWidth="1"/>
    <col min="28" max="34" width="10.83203125" style="26"/>
    <col min="35" max="43" width="11" style="26" customWidth="1"/>
    <col min="44" max="16384" width="10.83203125" style="26"/>
  </cols>
  <sheetData>
    <row r="1" spans="1:27" ht="32" thickTop="1" thickBot="1">
      <c r="A1" s="285" t="s">
        <v>159</v>
      </c>
      <c r="B1" s="286"/>
      <c r="C1" s="286"/>
      <c r="D1" s="286"/>
      <c r="E1" s="286"/>
      <c r="F1" s="286"/>
      <c r="G1" s="286"/>
      <c r="H1" s="286"/>
      <c r="I1" s="286"/>
      <c r="J1" s="286"/>
      <c r="K1" s="286"/>
      <c r="L1" s="286"/>
      <c r="M1" s="286"/>
      <c r="N1" s="286"/>
      <c r="O1" s="286"/>
      <c r="P1" s="286"/>
      <c r="Q1" s="286"/>
      <c r="R1" s="286"/>
      <c r="S1" s="286"/>
      <c r="T1" s="286"/>
      <c r="U1" s="286"/>
      <c r="V1" s="286"/>
      <c r="W1" s="286"/>
      <c r="X1" s="286"/>
      <c r="Y1" s="286"/>
      <c r="Z1" s="286"/>
      <c r="AA1" s="287"/>
    </row>
    <row r="2" spans="1:27" ht="16" customHeight="1" thickTop="1">
      <c r="A2" s="26" t="s">
        <v>14</v>
      </c>
      <c r="B2" s="26" t="s">
        <v>71</v>
      </c>
      <c r="C2" s="26" t="s">
        <v>31</v>
      </c>
      <c r="D2" s="90" t="s">
        <v>45</v>
      </c>
      <c r="E2" s="74" t="s">
        <v>46</v>
      </c>
      <c r="F2" s="74" t="s">
        <v>47</v>
      </c>
      <c r="G2" s="74" t="s">
        <v>48</v>
      </c>
      <c r="H2" s="74" t="s">
        <v>49</v>
      </c>
      <c r="I2" s="74" t="s">
        <v>50</v>
      </c>
      <c r="J2" s="74" t="s">
        <v>51</v>
      </c>
      <c r="K2" s="74" t="s">
        <v>52</v>
      </c>
      <c r="L2" s="74" t="s">
        <v>53</v>
      </c>
      <c r="M2" s="74" t="s">
        <v>54</v>
      </c>
      <c r="N2" s="74" t="s">
        <v>55</v>
      </c>
      <c r="O2" s="91" t="s">
        <v>56</v>
      </c>
      <c r="P2" s="26" t="s">
        <v>57</v>
      </c>
      <c r="Q2" s="26" t="s">
        <v>58</v>
      </c>
      <c r="R2" s="26" t="s">
        <v>59</v>
      </c>
      <c r="S2" s="26" t="s">
        <v>60</v>
      </c>
      <c r="T2" s="26" t="s">
        <v>61</v>
      </c>
      <c r="U2" s="26" t="s">
        <v>62</v>
      </c>
      <c r="V2" s="26" t="s">
        <v>63</v>
      </c>
      <c r="W2" s="26" t="s">
        <v>64</v>
      </c>
      <c r="X2" s="26" t="s">
        <v>65</v>
      </c>
      <c r="Y2" s="26" t="s">
        <v>66</v>
      </c>
      <c r="Z2" s="26" t="s">
        <v>67</v>
      </c>
      <c r="AA2" s="26" t="s">
        <v>68</v>
      </c>
    </row>
    <row r="3" spans="1:27">
      <c r="A3" s="26" t="s">
        <v>13</v>
      </c>
      <c r="B3" s="26" t="s">
        <v>14</v>
      </c>
      <c r="C3" s="26" t="s">
        <v>30</v>
      </c>
      <c r="D3" s="92">
        <v>0</v>
      </c>
      <c r="E3" s="93">
        <v>1000</v>
      </c>
      <c r="F3" s="93">
        <v>4000</v>
      </c>
      <c r="G3" s="93">
        <v>25000</v>
      </c>
      <c r="H3" s="93">
        <v>150000</v>
      </c>
      <c r="I3" s="93">
        <v>750000</v>
      </c>
      <c r="J3" s="93">
        <v>1200000</v>
      </c>
      <c r="K3" s="93">
        <v>2000000</v>
      </c>
      <c r="L3" s="93">
        <v>3000000</v>
      </c>
      <c r="M3" s="93">
        <v>4000000</v>
      </c>
      <c r="N3" s="93" t="e">
        <v>#N/A</v>
      </c>
      <c r="O3" s="93" t="e">
        <v>#N/A</v>
      </c>
      <c r="P3" s="94">
        <v>0</v>
      </c>
      <c r="Q3" s="95">
        <v>3.472222222222222E-3</v>
      </c>
      <c r="R3" s="95">
        <v>0.125</v>
      </c>
      <c r="S3" s="95">
        <v>1</v>
      </c>
      <c r="T3" s="95">
        <v>2</v>
      </c>
      <c r="U3" s="95">
        <v>4</v>
      </c>
      <c r="V3" s="95">
        <v>6</v>
      </c>
      <c r="W3" s="95">
        <v>8</v>
      </c>
      <c r="X3" s="95">
        <v>10</v>
      </c>
      <c r="Y3" s="95">
        <v>14</v>
      </c>
      <c r="Z3" s="95" t="e">
        <v>#N/A</v>
      </c>
      <c r="AA3" s="95" t="e">
        <v>#N/A</v>
      </c>
    </row>
    <row r="4" spans="1:27">
      <c r="A4" s="26" t="s">
        <v>21</v>
      </c>
      <c r="B4" s="26" t="s">
        <v>14</v>
      </c>
      <c r="C4" s="26" t="s">
        <v>1</v>
      </c>
      <c r="D4" s="92">
        <v>25000</v>
      </c>
      <c r="E4" s="93">
        <v>50000</v>
      </c>
      <c r="F4" s="93">
        <v>90000</v>
      </c>
      <c r="G4" s="93">
        <v>270000</v>
      </c>
      <c r="H4" s="93">
        <v>500000</v>
      </c>
      <c r="I4" s="93">
        <v>1000000</v>
      </c>
      <c r="J4" s="93">
        <v>2500000</v>
      </c>
      <c r="K4" s="93">
        <v>4000000</v>
      </c>
      <c r="L4" s="93" t="e">
        <v>#N/A</v>
      </c>
      <c r="M4" s="93" t="e">
        <v>#N/A</v>
      </c>
      <c r="N4" s="93" t="e">
        <v>#N/A</v>
      </c>
      <c r="O4" s="93" t="e">
        <v>#N/A</v>
      </c>
      <c r="P4" s="94">
        <v>2.0833333333333332E-2</v>
      </c>
      <c r="Q4" s="95">
        <v>0.20833333333333334</v>
      </c>
      <c r="R4" s="95">
        <v>0.5</v>
      </c>
      <c r="S4" s="95">
        <v>1</v>
      </c>
      <c r="T4" s="95">
        <v>2</v>
      </c>
      <c r="U4" s="95">
        <v>4</v>
      </c>
      <c r="V4" s="95">
        <v>5</v>
      </c>
      <c r="W4" s="95">
        <v>6</v>
      </c>
      <c r="X4" s="95" t="e">
        <v>#N/A</v>
      </c>
      <c r="Y4" s="95" t="e">
        <v>#N/A</v>
      </c>
      <c r="Z4" s="95" t="e">
        <v>#N/A</v>
      </c>
      <c r="AA4" s="95" t="e">
        <v>#N/A</v>
      </c>
    </row>
    <row r="5" spans="1:27">
      <c r="A5" s="26" t="s">
        <v>15</v>
      </c>
      <c r="B5" s="26" t="s">
        <v>14</v>
      </c>
      <c r="C5" s="26" t="s">
        <v>1</v>
      </c>
      <c r="D5" s="92">
        <v>150</v>
      </c>
      <c r="E5" s="93">
        <v>300</v>
      </c>
      <c r="F5" s="93">
        <v>700</v>
      </c>
      <c r="G5" s="93">
        <v>1400</v>
      </c>
      <c r="H5" s="93">
        <v>3000</v>
      </c>
      <c r="I5" s="93">
        <v>7000</v>
      </c>
      <c r="J5" s="93">
        <v>14000</v>
      </c>
      <c r="K5" s="93">
        <v>28000</v>
      </c>
      <c r="L5" s="93">
        <v>56000</v>
      </c>
      <c r="M5" s="93">
        <v>84000</v>
      </c>
      <c r="N5" s="93">
        <v>168000</v>
      </c>
      <c r="O5" s="93" t="e">
        <v>#N/A</v>
      </c>
      <c r="P5" s="94">
        <v>6.9444444444444436E-4</v>
      </c>
      <c r="Q5" s="95">
        <v>3.472222222222222E-3</v>
      </c>
      <c r="R5" s="95">
        <v>1.0416666666666666E-2</v>
      </c>
      <c r="S5" s="95">
        <v>4.1666666666666664E-2</v>
      </c>
      <c r="T5" s="95">
        <v>8.3333333333333329E-2</v>
      </c>
      <c r="U5" s="95">
        <v>0.25</v>
      </c>
      <c r="V5" s="95">
        <v>0.5</v>
      </c>
      <c r="W5" s="95">
        <v>1</v>
      </c>
      <c r="X5" s="95">
        <v>2</v>
      </c>
      <c r="Y5" s="95">
        <v>3</v>
      </c>
      <c r="Z5" s="95">
        <v>4</v>
      </c>
      <c r="AA5" s="95" t="e">
        <v>#N/A</v>
      </c>
    </row>
    <row r="6" spans="1:27">
      <c r="A6" s="26" t="s">
        <v>16</v>
      </c>
      <c r="B6" s="26" t="s">
        <v>14</v>
      </c>
      <c r="C6" s="26" t="s">
        <v>30</v>
      </c>
      <c r="D6" s="92">
        <v>150</v>
      </c>
      <c r="E6" s="93">
        <v>300</v>
      </c>
      <c r="F6" s="93">
        <v>700</v>
      </c>
      <c r="G6" s="93">
        <v>1400</v>
      </c>
      <c r="H6" s="93">
        <v>3000</v>
      </c>
      <c r="I6" s="93">
        <v>7000</v>
      </c>
      <c r="J6" s="93">
        <v>14000</v>
      </c>
      <c r="K6" s="93">
        <v>28000</v>
      </c>
      <c r="L6" s="93">
        <v>56000</v>
      </c>
      <c r="M6" s="93">
        <v>84000</v>
      </c>
      <c r="N6" s="93">
        <v>168000</v>
      </c>
      <c r="O6" s="93" t="e">
        <v>#N/A</v>
      </c>
      <c r="P6" s="94">
        <v>6.9444444444444436E-4</v>
      </c>
      <c r="Q6" s="95">
        <v>3.472222222222222E-3</v>
      </c>
      <c r="R6" s="95">
        <v>1.0416666666666666E-2</v>
      </c>
      <c r="S6" s="95">
        <v>4.1666666666666664E-2</v>
      </c>
      <c r="T6" s="95">
        <v>8.3333333333333329E-2</v>
      </c>
      <c r="U6" s="95">
        <v>0.25</v>
      </c>
      <c r="V6" s="95">
        <v>0.5</v>
      </c>
      <c r="W6" s="95">
        <v>1</v>
      </c>
      <c r="X6" s="95">
        <v>2</v>
      </c>
      <c r="Y6" s="95">
        <v>3</v>
      </c>
      <c r="Z6" s="95">
        <v>4</v>
      </c>
      <c r="AA6" s="95" t="e">
        <v>#N/A</v>
      </c>
    </row>
    <row r="7" spans="1:27">
      <c r="A7" s="26" t="s">
        <v>17</v>
      </c>
      <c r="B7" s="26" t="s">
        <v>14</v>
      </c>
      <c r="C7" s="26" t="s">
        <v>1</v>
      </c>
      <c r="D7" s="92">
        <v>1000000</v>
      </c>
      <c r="E7" s="93">
        <v>1500000</v>
      </c>
      <c r="F7" s="93">
        <v>2000000</v>
      </c>
      <c r="G7" s="93">
        <v>3000000</v>
      </c>
      <c r="H7" s="93">
        <v>4000000</v>
      </c>
      <c r="I7" s="93">
        <v>5000000</v>
      </c>
      <c r="J7" s="93" t="e">
        <v>#N/A</v>
      </c>
      <c r="K7" s="93" t="e">
        <v>#N/A</v>
      </c>
      <c r="L7" s="93" t="e">
        <v>#N/A</v>
      </c>
      <c r="M7" s="93" t="e">
        <v>#N/A</v>
      </c>
      <c r="N7" s="93" t="e">
        <v>#N/A</v>
      </c>
      <c r="O7" s="93" t="e">
        <v>#N/A</v>
      </c>
      <c r="P7" s="94">
        <v>1</v>
      </c>
      <c r="Q7" s="95">
        <v>2</v>
      </c>
      <c r="R7" s="95">
        <v>3</v>
      </c>
      <c r="S7" s="95">
        <v>4</v>
      </c>
      <c r="T7" s="95">
        <v>6</v>
      </c>
      <c r="U7" s="95">
        <v>8</v>
      </c>
      <c r="V7" s="95" t="e">
        <v>#N/A</v>
      </c>
      <c r="W7" s="95" t="e">
        <v>#N/A</v>
      </c>
      <c r="X7" s="95" t="e">
        <v>#N/A</v>
      </c>
      <c r="Y7" s="95" t="e">
        <v>#N/A</v>
      </c>
      <c r="Z7" s="95" t="e">
        <v>#N/A</v>
      </c>
      <c r="AA7" s="95" t="e">
        <v>#N/A</v>
      </c>
    </row>
    <row r="8" spans="1:27">
      <c r="A8" s="26" t="s">
        <v>3</v>
      </c>
      <c r="B8" s="26" t="s">
        <v>14</v>
      </c>
      <c r="C8" s="26" t="s">
        <v>1</v>
      </c>
      <c r="D8" s="92">
        <v>300</v>
      </c>
      <c r="E8" s="93">
        <v>750</v>
      </c>
      <c r="F8" s="93">
        <v>1500</v>
      </c>
      <c r="G8" s="93">
        <v>3000</v>
      </c>
      <c r="H8" s="93">
        <v>6000</v>
      </c>
      <c r="I8" s="93">
        <v>12000</v>
      </c>
      <c r="J8" s="93">
        <v>25000</v>
      </c>
      <c r="K8" s="93">
        <v>50000</v>
      </c>
      <c r="L8" s="93">
        <v>100000</v>
      </c>
      <c r="M8" s="93">
        <v>250000</v>
      </c>
      <c r="N8" s="93">
        <v>500000</v>
      </c>
      <c r="O8" s="93" t="e">
        <v>#N/A</v>
      </c>
      <c r="P8" s="94">
        <v>6.9444444444444436E-4</v>
      </c>
      <c r="Q8" s="95">
        <v>2.0833333333333332E-2</v>
      </c>
      <c r="R8" s="95">
        <v>4.1666666666666664E-2</v>
      </c>
      <c r="S8" s="95">
        <v>8.3333333333333329E-2</v>
      </c>
      <c r="T8" s="95">
        <v>0.125</v>
      </c>
      <c r="U8" s="95">
        <v>0.16666666666666666</v>
      </c>
      <c r="V8" s="95">
        <v>0.25</v>
      </c>
      <c r="W8" s="95">
        <v>0.33333333333333331</v>
      </c>
      <c r="X8" s="95">
        <v>0.5</v>
      </c>
      <c r="Y8" s="95">
        <v>1</v>
      </c>
      <c r="Z8" s="95">
        <v>2</v>
      </c>
      <c r="AA8" s="95" t="e">
        <v>#N/A</v>
      </c>
    </row>
    <row r="9" spans="1:27">
      <c r="A9" s="26" t="s">
        <v>4</v>
      </c>
      <c r="B9" s="26" t="s">
        <v>14</v>
      </c>
      <c r="C9" s="26" t="s">
        <v>30</v>
      </c>
      <c r="D9" s="92">
        <v>300</v>
      </c>
      <c r="E9" s="93">
        <v>750</v>
      </c>
      <c r="F9" s="93">
        <v>1500</v>
      </c>
      <c r="G9" s="93">
        <v>3000</v>
      </c>
      <c r="H9" s="93">
        <v>6000</v>
      </c>
      <c r="I9" s="93">
        <v>12000</v>
      </c>
      <c r="J9" s="93">
        <v>25000</v>
      </c>
      <c r="K9" s="93">
        <v>50000</v>
      </c>
      <c r="L9" s="93">
        <v>100000</v>
      </c>
      <c r="M9" s="93">
        <v>250000</v>
      </c>
      <c r="N9" s="93">
        <v>500000</v>
      </c>
      <c r="O9" s="93" t="e">
        <v>#N/A</v>
      </c>
      <c r="P9" s="94">
        <v>6.9444444444444436E-4</v>
      </c>
      <c r="Q9" s="95">
        <v>2.0833333333333332E-2</v>
      </c>
      <c r="R9" s="95">
        <v>4.1666666666666664E-2</v>
      </c>
      <c r="S9" s="95">
        <v>8.3333333333333329E-2</v>
      </c>
      <c r="T9" s="95">
        <v>0.125</v>
      </c>
      <c r="U9" s="95">
        <v>0.16666666666666666</v>
      </c>
      <c r="V9" s="95">
        <v>0.25</v>
      </c>
      <c r="W9" s="95">
        <v>0.33333333333333331</v>
      </c>
      <c r="X9" s="95">
        <v>0.5</v>
      </c>
      <c r="Y9" s="95">
        <v>1</v>
      </c>
      <c r="Z9" s="95">
        <v>2</v>
      </c>
      <c r="AA9" s="95" t="e">
        <v>#N/A</v>
      </c>
    </row>
    <row r="10" spans="1:27">
      <c r="A10" s="26" t="s">
        <v>18</v>
      </c>
      <c r="B10" s="26" t="s">
        <v>14</v>
      </c>
      <c r="C10" s="26" t="s">
        <v>1</v>
      </c>
      <c r="D10" s="92">
        <v>600000</v>
      </c>
      <c r="E10" s="93">
        <v>1200000</v>
      </c>
      <c r="F10" s="93">
        <v>1800000</v>
      </c>
      <c r="G10" s="93">
        <v>2400000</v>
      </c>
      <c r="H10" s="93">
        <v>3000000</v>
      </c>
      <c r="I10" s="93">
        <v>36000000</v>
      </c>
      <c r="J10" s="93" t="e">
        <v>#N/A</v>
      </c>
      <c r="K10" s="93" t="e">
        <v>#N/A</v>
      </c>
      <c r="L10" s="93" t="e">
        <v>#N/A</v>
      </c>
      <c r="M10" s="93" t="e">
        <v>#N/A</v>
      </c>
      <c r="N10" s="93" t="e">
        <v>#N/A</v>
      </c>
      <c r="O10" s="93" t="e">
        <v>#N/A</v>
      </c>
      <c r="P10" s="94">
        <v>1</v>
      </c>
      <c r="Q10" s="95">
        <v>2</v>
      </c>
      <c r="R10" s="95">
        <v>3</v>
      </c>
      <c r="S10" s="95">
        <v>4</v>
      </c>
      <c r="T10" s="95">
        <v>5</v>
      </c>
      <c r="U10" s="95">
        <v>6</v>
      </c>
      <c r="V10" s="95" t="e">
        <v>#N/A</v>
      </c>
      <c r="W10" s="95" t="e">
        <v>#N/A</v>
      </c>
      <c r="X10" s="95" t="e">
        <v>#N/A</v>
      </c>
      <c r="Y10" s="95" t="e">
        <v>#N/A</v>
      </c>
      <c r="Z10" s="95" t="e">
        <v>#N/A</v>
      </c>
      <c r="AA10" s="95" t="e">
        <v>#N/A</v>
      </c>
    </row>
    <row r="11" spans="1:27">
      <c r="A11" s="26" t="s">
        <v>19</v>
      </c>
      <c r="B11" s="26" t="s">
        <v>14</v>
      </c>
      <c r="C11" s="26" t="s">
        <v>1</v>
      </c>
      <c r="D11" s="92">
        <v>750000</v>
      </c>
      <c r="E11" s="93">
        <v>1250000</v>
      </c>
      <c r="F11" s="93">
        <v>1750000</v>
      </c>
      <c r="G11" s="93">
        <v>2250000</v>
      </c>
      <c r="H11" s="93">
        <v>2750000</v>
      </c>
      <c r="I11" s="93" t="e">
        <v>#N/A</v>
      </c>
      <c r="J11" s="93" t="e">
        <v>#N/A</v>
      </c>
      <c r="K11" s="93" t="e">
        <v>#N/A</v>
      </c>
      <c r="L11" s="93" t="e">
        <v>#N/A</v>
      </c>
      <c r="M11" s="93" t="e">
        <v>#N/A</v>
      </c>
      <c r="N11" s="93" t="e">
        <v>#N/A</v>
      </c>
      <c r="O11" s="93" t="e">
        <v>#N/A</v>
      </c>
      <c r="P11" s="94">
        <v>3</v>
      </c>
      <c r="Q11" s="95">
        <v>5</v>
      </c>
      <c r="R11" s="95">
        <v>6</v>
      </c>
      <c r="S11" s="95">
        <v>7</v>
      </c>
      <c r="T11" s="95">
        <v>8</v>
      </c>
      <c r="U11" s="95" t="e">
        <v>#N/A</v>
      </c>
      <c r="V11" s="95" t="e">
        <v>#N/A</v>
      </c>
      <c r="W11" s="95" t="e">
        <v>#N/A</v>
      </c>
      <c r="X11" s="95" t="e">
        <v>#N/A</v>
      </c>
      <c r="Y11" s="95" t="e">
        <v>#N/A</v>
      </c>
      <c r="Z11" s="95" t="e">
        <v>#N/A</v>
      </c>
      <c r="AA11" s="95" t="e">
        <v>#N/A</v>
      </c>
    </row>
    <row r="12" spans="1:27">
      <c r="A12" s="26" t="s">
        <v>2</v>
      </c>
      <c r="B12" s="26" t="s">
        <v>14</v>
      </c>
      <c r="C12" s="26" t="s">
        <v>1</v>
      </c>
      <c r="D12" s="92">
        <v>200</v>
      </c>
      <c r="E12" s="93">
        <v>1000</v>
      </c>
      <c r="F12" s="93">
        <v>2500</v>
      </c>
      <c r="G12" s="93">
        <v>5000</v>
      </c>
      <c r="H12" s="93">
        <v>10000</v>
      </c>
      <c r="I12" s="93">
        <v>80000</v>
      </c>
      <c r="J12" s="93">
        <v>240000</v>
      </c>
      <c r="K12" s="93">
        <v>700000</v>
      </c>
      <c r="L12" s="93">
        <v>1500000</v>
      </c>
      <c r="M12" s="93">
        <v>2000000</v>
      </c>
      <c r="N12" s="93" t="e">
        <v>#N/A</v>
      </c>
      <c r="O12" s="93" t="e">
        <v>#N/A</v>
      </c>
      <c r="P12" s="94">
        <v>6.9444444444444436E-4</v>
      </c>
      <c r="Q12" s="95">
        <v>1.0416666666666666E-2</v>
      </c>
      <c r="R12" s="95">
        <v>8.3333333333333329E-2</v>
      </c>
      <c r="S12" s="95">
        <v>0.16666666666666666</v>
      </c>
      <c r="T12" s="95">
        <v>0.41666666666666669</v>
      </c>
      <c r="U12" s="95">
        <v>0.66666666666666663</v>
      </c>
      <c r="V12" s="95">
        <v>1</v>
      </c>
      <c r="W12" s="95">
        <v>2</v>
      </c>
      <c r="X12" s="95">
        <v>4</v>
      </c>
      <c r="Y12" s="95">
        <v>6</v>
      </c>
      <c r="Z12" s="95" t="e">
        <v>#N/A</v>
      </c>
      <c r="AA12" s="95" t="e">
        <v>#N/A</v>
      </c>
    </row>
    <row r="13" spans="1:27">
      <c r="A13" s="26" t="s">
        <v>20</v>
      </c>
      <c r="B13" s="26" t="s">
        <v>14</v>
      </c>
      <c r="C13" s="26" t="s">
        <v>1</v>
      </c>
      <c r="D13" s="92">
        <v>250</v>
      </c>
      <c r="E13" s="93">
        <v>2500</v>
      </c>
      <c r="F13" s="93">
        <v>10000</v>
      </c>
      <c r="G13" s="93">
        <v>100000</v>
      </c>
      <c r="H13" s="93">
        <v>250000</v>
      </c>
      <c r="I13" s="93">
        <v>750000</v>
      </c>
      <c r="J13" s="93">
        <v>2250000</v>
      </c>
      <c r="K13" s="93">
        <v>6750000</v>
      </c>
      <c r="L13" s="93" t="e">
        <v>#N/A</v>
      </c>
      <c r="M13" s="93" t="e">
        <v>#N/A</v>
      </c>
      <c r="N13" s="93" t="e">
        <v>#N/A</v>
      </c>
      <c r="O13" s="93" t="e">
        <v>#N/A</v>
      </c>
      <c r="P13" s="94">
        <v>3.472222222222222E-3</v>
      </c>
      <c r="Q13" s="95">
        <v>4.1666666666666664E-2</v>
      </c>
      <c r="R13" s="95">
        <v>0.125</v>
      </c>
      <c r="S13" s="95">
        <v>0.33333333333333331</v>
      </c>
      <c r="T13" s="95">
        <v>1</v>
      </c>
      <c r="U13" s="95">
        <v>3</v>
      </c>
      <c r="V13" s="95">
        <v>5</v>
      </c>
      <c r="W13" s="95">
        <v>10</v>
      </c>
      <c r="X13" s="95" t="e">
        <v>#N/A</v>
      </c>
      <c r="Y13" s="95" t="e">
        <v>#N/A</v>
      </c>
      <c r="Z13" s="95" t="e">
        <v>#N/A</v>
      </c>
      <c r="AA13" s="95" t="e">
        <v>#N/A</v>
      </c>
    </row>
    <row r="14" spans="1:27">
      <c r="A14" s="26" t="s">
        <v>22</v>
      </c>
      <c r="B14" s="26" t="s">
        <v>14</v>
      </c>
      <c r="C14" s="26" t="s">
        <v>1</v>
      </c>
      <c r="D14" s="92">
        <v>200000</v>
      </c>
      <c r="E14" s="93">
        <v>400000</v>
      </c>
      <c r="F14" s="93">
        <v>800000</v>
      </c>
      <c r="G14" s="93">
        <v>1600000</v>
      </c>
      <c r="H14" s="93">
        <v>3200000</v>
      </c>
      <c r="I14" s="93" t="e">
        <v>#N/A</v>
      </c>
      <c r="J14" s="93" t="e">
        <v>#N/A</v>
      </c>
      <c r="K14" s="93" t="e">
        <v>#N/A</v>
      </c>
      <c r="L14" s="93" t="e">
        <v>#N/A</v>
      </c>
      <c r="M14" s="93" t="e">
        <v>#N/A</v>
      </c>
      <c r="N14" s="93" t="e">
        <v>#N/A</v>
      </c>
      <c r="O14" s="93" t="e">
        <v>#N/A</v>
      </c>
      <c r="P14" s="94">
        <v>1</v>
      </c>
      <c r="Q14" s="95">
        <v>2</v>
      </c>
      <c r="R14" s="95">
        <v>4</v>
      </c>
      <c r="S14" s="95">
        <v>5</v>
      </c>
      <c r="T14" s="95">
        <v>6</v>
      </c>
      <c r="U14" s="95" t="e">
        <v>#N/A</v>
      </c>
      <c r="V14" s="95" t="e">
        <v>#N/A</v>
      </c>
      <c r="W14" s="95" t="e">
        <v>#N/A</v>
      </c>
      <c r="X14" s="95" t="e">
        <v>#N/A</v>
      </c>
      <c r="Y14" s="95" t="e">
        <v>#N/A</v>
      </c>
      <c r="Z14" s="95" t="e">
        <v>#N/A</v>
      </c>
      <c r="AA14" s="95" t="e">
        <v>#N/A</v>
      </c>
    </row>
    <row r="15" spans="1:27">
      <c r="A15" s="26" t="s">
        <v>5</v>
      </c>
      <c r="B15" s="26" t="s">
        <v>14</v>
      </c>
      <c r="C15" s="26" t="s">
        <v>30</v>
      </c>
      <c r="D15" s="92">
        <v>40000</v>
      </c>
      <c r="E15" s="93">
        <v>100000</v>
      </c>
      <c r="F15" s="93">
        <v>800000</v>
      </c>
      <c r="G15" s="93">
        <v>1800000</v>
      </c>
      <c r="H15" s="93">
        <v>5000000</v>
      </c>
      <c r="I15" s="93">
        <v>7000000</v>
      </c>
      <c r="J15" s="93" t="e">
        <v>#N/A</v>
      </c>
      <c r="K15" s="93" t="e">
        <v>#N/A</v>
      </c>
      <c r="L15" s="93" t="e">
        <v>#N/A</v>
      </c>
      <c r="M15" s="93" t="e">
        <v>#N/A</v>
      </c>
      <c r="N15" s="93" t="e">
        <v>#N/A</v>
      </c>
      <c r="O15" s="93" t="e">
        <v>#N/A</v>
      </c>
      <c r="P15" s="94">
        <v>0</v>
      </c>
      <c r="Q15" s="95">
        <v>0.25</v>
      </c>
      <c r="R15" s="95">
        <v>1</v>
      </c>
      <c r="S15" s="95">
        <v>2</v>
      </c>
      <c r="T15" s="95">
        <v>7</v>
      </c>
      <c r="U15" s="95">
        <v>14</v>
      </c>
      <c r="V15" s="95" t="e">
        <v>#N/A</v>
      </c>
      <c r="W15" s="95" t="e">
        <v>#N/A</v>
      </c>
      <c r="X15" s="95" t="e">
        <v>#N/A</v>
      </c>
      <c r="Y15" s="95" t="e">
        <v>#N/A</v>
      </c>
      <c r="Z15" s="95" t="e">
        <v>#N/A</v>
      </c>
      <c r="AA15" s="95" t="e">
        <v>#N/A</v>
      </c>
    </row>
    <row r="16" spans="1:27">
      <c r="A16" s="26" t="s">
        <v>6</v>
      </c>
      <c r="B16" s="26" t="s">
        <v>14</v>
      </c>
      <c r="C16" s="26" t="s">
        <v>30</v>
      </c>
      <c r="D16" s="92">
        <v>250</v>
      </c>
      <c r="E16" s="93">
        <v>1000</v>
      </c>
      <c r="F16" s="93">
        <v>4000</v>
      </c>
      <c r="G16" s="93">
        <v>16000</v>
      </c>
      <c r="H16" s="93">
        <v>50000</v>
      </c>
      <c r="I16" s="93">
        <v>100000</v>
      </c>
      <c r="J16" s="93">
        <v>200000</v>
      </c>
      <c r="K16" s="93">
        <v>400000</v>
      </c>
      <c r="L16" s="93">
        <v>800000</v>
      </c>
      <c r="M16" s="93">
        <v>1600000</v>
      </c>
      <c r="N16" s="93">
        <v>3200000</v>
      </c>
      <c r="O16" s="93">
        <v>6400000</v>
      </c>
      <c r="P16" s="94">
        <v>6.9444444444444436E-4</v>
      </c>
      <c r="Q16" s="95">
        <v>1.0416666666666666E-2</v>
      </c>
      <c r="R16" s="95">
        <v>3.125E-2</v>
      </c>
      <c r="S16" s="95">
        <v>8.3333333333333329E-2</v>
      </c>
      <c r="T16" s="95">
        <v>0.25</v>
      </c>
      <c r="U16" s="95">
        <v>0.5</v>
      </c>
      <c r="V16" s="95">
        <v>1</v>
      </c>
      <c r="W16" s="95">
        <v>2</v>
      </c>
      <c r="X16" s="95">
        <v>3</v>
      </c>
      <c r="Y16" s="95">
        <v>4</v>
      </c>
      <c r="Z16" s="95">
        <v>5</v>
      </c>
      <c r="AA16" s="95">
        <v>6</v>
      </c>
    </row>
    <row r="17" spans="1:27">
      <c r="A17" s="26" t="s">
        <v>23</v>
      </c>
      <c r="B17" s="26" t="s">
        <v>14</v>
      </c>
      <c r="C17" s="26" t="s">
        <v>30</v>
      </c>
      <c r="D17" s="92">
        <v>1000</v>
      </c>
      <c r="E17" s="93">
        <v>2000</v>
      </c>
      <c r="F17" s="93">
        <v>5000</v>
      </c>
      <c r="G17" s="93">
        <v>20000</v>
      </c>
      <c r="H17" s="93">
        <v>80000</v>
      </c>
      <c r="I17" s="93">
        <v>180000</v>
      </c>
      <c r="J17" s="93">
        <v>360000</v>
      </c>
      <c r="K17" s="93">
        <v>720000</v>
      </c>
      <c r="L17" s="93">
        <v>1500000</v>
      </c>
      <c r="M17" s="93">
        <v>2500000</v>
      </c>
      <c r="N17" s="93">
        <v>5000000</v>
      </c>
      <c r="O17" s="93">
        <v>7500000</v>
      </c>
      <c r="P17" s="94">
        <v>1.0416666666666666E-2</v>
      </c>
      <c r="Q17" s="95">
        <v>2.0833333333333332E-2</v>
      </c>
      <c r="R17" s="95">
        <v>3.125E-2</v>
      </c>
      <c r="S17" s="95">
        <v>0.16666666666666666</v>
      </c>
      <c r="T17" s="95">
        <v>0.5</v>
      </c>
      <c r="U17" s="95">
        <v>1</v>
      </c>
      <c r="V17" s="95">
        <v>2</v>
      </c>
      <c r="W17" s="95">
        <v>3</v>
      </c>
      <c r="X17" s="95">
        <v>4</v>
      </c>
      <c r="Y17" s="95">
        <v>5</v>
      </c>
      <c r="Z17" s="95">
        <v>6</v>
      </c>
      <c r="AA17" s="95">
        <v>7</v>
      </c>
    </row>
    <row r="18" spans="1:27" ht="16" customHeight="1">
      <c r="A18" s="26" t="s">
        <v>24</v>
      </c>
      <c r="B18" s="26" t="s">
        <v>24</v>
      </c>
      <c r="C18" s="26" t="s">
        <v>30</v>
      </c>
      <c r="D18" s="92">
        <v>200</v>
      </c>
      <c r="E18" s="93">
        <v>1000</v>
      </c>
      <c r="F18" s="93">
        <v>5000</v>
      </c>
      <c r="G18" s="93">
        <v>10000</v>
      </c>
      <c r="H18" s="93">
        <v>30000</v>
      </c>
      <c r="I18" s="93">
        <v>75000</v>
      </c>
      <c r="J18" s="93">
        <v>200000</v>
      </c>
      <c r="K18" s="93">
        <v>500000</v>
      </c>
      <c r="L18" s="93">
        <v>1000000</v>
      </c>
      <c r="M18" s="93">
        <v>3000000</v>
      </c>
      <c r="N18" s="93">
        <v>4000000</v>
      </c>
      <c r="O18" s="93" t="e">
        <v>#N/A</v>
      </c>
      <c r="P18" s="94">
        <v>0</v>
      </c>
      <c r="Q18" s="95">
        <v>0</v>
      </c>
      <c r="R18" s="95">
        <v>0</v>
      </c>
      <c r="S18" s="95">
        <v>0</v>
      </c>
      <c r="T18" s="95">
        <v>0</v>
      </c>
      <c r="U18" s="95">
        <v>0</v>
      </c>
      <c r="V18" s="95">
        <v>0</v>
      </c>
      <c r="W18" s="95">
        <v>0</v>
      </c>
      <c r="X18" s="95">
        <v>0</v>
      </c>
      <c r="Y18" s="95">
        <v>0</v>
      </c>
      <c r="Z18" s="95">
        <v>0</v>
      </c>
      <c r="AA18" s="95" t="e">
        <v>#N/A</v>
      </c>
    </row>
    <row r="19" spans="1:27" ht="16" customHeight="1">
      <c r="A19" s="26" t="s">
        <v>7</v>
      </c>
      <c r="B19" s="26" t="s">
        <v>14</v>
      </c>
      <c r="C19" s="26" t="s">
        <v>30</v>
      </c>
      <c r="D19" s="92">
        <v>8000</v>
      </c>
      <c r="E19" s="93">
        <v>32000</v>
      </c>
      <c r="F19" s="93">
        <v>120000</v>
      </c>
      <c r="G19" s="93">
        <v>400000</v>
      </c>
      <c r="H19" s="93">
        <v>800000</v>
      </c>
      <c r="I19" s="93">
        <v>1600000</v>
      </c>
      <c r="J19" s="93">
        <v>3200000</v>
      </c>
      <c r="K19" s="93">
        <v>6400000</v>
      </c>
      <c r="L19" s="93" t="e">
        <v>#N/A</v>
      </c>
      <c r="M19" s="93" t="e">
        <v>#N/A</v>
      </c>
      <c r="N19" s="93" t="e">
        <v>#N/A</v>
      </c>
      <c r="O19" s="93" t="e">
        <v>#N/A</v>
      </c>
      <c r="P19" s="94">
        <v>0.33333333333333331</v>
      </c>
      <c r="Q19" s="95">
        <v>0.5</v>
      </c>
      <c r="R19" s="95">
        <v>1</v>
      </c>
      <c r="S19" s="95">
        <v>2</v>
      </c>
      <c r="T19" s="95">
        <v>4</v>
      </c>
      <c r="U19" s="95">
        <v>5</v>
      </c>
      <c r="V19" s="95">
        <v>7</v>
      </c>
      <c r="W19" s="95">
        <v>10</v>
      </c>
      <c r="X19" s="95" t="e">
        <v>#N/A</v>
      </c>
      <c r="Y19" s="95" t="e">
        <v>#N/A</v>
      </c>
      <c r="Z19" s="95" t="e">
        <v>#N/A</v>
      </c>
      <c r="AA19" s="95" t="e">
        <v>#N/A</v>
      </c>
    </row>
    <row r="20" spans="1:27">
      <c r="A20" s="26" t="s">
        <v>8</v>
      </c>
      <c r="B20" s="26" t="s">
        <v>14</v>
      </c>
      <c r="C20" s="26" t="s">
        <v>30</v>
      </c>
      <c r="D20" s="92">
        <v>400</v>
      </c>
      <c r="E20" s="93">
        <v>1000</v>
      </c>
      <c r="F20" s="93">
        <v>10000</v>
      </c>
      <c r="G20" s="93">
        <v>100000</v>
      </c>
      <c r="H20" s="93">
        <v>1000000</v>
      </c>
      <c r="I20" s="93">
        <v>1500000</v>
      </c>
      <c r="J20" s="93" t="e">
        <v>#N/A</v>
      </c>
      <c r="K20" s="93" t="e">
        <v>#N/A</v>
      </c>
      <c r="L20" s="93" t="e">
        <v>#N/A</v>
      </c>
      <c r="M20" s="93" t="e">
        <v>#N/A</v>
      </c>
      <c r="N20" s="93" t="e">
        <v>#N/A</v>
      </c>
      <c r="O20" s="93" t="e">
        <v>#N/A</v>
      </c>
      <c r="P20" s="94">
        <v>0</v>
      </c>
      <c r="Q20" s="95">
        <v>1.0416666666666666E-2</v>
      </c>
      <c r="R20" s="95">
        <v>8.3333333333333329E-2</v>
      </c>
      <c r="S20" s="95">
        <v>0.33333333333333331</v>
      </c>
      <c r="T20" s="95">
        <v>1</v>
      </c>
      <c r="U20" s="95">
        <v>2</v>
      </c>
      <c r="V20" s="95" t="e">
        <v>#N/A</v>
      </c>
      <c r="W20" s="95" t="e">
        <v>#N/A</v>
      </c>
      <c r="X20" s="95" t="e">
        <v>#N/A</v>
      </c>
      <c r="Y20" s="95" t="e">
        <v>#N/A</v>
      </c>
      <c r="Z20" s="95" t="e">
        <v>#N/A</v>
      </c>
      <c r="AA20" s="95" t="e">
        <v>#N/A</v>
      </c>
    </row>
    <row r="21" spans="1:27">
      <c r="A21" s="26" t="s">
        <v>25</v>
      </c>
      <c r="B21" s="26" t="s">
        <v>14</v>
      </c>
      <c r="C21" s="26" t="s">
        <v>30</v>
      </c>
      <c r="D21" s="92">
        <v>22500</v>
      </c>
      <c r="E21" s="93">
        <v>90000</v>
      </c>
      <c r="F21" s="93">
        <v>270000</v>
      </c>
      <c r="G21" s="93">
        <v>540000</v>
      </c>
      <c r="H21" s="93">
        <v>1080000</v>
      </c>
      <c r="I21" s="93">
        <v>2160000</v>
      </c>
      <c r="J21" s="93">
        <v>4320000</v>
      </c>
      <c r="K21" s="93">
        <v>7560000</v>
      </c>
      <c r="L21" s="93" t="e">
        <v>#N/A</v>
      </c>
      <c r="M21" s="93" t="e">
        <v>#N/A</v>
      </c>
      <c r="N21" s="93" t="e">
        <v>#N/A</v>
      </c>
      <c r="O21" s="93" t="e">
        <v>#N/A</v>
      </c>
      <c r="P21" s="94">
        <v>0.20833333333333334</v>
      </c>
      <c r="Q21" s="95">
        <v>1</v>
      </c>
      <c r="R21" s="95">
        <v>3</v>
      </c>
      <c r="S21" s="95">
        <v>5</v>
      </c>
      <c r="T21" s="95">
        <v>6</v>
      </c>
      <c r="U21" s="95">
        <v>8</v>
      </c>
      <c r="V21" s="95">
        <v>10</v>
      </c>
      <c r="W21" s="95">
        <v>12</v>
      </c>
      <c r="X21" s="95" t="e">
        <v>#N/A</v>
      </c>
      <c r="Y21" s="95" t="e">
        <v>#N/A</v>
      </c>
      <c r="Z21" s="95" t="e">
        <v>#N/A</v>
      </c>
      <c r="AA21" s="95" t="e">
        <v>#N/A</v>
      </c>
    </row>
    <row r="22" spans="1:27">
      <c r="A22" s="26" t="s">
        <v>26</v>
      </c>
      <c r="B22" s="26" t="s">
        <v>14</v>
      </c>
      <c r="C22" s="26" t="s">
        <v>30</v>
      </c>
      <c r="D22" s="92">
        <v>2000</v>
      </c>
      <c r="E22" s="93" t="e">
        <v>#N/A</v>
      </c>
      <c r="F22" s="93" t="e">
        <v>#N/A</v>
      </c>
      <c r="G22" s="93" t="e">
        <v>#N/A</v>
      </c>
      <c r="H22" s="93" t="e">
        <v>#N/A</v>
      </c>
      <c r="I22" s="93" t="e">
        <v>#N/A</v>
      </c>
      <c r="J22" s="93" t="e">
        <v>#N/A</v>
      </c>
      <c r="K22" s="93" t="e">
        <v>#N/A</v>
      </c>
      <c r="L22" s="93" t="e">
        <v>#N/A</v>
      </c>
      <c r="M22" s="93" t="e">
        <v>#N/A</v>
      </c>
      <c r="N22" s="93" t="e">
        <v>#N/A</v>
      </c>
      <c r="O22" s="93" t="e">
        <v>#N/A</v>
      </c>
      <c r="P22" s="94">
        <v>0</v>
      </c>
      <c r="Q22" s="95" t="e">
        <v>#N/A</v>
      </c>
      <c r="R22" s="95" t="e">
        <v>#N/A</v>
      </c>
      <c r="S22" s="95" t="e">
        <v>#N/A</v>
      </c>
      <c r="T22" s="95" t="e">
        <v>#N/A</v>
      </c>
      <c r="U22" s="95" t="e">
        <v>#N/A</v>
      </c>
      <c r="V22" s="95" t="e">
        <v>#N/A</v>
      </c>
      <c r="W22" s="95" t="e">
        <v>#N/A</v>
      </c>
      <c r="X22" s="95" t="e">
        <v>#N/A</v>
      </c>
      <c r="Y22" s="95" t="e">
        <v>#N/A</v>
      </c>
      <c r="Z22" s="95" t="e">
        <v>#N/A</v>
      </c>
      <c r="AA22" s="95" t="e">
        <v>#N/A</v>
      </c>
    </row>
    <row r="23" spans="1:27">
      <c r="A23" s="26" t="s">
        <v>27</v>
      </c>
      <c r="B23" s="26" t="s">
        <v>14</v>
      </c>
      <c r="C23" s="26" t="s">
        <v>30</v>
      </c>
      <c r="D23" s="92">
        <v>180000</v>
      </c>
      <c r="E23" s="93">
        <v>360000</v>
      </c>
      <c r="F23" s="93">
        <v>720000</v>
      </c>
      <c r="G23" s="93">
        <v>1280000</v>
      </c>
      <c r="H23" s="93">
        <v>1960000</v>
      </c>
      <c r="I23" s="93">
        <v>2680000</v>
      </c>
      <c r="J23" s="93">
        <v>5360000</v>
      </c>
      <c r="K23" s="93">
        <v>6480000</v>
      </c>
      <c r="L23" s="93" t="e">
        <v>#N/A</v>
      </c>
      <c r="M23" s="93" t="e">
        <v>#N/A</v>
      </c>
      <c r="N23" s="93" t="e">
        <v>#N/A</v>
      </c>
      <c r="O23" s="93" t="e">
        <v>#N/A</v>
      </c>
      <c r="P23" s="94">
        <v>0.5</v>
      </c>
      <c r="Q23" s="95">
        <v>1</v>
      </c>
      <c r="R23" s="95">
        <v>2</v>
      </c>
      <c r="S23" s="95">
        <v>3</v>
      </c>
      <c r="T23" s="95">
        <v>4</v>
      </c>
      <c r="U23" s="95">
        <v>5</v>
      </c>
      <c r="V23" s="95">
        <v>7</v>
      </c>
      <c r="W23" s="95">
        <v>10</v>
      </c>
      <c r="X23" s="95" t="e">
        <v>#N/A</v>
      </c>
      <c r="Y23" s="95" t="e">
        <v>#N/A</v>
      </c>
      <c r="Z23" s="95" t="e">
        <v>#N/A</v>
      </c>
      <c r="AA23" s="95" t="e">
        <v>#N/A</v>
      </c>
    </row>
    <row r="24" spans="1:27">
      <c r="A24" s="26" t="s">
        <v>9</v>
      </c>
      <c r="B24" s="26" t="s">
        <v>14</v>
      </c>
      <c r="C24" s="26" t="s">
        <v>30</v>
      </c>
      <c r="D24" s="92">
        <v>12500</v>
      </c>
      <c r="E24" s="93">
        <v>75000</v>
      </c>
      <c r="F24" s="93">
        <v>750000</v>
      </c>
      <c r="G24" s="93">
        <v>2500000</v>
      </c>
      <c r="H24" s="93" t="e">
        <v>#N/A</v>
      </c>
      <c r="I24" s="93" t="e">
        <v>#N/A</v>
      </c>
      <c r="J24" s="93" t="e">
        <v>#N/A</v>
      </c>
      <c r="K24" s="93" t="e">
        <v>#N/A</v>
      </c>
      <c r="L24" s="93" t="e">
        <v>#N/A</v>
      </c>
      <c r="M24" s="93" t="e">
        <v>#N/A</v>
      </c>
      <c r="N24" s="93" t="e">
        <v>#N/A</v>
      </c>
      <c r="O24" s="93" t="e">
        <v>#N/A</v>
      </c>
      <c r="P24" s="94">
        <v>0</v>
      </c>
      <c r="Q24" s="95">
        <v>0.25</v>
      </c>
      <c r="R24" s="95">
        <v>1</v>
      </c>
      <c r="S24" s="95">
        <v>3</v>
      </c>
      <c r="T24" s="95" t="e">
        <v>#N/A</v>
      </c>
      <c r="U24" s="95" t="e">
        <v>#N/A</v>
      </c>
      <c r="V24" s="95" t="e">
        <v>#N/A</v>
      </c>
      <c r="W24" s="95" t="e">
        <v>#N/A</v>
      </c>
      <c r="X24" s="95" t="e">
        <v>#N/A</v>
      </c>
      <c r="Y24" s="95" t="e">
        <v>#N/A</v>
      </c>
      <c r="Z24" s="95" t="e">
        <v>#N/A</v>
      </c>
      <c r="AA24" s="95" t="e">
        <v>#N/A</v>
      </c>
    </row>
    <row r="25" spans="1:27">
      <c r="A25" s="26" t="s">
        <v>10</v>
      </c>
      <c r="B25" s="26" t="s">
        <v>14</v>
      </c>
      <c r="C25" s="26" t="s">
        <v>30</v>
      </c>
      <c r="D25" s="92">
        <v>4000</v>
      </c>
      <c r="E25" s="93">
        <v>20000</v>
      </c>
      <c r="F25" s="93">
        <v>200000</v>
      </c>
      <c r="G25" s="93">
        <v>1500000</v>
      </c>
      <c r="H25" s="93" t="e">
        <v>#N/A</v>
      </c>
      <c r="I25" s="93" t="e">
        <v>#N/A</v>
      </c>
      <c r="J25" s="93" t="e">
        <v>#N/A</v>
      </c>
      <c r="K25" s="93" t="e">
        <v>#N/A</v>
      </c>
      <c r="L25" s="93" t="e">
        <v>#N/A</v>
      </c>
      <c r="M25" s="93" t="e">
        <v>#N/A</v>
      </c>
      <c r="N25" s="93" t="e">
        <v>#N/A</v>
      </c>
      <c r="O25" s="93" t="e">
        <v>#N/A</v>
      </c>
      <c r="P25" s="94">
        <v>0</v>
      </c>
      <c r="Q25" s="95">
        <v>0.16666666666666666</v>
      </c>
      <c r="R25" s="95">
        <v>0.5</v>
      </c>
      <c r="S25" s="95">
        <v>1</v>
      </c>
      <c r="T25" s="95" t="e">
        <v>#N/A</v>
      </c>
      <c r="U25" s="95" t="e">
        <v>#N/A</v>
      </c>
      <c r="V25" s="95" t="e">
        <v>#N/A</v>
      </c>
      <c r="W25" s="95" t="e">
        <v>#N/A</v>
      </c>
      <c r="X25" s="95" t="e">
        <v>#N/A</v>
      </c>
      <c r="Y25" s="95" t="e">
        <v>#N/A</v>
      </c>
      <c r="Z25" s="95" t="e">
        <v>#N/A</v>
      </c>
      <c r="AA25" s="95" t="e">
        <v>#N/A</v>
      </c>
    </row>
    <row r="26" spans="1:27">
      <c r="A26" s="26" t="s">
        <v>28</v>
      </c>
      <c r="B26" s="26" t="s">
        <v>14</v>
      </c>
      <c r="C26" s="26" t="s">
        <v>30</v>
      </c>
      <c r="D26" s="92">
        <v>15000</v>
      </c>
      <c r="E26" s="93">
        <v>2000000</v>
      </c>
      <c r="F26" s="93">
        <v>4000000</v>
      </c>
      <c r="G26" s="93" t="e">
        <v>#N/A</v>
      </c>
      <c r="H26" s="93" t="e">
        <v>#N/A</v>
      </c>
      <c r="I26" s="93" t="e">
        <v>#N/A</v>
      </c>
      <c r="J26" s="93" t="e">
        <v>#N/A</v>
      </c>
      <c r="K26" s="93" t="e">
        <v>#N/A</v>
      </c>
      <c r="L26" s="93" t="e">
        <v>#N/A</v>
      </c>
      <c r="M26" s="93" t="e">
        <v>#N/A</v>
      </c>
      <c r="N26" s="93" t="e">
        <v>#N/A</v>
      </c>
      <c r="O26" s="93" t="e">
        <v>#N/A</v>
      </c>
      <c r="P26" s="94">
        <v>0</v>
      </c>
      <c r="Q26" s="95">
        <v>1</v>
      </c>
      <c r="R26" s="95">
        <v>3</v>
      </c>
      <c r="S26" s="95" t="e">
        <v>#N/A</v>
      </c>
      <c r="T26" s="95" t="e">
        <v>#N/A</v>
      </c>
      <c r="U26" s="95" t="e">
        <v>#N/A</v>
      </c>
      <c r="V26" s="95" t="e">
        <v>#N/A</v>
      </c>
      <c r="W26" s="95" t="e">
        <v>#N/A</v>
      </c>
      <c r="X26" s="95" t="e">
        <v>#N/A</v>
      </c>
      <c r="Y26" s="95" t="e">
        <v>#N/A</v>
      </c>
      <c r="Z26" s="95" t="e">
        <v>#N/A</v>
      </c>
      <c r="AA26" s="95" t="e">
        <v>#N/A</v>
      </c>
    </row>
    <row r="27" spans="1:27">
      <c r="A27" s="26" t="s">
        <v>11</v>
      </c>
      <c r="B27" s="26" t="s">
        <v>14</v>
      </c>
      <c r="C27" s="26" t="s">
        <v>30</v>
      </c>
      <c r="D27" s="92">
        <v>1000000</v>
      </c>
      <c r="E27" s="93">
        <v>1250000</v>
      </c>
      <c r="F27" s="93">
        <v>1500000</v>
      </c>
      <c r="G27" s="93">
        <v>2000000</v>
      </c>
      <c r="H27" s="93">
        <v>2500000</v>
      </c>
      <c r="I27" s="93">
        <v>3000000</v>
      </c>
      <c r="J27" s="93">
        <v>3500000</v>
      </c>
      <c r="K27" s="93">
        <v>5000000</v>
      </c>
      <c r="L27" s="93" t="e">
        <v>#N/A</v>
      </c>
      <c r="M27" s="93" t="e">
        <v>#N/A</v>
      </c>
      <c r="N27" s="93" t="e">
        <v>#N/A</v>
      </c>
      <c r="O27" s="93" t="e">
        <v>#N/A</v>
      </c>
      <c r="P27" s="94">
        <v>1</v>
      </c>
      <c r="Q27" s="95">
        <v>3</v>
      </c>
      <c r="R27" s="95">
        <v>5</v>
      </c>
      <c r="S27" s="95">
        <v>6</v>
      </c>
      <c r="T27" s="95">
        <v>8</v>
      </c>
      <c r="U27" s="95">
        <v>10</v>
      </c>
      <c r="V27" s="95">
        <v>12</v>
      </c>
      <c r="W27" s="95">
        <v>14</v>
      </c>
      <c r="X27" s="95" t="e">
        <v>#N/A</v>
      </c>
      <c r="Y27" s="95" t="e">
        <v>#N/A</v>
      </c>
      <c r="Z27" s="95" t="e">
        <v>#N/A</v>
      </c>
      <c r="AA27" s="95" t="e">
        <v>#N/A</v>
      </c>
    </row>
    <row r="28" spans="1:27">
      <c r="A28" s="26" t="s">
        <v>12</v>
      </c>
      <c r="B28" s="26" t="s">
        <v>14</v>
      </c>
      <c r="C28" s="26" t="s">
        <v>30</v>
      </c>
      <c r="D28" s="92">
        <v>3000000</v>
      </c>
      <c r="E28" s="93">
        <v>5000000</v>
      </c>
      <c r="F28" s="93">
        <v>7000000</v>
      </c>
      <c r="G28" s="93">
        <v>8000000</v>
      </c>
      <c r="H28" s="93" t="e">
        <v>#N/A</v>
      </c>
      <c r="I28" s="93" t="e">
        <v>#N/A</v>
      </c>
      <c r="J28" s="93" t="e">
        <v>#N/A</v>
      </c>
      <c r="K28" s="93" t="e">
        <v>#N/A</v>
      </c>
      <c r="L28" s="93" t="e">
        <v>#N/A</v>
      </c>
      <c r="M28" s="93" t="e">
        <v>#N/A</v>
      </c>
      <c r="N28" s="93" t="e">
        <v>#N/A</v>
      </c>
      <c r="O28" s="93" t="e">
        <v>#N/A</v>
      </c>
      <c r="P28" s="94">
        <v>7</v>
      </c>
      <c r="Q28" s="95">
        <v>10</v>
      </c>
      <c r="R28" s="95">
        <v>14</v>
      </c>
      <c r="S28" s="95">
        <v>14</v>
      </c>
      <c r="T28" s="95" t="e">
        <v>#N/A</v>
      </c>
      <c r="U28" s="95" t="e">
        <v>#N/A</v>
      </c>
      <c r="V28" s="95" t="e">
        <v>#N/A</v>
      </c>
      <c r="W28" s="95" t="e">
        <v>#N/A</v>
      </c>
      <c r="X28" s="95" t="e">
        <v>#N/A</v>
      </c>
      <c r="Y28" s="95" t="e">
        <v>#N/A</v>
      </c>
      <c r="Z28" s="95" t="e">
        <v>#N/A</v>
      </c>
      <c r="AA28" s="95" t="e">
        <v>#N/A</v>
      </c>
    </row>
    <row r="29" spans="1:27">
      <c r="A29" s="26" t="s">
        <v>29</v>
      </c>
      <c r="B29" s="26" t="s">
        <v>14</v>
      </c>
      <c r="C29" s="26" t="s">
        <v>30</v>
      </c>
      <c r="D29" s="92">
        <v>5000000</v>
      </c>
      <c r="E29" s="93">
        <v>6500000</v>
      </c>
      <c r="F29" s="93">
        <v>8000000</v>
      </c>
      <c r="G29" s="93" t="e">
        <v>#N/A</v>
      </c>
      <c r="H29" s="93" t="e">
        <v>#N/A</v>
      </c>
      <c r="I29" s="93" t="e">
        <v>#N/A</v>
      </c>
      <c r="J29" s="93" t="e">
        <v>#N/A</v>
      </c>
      <c r="K29" s="93" t="e">
        <v>#N/A</v>
      </c>
      <c r="L29" s="93" t="e">
        <v>#N/A</v>
      </c>
      <c r="M29" s="93" t="e">
        <v>#N/A</v>
      </c>
      <c r="N29" s="93" t="e">
        <v>#N/A</v>
      </c>
      <c r="O29" s="93" t="e">
        <v>#N/A</v>
      </c>
      <c r="P29" s="94">
        <v>7</v>
      </c>
      <c r="Q29" s="95">
        <v>10</v>
      </c>
      <c r="R29" s="95">
        <v>14</v>
      </c>
      <c r="S29" s="95" t="e">
        <v>#N/A</v>
      </c>
      <c r="T29" s="95" t="e">
        <v>#N/A</v>
      </c>
      <c r="U29" s="95" t="e">
        <v>#N/A</v>
      </c>
      <c r="V29" s="95" t="e">
        <v>#N/A</v>
      </c>
      <c r="W29" s="95" t="e">
        <v>#N/A</v>
      </c>
      <c r="X29" s="95" t="e">
        <v>#N/A</v>
      </c>
      <c r="Y29" s="95" t="e">
        <v>#N/A</v>
      </c>
      <c r="Z29" s="95" t="e">
        <v>#N/A</v>
      </c>
      <c r="AA29" s="95" t="e">
        <v>#N/A</v>
      </c>
    </row>
    <row r="30" spans="1:27">
      <c r="A30" s="26" t="s">
        <v>106</v>
      </c>
      <c r="B30" s="26" t="s">
        <v>14</v>
      </c>
      <c r="C30" s="26" t="s">
        <v>103</v>
      </c>
      <c r="D30" s="92">
        <v>10000</v>
      </c>
      <c r="E30" s="93" t="e">
        <v>#N/A</v>
      </c>
      <c r="F30" s="93" t="e">
        <v>#N/A</v>
      </c>
      <c r="G30" s="93" t="e">
        <v>#N/A</v>
      </c>
      <c r="H30" s="93" t="e">
        <v>#N/A</v>
      </c>
      <c r="I30" s="93" t="e">
        <v>#N/A</v>
      </c>
      <c r="J30" s="93" t="e">
        <v>#N/A</v>
      </c>
      <c r="K30" s="93" t="e">
        <v>#N/A</v>
      </c>
      <c r="L30" s="93" t="e">
        <v>#N/A</v>
      </c>
      <c r="M30" s="93" t="e">
        <v>#N/A</v>
      </c>
      <c r="N30" s="93" t="e">
        <v>#N/A</v>
      </c>
      <c r="O30" s="93" t="e">
        <v>#N/A</v>
      </c>
      <c r="P30" s="94">
        <v>0</v>
      </c>
      <c r="Q30" s="95" t="e">
        <v>#N/A</v>
      </c>
      <c r="R30" s="95" t="e">
        <v>#N/A</v>
      </c>
      <c r="S30" s="95" t="e">
        <v>#N/A</v>
      </c>
      <c r="T30" s="95" t="e">
        <v>#N/A</v>
      </c>
      <c r="U30" s="95" t="e">
        <v>#N/A</v>
      </c>
      <c r="V30" s="95" t="e">
        <v>#N/A</v>
      </c>
      <c r="W30" s="95" t="e">
        <v>#N/A</v>
      </c>
      <c r="X30" s="95" t="e">
        <v>#N/A</v>
      </c>
      <c r="Y30" s="95" t="e">
        <v>#N/A</v>
      </c>
      <c r="Z30" s="95" t="e">
        <v>#N/A</v>
      </c>
      <c r="AA30" s="95" t="e">
        <v>#N/A</v>
      </c>
    </row>
    <row r="31" spans="1:27">
      <c r="A31" s="26" t="s">
        <v>107</v>
      </c>
      <c r="B31" s="26" t="s">
        <v>14</v>
      </c>
      <c r="C31" s="26" t="s">
        <v>103</v>
      </c>
      <c r="D31" s="92">
        <v>40000</v>
      </c>
      <c r="E31" s="93" t="e">
        <v>#N/A</v>
      </c>
      <c r="F31" s="93" t="e">
        <v>#N/A</v>
      </c>
      <c r="G31" s="93" t="e">
        <v>#N/A</v>
      </c>
      <c r="H31" s="93" t="e">
        <v>#N/A</v>
      </c>
      <c r="I31" s="93" t="e">
        <v>#N/A</v>
      </c>
      <c r="J31" s="93" t="e">
        <v>#N/A</v>
      </c>
      <c r="K31" s="93" t="e">
        <v>#N/A</v>
      </c>
      <c r="L31" s="93" t="e">
        <v>#N/A</v>
      </c>
      <c r="M31" s="93" t="e">
        <v>#N/A</v>
      </c>
      <c r="N31" s="93" t="e">
        <v>#N/A</v>
      </c>
      <c r="O31" s="93" t="e">
        <v>#N/A</v>
      </c>
      <c r="P31" s="94">
        <v>0</v>
      </c>
      <c r="Q31" s="95" t="e">
        <v>#N/A</v>
      </c>
      <c r="R31" s="95" t="e">
        <v>#N/A</v>
      </c>
      <c r="S31" s="95" t="e">
        <v>#N/A</v>
      </c>
      <c r="T31" s="95" t="e">
        <v>#N/A</v>
      </c>
      <c r="U31" s="95" t="e">
        <v>#N/A</v>
      </c>
      <c r="V31" s="95" t="e">
        <v>#N/A</v>
      </c>
      <c r="W31" s="95" t="e">
        <v>#N/A</v>
      </c>
      <c r="X31" s="95" t="e">
        <v>#N/A</v>
      </c>
      <c r="Y31" s="95" t="e">
        <v>#N/A</v>
      </c>
      <c r="Z31" s="95" t="e">
        <v>#N/A</v>
      </c>
      <c r="AA31" s="95" t="e">
        <v>#N/A</v>
      </c>
    </row>
    <row r="32" spans="1:27">
      <c r="A32" s="74" t="s">
        <v>83</v>
      </c>
      <c r="B32" s="74" t="s">
        <v>72</v>
      </c>
      <c r="C32" s="74" t="s">
        <v>1</v>
      </c>
      <c r="D32" s="92" t="e">
        <v>#N/A</v>
      </c>
      <c r="E32" s="93">
        <v>50000</v>
      </c>
      <c r="F32" s="93">
        <v>150000</v>
      </c>
      <c r="G32" s="93">
        <v>500000</v>
      </c>
      <c r="H32" s="93">
        <v>1500000</v>
      </c>
      <c r="I32" s="93">
        <v>4500000</v>
      </c>
      <c r="J32" s="93" t="e">
        <v>#N/A</v>
      </c>
      <c r="K32" s="93" t="e">
        <v>#N/A</v>
      </c>
      <c r="L32" s="93" t="e">
        <v>#N/A</v>
      </c>
      <c r="M32" s="93" t="e">
        <v>#N/A</v>
      </c>
      <c r="N32" s="93" t="e">
        <v>#N/A</v>
      </c>
      <c r="O32" s="93" t="e">
        <v>#N/A</v>
      </c>
      <c r="P32" s="96" t="e">
        <v>#N/A</v>
      </c>
      <c r="Q32" s="95">
        <v>0.25</v>
      </c>
      <c r="R32" s="95">
        <v>1</v>
      </c>
      <c r="S32" s="95">
        <v>3</v>
      </c>
      <c r="T32" s="95">
        <v>5</v>
      </c>
      <c r="U32" s="95">
        <v>10</v>
      </c>
      <c r="V32" s="95" t="e">
        <v>#N/A</v>
      </c>
      <c r="W32" s="95" t="e">
        <v>#N/A</v>
      </c>
      <c r="X32" s="95" t="e">
        <v>#N/A</v>
      </c>
      <c r="Y32" s="95" t="e">
        <v>#N/A</v>
      </c>
      <c r="Z32" s="95" t="e">
        <v>#N/A</v>
      </c>
      <c r="AA32" s="95" t="e">
        <v>#N/A</v>
      </c>
    </row>
    <row r="33" spans="1:27">
      <c r="A33" s="74" t="s">
        <v>84</v>
      </c>
      <c r="B33" s="74" t="s">
        <v>72</v>
      </c>
      <c r="C33" s="74" t="s">
        <v>1</v>
      </c>
      <c r="D33" s="92" t="e">
        <v>#N/A</v>
      </c>
      <c r="E33" s="93">
        <v>50000</v>
      </c>
      <c r="F33" s="93">
        <v>250000</v>
      </c>
      <c r="G33" s="93">
        <v>750000</v>
      </c>
      <c r="H33" s="93">
        <v>2250000</v>
      </c>
      <c r="I33" s="93">
        <v>7500000</v>
      </c>
      <c r="J33" s="93" t="e">
        <v>#N/A</v>
      </c>
      <c r="K33" s="93" t="e">
        <v>#N/A</v>
      </c>
      <c r="L33" s="93" t="e">
        <v>#N/A</v>
      </c>
      <c r="M33" s="93" t="e">
        <v>#N/A</v>
      </c>
      <c r="N33" s="93" t="e">
        <v>#N/A</v>
      </c>
      <c r="O33" s="93" t="e">
        <v>#N/A</v>
      </c>
      <c r="P33" s="94" t="e">
        <v>#N/A</v>
      </c>
      <c r="Q33" s="95">
        <v>0.5</v>
      </c>
      <c r="R33" s="95">
        <v>2</v>
      </c>
      <c r="S33" s="95">
        <v>3</v>
      </c>
      <c r="T33" s="95">
        <v>5</v>
      </c>
      <c r="U33" s="95">
        <v>14</v>
      </c>
      <c r="V33" s="95" t="e">
        <v>#N/A</v>
      </c>
      <c r="W33" s="95" t="e">
        <v>#N/A</v>
      </c>
      <c r="X33" s="95" t="e">
        <v>#N/A</v>
      </c>
      <c r="Y33" s="95" t="e">
        <v>#N/A</v>
      </c>
      <c r="Z33" s="95" t="e">
        <v>#N/A</v>
      </c>
      <c r="AA33" s="95" t="e">
        <v>#N/A</v>
      </c>
    </row>
    <row r="34" spans="1:27">
      <c r="A34" s="74" t="s">
        <v>85</v>
      </c>
      <c r="B34" s="74" t="s">
        <v>72</v>
      </c>
      <c r="C34" s="74" t="s">
        <v>1</v>
      </c>
      <c r="D34" s="92" t="e">
        <v>#N/A</v>
      </c>
      <c r="E34" s="93">
        <v>50000</v>
      </c>
      <c r="F34" s="93">
        <v>250000</v>
      </c>
      <c r="G34" s="93">
        <v>750000</v>
      </c>
      <c r="H34" s="93">
        <v>2250000</v>
      </c>
      <c r="I34" s="93">
        <v>4500000</v>
      </c>
      <c r="J34" s="93" t="e">
        <v>#N/A</v>
      </c>
      <c r="K34" s="93" t="e">
        <v>#N/A</v>
      </c>
      <c r="L34" s="93" t="e">
        <v>#N/A</v>
      </c>
      <c r="M34" s="93" t="e">
        <v>#N/A</v>
      </c>
      <c r="N34" s="93" t="e">
        <v>#N/A</v>
      </c>
      <c r="O34" s="93" t="e">
        <v>#N/A</v>
      </c>
      <c r="P34" s="94" t="e">
        <v>#N/A</v>
      </c>
      <c r="Q34" s="95">
        <v>0.5</v>
      </c>
      <c r="R34" s="95">
        <v>2</v>
      </c>
      <c r="S34" s="95">
        <v>3</v>
      </c>
      <c r="T34" s="95">
        <v>5</v>
      </c>
      <c r="U34" s="95">
        <v>10</v>
      </c>
      <c r="V34" s="95" t="e">
        <v>#N/A</v>
      </c>
      <c r="W34" s="95" t="e">
        <v>#N/A</v>
      </c>
      <c r="X34" s="95" t="e">
        <v>#N/A</v>
      </c>
      <c r="Y34" s="95" t="e">
        <v>#N/A</v>
      </c>
      <c r="Z34" s="95" t="e">
        <v>#N/A</v>
      </c>
      <c r="AA34" s="95" t="e">
        <v>#N/A</v>
      </c>
    </row>
    <row r="35" spans="1:27">
      <c r="A35" s="74" t="s">
        <v>86</v>
      </c>
      <c r="B35" s="74" t="s">
        <v>72</v>
      </c>
      <c r="C35" s="74" t="s">
        <v>1</v>
      </c>
      <c r="D35" s="92" t="e">
        <v>#N/A</v>
      </c>
      <c r="E35" s="93">
        <v>100000</v>
      </c>
      <c r="F35" s="93">
        <v>250000</v>
      </c>
      <c r="G35" s="93">
        <v>750000</v>
      </c>
      <c r="H35" s="93">
        <v>2250000</v>
      </c>
      <c r="I35" s="93">
        <v>6000000</v>
      </c>
      <c r="J35" s="93" t="e">
        <v>#N/A</v>
      </c>
      <c r="K35" s="93" t="e">
        <v>#N/A</v>
      </c>
      <c r="L35" s="93" t="e">
        <v>#N/A</v>
      </c>
      <c r="M35" s="93" t="e">
        <v>#N/A</v>
      </c>
      <c r="N35" s="93" t="e">
        <v>#N/A</v>
      </c>
      <c r="O35" s="93" t="e">
        <v>#N/A</v>
      </c>
      <c r="P35" s="94" t="e">
        <v>#N/A</v>
      </c>
      <c r="Q35" s="95">
        <v>1</v>
      </c>
      <c r="R35" s="95">
        <v>2</v>
      </c>
      <c r="S35" s="95">
        <v>3</v>
      </c>
      <c r="T35" s="95">
        <v>5</v>
      </c>
      <c r="U35" s="95">
        <v>10</v>
      </c>
      <c r="V35" s="95" t="e">
        <v>#N/A</v>
      </c>
      <c r="W35" s="95" t="e">
        <v>#N/A</v>
      </c>
      <c r="X35" s="95" t="e">
        <v>#N/A</v>
      </c>
      <c r="Y35" s="95" t="e">
        <v>#N/A</v>
      </c>
      <c r="Z35" s="95" t="e">
        <v>#N/A</v>
      </c>
      <c r="AA35" s="95" t="e">
        <v>#N/A</v>
      </c>
    </row>
    <row r="36" spans="1:27">
      <c r="A36" s="74" t="s">
        <v>87</v>
      </c>
      <c r="B36" s="74" t="s">
        <v>72</v>
      </c>
      <c r="C36" s="74" t="s">
        <v>1</v>
      </c>
      <c r="D36" s="92" t="e">
        <v>#N/A</v>
      </c>
      <c r="E36" s="93">
        <v>100000</v>
      </c>
      <c r="F36" s="93">
        <v>250000</v>
      </c>
      <c r="G36" s="93">
        <v>750000</v>
      </c>
      <c r="H36" s="93">
        <v>2250000</v>
      </c>
      <c r="I36" s="93">
        <v>6750000</v>
      </c>
      <c r="J36" s="93" t="e">
        <v>#N/A</v>
      </c>
      <c r="K36" s="93" t="e">
        <v>#N/A</v>
      </c>
      <c r="L36" s="93" t="e">
        <v>#N/A</v>
      </c>
      <c r="M36" s="93" t="e">
        <v>#N/A</v>
      </c>
      <c r="N36" s="93" t="e">
        <v>#N/A</v>
      </c>
      <c r="O36" s="93" t="e">
        <v>#N/A</v>
      </c>
      <c r="P36" s="94" t="e">
        <v>#N/A</v>
      </c>
      <c r="Q36" s="95">
        <v>1</v>
      </c>
      <c r="R36" s="95">
        <v>2</v>
      </c>
      <c r="S36" s="95">
        <v>3</v>
      </c>
      <c r="T36" s="95">
        <v>5</v>
      </c>
      <c r="U36" s="95">
        <v>10</v>
      </c>
      <c r="V36" s="95" t="e">
        <v>#N/A</v>
      </c>
      <c r="W36" s="95" t="e">
        <v>#N/A</v>
      </c>
      <c r="X36" s="95" t="e">
        <v>#N/A</v>
      </c>
      <c r="Y36" s="95" t="e">
        <v>#N/A</v>
      </c>
      <c r="Z36" s="95" t="e">
        <v>#N/A</v>
      </c>
      <c r="AA36" s="95" t="e">
        <v>#N/A</v>
      </c>
    </row>
    <row r="37" spans="1:27">
      <c r="A37" s="74" t="s">
        <v>88</v>
      </c>
      <c r="B37" s="74" t="s">
        <v>72</v>
      </c>
      <c r="C37" s="74" t="s">
        <v>1</v>
      </c>
      <c r="D37" s="92" t="e">
        <v>#N/A</v>
      </c>
      <c r="E37" s="93">
        <v>150000</v>
      </c>
      <c r="F37" s="93">
        <v>450000</v>
      </c>
      <c r="G37" s="93">
        <v>1350000</v>
      </c>
      <c r="H37" s="93">
        <v>2500000</v>
      </c>
      <c r="I37" s="93">
        <v>6000000</v>
      </c>
      <c r="J37" s="93" t="e">
        <v>#N/A</v>
      </c>
      <c r="K37" s="93" t="e">
        <v>#N/A</v>
      </c>
      <c r="L37" s="93" t="e">
        <v>#N/A</v>
      </c>
      <c r="M37" s="93" t="e">
        <v>#N/A</v>
      </c>
      <c r="N37" s="93" t="e">
        <v>#N/A</v>
      </c>
      <c r="O37" s="93" t="e">
        <v>#N/A</v>
      </c>
      <c r="P37" s="94" t="e">
        <v>#N/A</v>
      </c>
      <c r="Q37" s="95">
        <v>1</v>
      </c>
      <c r="R37" s="95">
        <v>2</v>
      </c>
      <c r="S37" s="95">
        <v>3</v>
      </c>
      <c r="T37" s="95">
        <v>5</v>
      </c>
      <c r="U37" s="95">
        <v>10</v>
      </c>
      <c r="V37" s="95" t="e">
        <v>#N/A</v>
      </c>
      <c r="W37" s="95" t="e">
        <v>#N/A</v>
      </c>
      <c r="X37" s="95" t="e">
        <v>#N/A</v>
      </c>
      <c r="Y37" s="95" t="e">
        <v>#N/A</v>
      </c>
      <c r="Z37" s="95" t="e">
        <v>#N/A</v>
      </c>
      <c r="AA37" s="95" t="e">
        <v>#N/A</v>
      </c>
    </row>
    <row r="38" spans="1:27">
      <c r="A38" s="74" t="s">
        <v>89</v>
      </c>
      <c r="B38" s="74" t="s">
        <v>72</v>
      </c>
      <c r="C38" s="74" t="s">
        <v>1</v>
      </c>
      <c r="D38" s="92" t="e">
        <v>#N/A</v>
      </c>
      <c r="E38" s="93">
        <v>150000</v>
      </c>
      <c r="F38" s="93">
        <v>450000</v>
      </c>
      <c r="G38" s="93">
        <v>1350000</v>
      </c>
      <c r="H38" s="93">
        <v>2500000</v>
      </c>
      <c r="I38" s="93">
        <v>7500000</v>
      </c>
      <c r="J38" s="93" t="e">
        <v>#N/A</v>
      </c>
      <c r="K38" s="93" t="e">
        <v>#N/A</v>
      </c>
      <c r="L38" s="93" t="e">
        <v>#N/A</v>
      </c>
      <c r="M38" s="93" t="e">
        <v>#N/A</v>
      </c>
      <c r="N38" s="93" t="e">
        <v>#N/A</v>
      </c>
      <c r="O38" s="93" t="e">
        <v>#N/A</v>
      </c>
      <c r="P38" s="94" t="e">
        <v>#N/A</v>
      </c>
      <c r="Q38" s="95">
        <v>1</v>
      </c>
      <c r="R38" s="95">
        <v>2</v>
      </c>
      <c r="S38" s="95">
        <v>3</v>
      </c>
      <c r="T38" s="95">
        <v>5</v>
      </c>
      <c r="U38" s="95">
        <v>14</v>
      </c>
      <c r="V38" s="95" t="e">
        <v>#N/A</v>
      </c>
      <c r="W38" s="95" t="e">
        <v>#N/A</v>
      </c>
      <c r="X38" s="95" t="e">
        <v>#N/A</v>
      </c>
      <c r="Y38" s="95" t="e">
        <v>#N/A</v>
      </c>
      <c r="Z38" s="95" t="e">
        <v>#N/A</v>
      </c>
      <c r="AA38" s="95" t="e">
        <v>#N/A</v>
      </c>
    </row>
    <row r="39" spans="1:27">
      <c r="A39" s="74" t="s">
        <v>90</v>
      </c>
      <c r="B39" s="74" t="s">
        <v>72</v>
      </c>
      <c r="C39" s="74" t="s">
        <v>1</v>
      </c>
      <c r="D39" s="92" t="e">
        <v>#N/A</v>
      </c>
      <c r="E39" s="93">
        <v>750000</v>
      </c>
      <c r="F39" s="93">
        <v>1500000</v>
      </c>
      <c r="G39" s="93">
        <v>3000000</v>
      </c>
      <c r="H39" s="93" t="e">
        <v>#N/A</v>
      </c>
      <c r="I39" s="93" t="e">
        <v>#N/A</v>
      </c>
      <c r="J39" s="93" t="e">
        <v>#N/A</v>
      </c>
      <c r="K39" s="93" t="e">
        <v>#N/A</v>
      </c>
      <c r="L39" s="93" t="e">
        <v>#N/A</v>
      </c>
      <c r="M39" s="93" t="e">
        <v>#N/A</v>
      </c>
      <c r="N39" s="93" t="e">
        <v>#N/A</v>
      </c>
      <c r="O39" s="93" t="e">
        <v>#N/A</v>
      </c>
      <c r="P39" s="94" t="e">
        <v>#N/A</v>
      </c>
      <c r="Q39" s="95">
        <v>3</v>
      </c>
      <c r="R39" s="95">
        <v>5</v>
      </c>
      <c r="S39" s="95">
        <v>7</v>
      </c>
      <c r="T39" s="95" t="e">
        <v>#N/A</v>
      </c>
      <c r="U39" s="95" t="e">
        <v>#N/A</v>
      </c>
      <c r="V39" s="95" t="e">
        <v>#N/A</v>
      </c>
      <c r="W39" s="95" t="e">
        <v>#N/A</v>
      </c>
      <c r="X39" s="95" t="e">
        <v>#N/A</v>
      </c>
      <c r="Y39" s="95" t="e">
        <v>#N/A</v>
      </c>
      <c r="Z39" s="95" t="e">
        <v>#N/A</v>
      </c>
      <c r="AA39" s="95" t="e">
        <v>#N/A</v>
      </c>
    </row>
    <row r="40" spans="1:27">
      <c r="A40" s="74" t="s">
        <v>91</v>
      </c>
      <c r="B40" s="74" t="s">
        <v>72</v>
      </c>
      <c r="C40" s="74" t="s">
        <v>1</v>
      </c>
      <c r="D40" s="92" t="e">
        <v>#N/A</v>
      </c>
      <c r="E40" s="93">
        <v>2000000</v>
      </c>
      <c r="F40" s="93">
        <v>3000000</v>
      </c>
      <c r="G40" s="93">
        <v>8000000</v>
      </c>
      <c r="H40" s="93" t="e">
        <v>#N/A</v>
      </c>
      <c r="I40" s="93" t="e">
        <v>#N/A</v>
      </c>
      <c r="J40" s="93" t="e">
        <v>#N/A</v>
      </c>
      <c r="K40" s="93" t="e">
        <v>#N/A</v>
      </c>
      <c r="L40" s="93" t="e">
        <v>#N/A</v>
      </c>
      <c r="M40" s="93" t="e">
        <v>#N/A</v>
      </c>
      <c r="N40" s="93" t="e">
        <v>#N/A</v>
      </c>
      <c r="O40" s="93" t="e">
        <v>#N/A</v>
      </c>
      <c r="P40" s="94" t="e">
        <v>#N/A</v>
      </c>
      <c r="Q40" s="95">
        <v>7</v>
      </c>
      <c r="R40" s="95">
        <v>10</v>
      </c>
      <c r="S40" s="95">
        <v>14</v>
      </c>
      <c r="T40" s="95" t="e">
        <v>#N/A</v>
      </c>
      <c r="U40" s="95" t="e">
        <v>#N/A</v>
      </c>
      <c r="V40" s="95" t="e">
        <v>#N/A</v>
      </c>
      <c r="W40" s="95" t="e">
        <v>#N/A</v>
      </c>
      <c r="X40" s="95" t="e">
        <v>#N/A</v>
      </c>
      <c r="Y40" s="95" t="e">
        <v>#N/A</v>
      </c>
      <c r="Z40" s="95" t="e">
        <v>#N/A</v>
      </c>
      <c r="AA40" s="95" t="e">
        <v>#N/A</v>
      </c>
    </row>
    <row r="41" spans="1:27">
      <c r="A41" s="74" t="s">
        <v>92</v>
      </c>
      <c r="B41" s="74" t="s">
        <v>72</v>
      </c>
      <c r="C41" s="74" t="s">
        <v>1</v>
      </c>
      <c r="D41" s="92" t="e">
        <v>#N/A</v>
      </c>
      <c r="E41" s="93">
        <v>3000000</v>
      </c>
      <c r="F41" s="93">
        <v>6000000</v>
      </c>
      <c r="G41" s="93">
        <v>7000000</v>
      </c>
      <c r="H41" s="93">
        <v>8000000</v>
      </c>
      <c r="I41" s="93" t="e">
        <v>#N/A</v>
      </c>
      <c r="J41" s="93" t="e">
        <v>#N/A</v>
      </c>
      <c r="K41" s="93" t="e">
        <v>#N/A</v>
      </c>
      <c r="L41" s="93" t="e">
        <v>#N/A</v>
      </c>
      <c r="M41" s="93" t="e">
        <v>#N/A</v>
      </c>
      <c r="N41" s="93" t="e">
        <v>#N/A</v>
      </c>
      <c r="O41" s="93" t="e">
        <v>#N/A</v>
      </c>
      <c r="P41" s="94" t="e">
        <v>#N/A</v>
      </c>
      <c r="Q41" s="95">
        <v>10</v>
      </c>
      <c r="R41" s="95">
        <v>12</v>
      </c>
      <c r="S41" s="95">
        <v>14</v>
      </c>
      <c r="T41" s="95">
        <v>14</v>
      </c>
      <c r="U41" s="95" t="e">
        <v>#N/A</v>
      </c>
      <c r="V41" s="95" t="e">
        <v>#N/A</v>
      </c>
      <c r="W41" s="95" t="e">
        <v>#N/A</v>
      </c>
      <c r="X41" s="95" t="e">
        <v>#N/A</v>
      </c>
      <c r="Y41" s="95" t="e">
        <v>#N/A</v>
      </c>
      <c r="Z41" s="95" t="e">
        <v>#N/A</v>
      </c>
      <c r="AA41" s="95" t="e">
        <v>#N/A</v>
      </c>
    </row>
    <row r="42" spans="1:27">
      <c r="A42" s="74" t="s">
        <v>93</v>
      </c>
      <c r="B42" s="74" t="s">
        <v>72</v>
      </c>
      <c r="C42" s="74" t="s">
        <v>1</v>
      </c>
      <c r="D42" s="92" t="e">
        <v>#N/A</v>
      </c>
      <c r="E42" s="93">
        <v>200000</v>
      </c>
      <c r="F42" s="93">
        <v>500000</v>
      </c>
      <c r="G42" s="93">
        <v>1000000</v>
      </c>
      <c r="H42" s="93">
        <v>2000000</v>
      </c>
      <c r="I42" s="93">
        <v>8000000</v>
      </c>
      <c r="J42" s="93" t="e">
        <v>#N/A</v>
      </c>
      <c r="K42" s="93" t="e">
        <v>#N/A</v>
      </c>
      <c r="L42" s="93" t="e">
        <v>#N/A</v>
      </c>
      <c r="M42" s="93" t="e">
        <v>#N/A</v>
      </c>
      <c r="N42" s="93" t="e">
        <v>#N/A</v>
      </c>
      <c r="O42" s="93" t="e">
        <v>#N/A</v>
      </c>
      <c r="P42" s="94" t="e">
        <v>#N/A</v>
      </c>
      <c r="Q42" s="95">
        <v>1</v>
      </c>
      <c r="R42" s="95">
        <v>2</v>
      </c>
      <c r="S42" s="95">
        <v>3</v>
      </c>
      <c r="T42" s="95">
        <v>4</v>
      </c>
      <c r="U42" s="95">
        <v>14</v>
      </c>
      <c r="V42" s="95" t="e">
        <v>#N/A</v>
      </c>
      <c r="W42" s="95" t="e">
        <v>#N/A</v>
      </c>
      <c r="X42" s="95" t="e">
        <v>#N/A</v>
      </c>
      <c r="Y42" s="95" t="e">
        <v>#N/A</v>
      </c>
      <c r="Z42" s="95" t="e">
        <v>#N/A</v>
      </c>
      <c r="AA42" s="95" t="e">
        <v>#N/A</v>
      </c>
    </row>
    <row r="43" spans="1:27">
      <c r="A43" s="74" t="s">
        <v>94</v>
      </c>
      <c r="B43" s="74" t="s">
        <v>72</v>
      </c>
      <c r="C43" s="74" t="s">
        <v>1</v>
      </c>
      <c r="D43" s="92" t="e">
        <v>#N/A</v>
      </c>
      <c r="E43" s="93">
        <v>300000</v>
      </c>
      <c r="F43" s="93">
        <v>600000</v>
      </c>
      <c r="G43" s="93">
        <v>1200000</v>
      </c>
      <c r="H43" s="93">
        <v>2400000</v>
      </c>
      <c r="I43" s="93">
        <v>4800000</v>
      </c>
      <c r="J43" s="93" t="e">
        <v>#N/A</v>
      </c>
      <c r="K43" s="93" t="e">
        <v>#N/A</v>
      </c>
      <c r="L43" s="93" t="e">
        <v>#N/A</v>
      </c>
      <c r="M43" s="93" t="e">
        <v>#N/A</v>
      </c>
      <c r="N43" s="93" t="e">
        <v>#N/A</v>
      </c>
      <c r="O43" s="93" t="e">
        <v>#N/A</v>
      </c>
      <c r="P43" s="94" t="e">
        <v>#N/A</v>
      </c>
      <c r="Q43" s="95">
        <v>1</v>
      </c>
      <c r="R43" s="95">
        <v>2</v>
      </c>
      <c r="S43" s="95">
        <v>3</v>
      </c>
      <c r="T43" s="95">
        <v>5</v>
      </c>
      <c r="U43" s="95">
        <v>7</v>
      </c>
      <c r="V43" s="95" t="e">
        <v>#N/A</v>
      </c>
      <c r="W43" s="95" t="e">
        <v>#N/A</v>
      </c>
      <c r="X43" s="95" t="e">
        <v>#N/A</v>
      </c>
      <c r="Y43" s="95" t="e">
        <v>#N/A</v>
      </c>
      <c r="Z43" s="95" t="e">
        <v>#N/A</v>
      </c>
      <c r="AA43" s="95" t="e">
        <v>#N/A</v>
      </c>
    </row>
    <row r="44" spans="1:27">
      <c r="A44" s="74" t="s">
        <v>95</v>
      </c>
      <c r="B44" s="74" t="s">
        <v>72</v>
      </c>
      <c r="C44" s="74" t="s">
        <v>1</v>
      </c>
      <c r="D44" s="92" t="e">
        <v>#N/A</v>
      </c>
      <c r="E44" s="93">
        <v>450000</v>
      </c>
      <c r="F44" s="93">
        <v>900000</v>
      </c>
      <c r="G44" s="93">
        <v>1800000</v>
      </c>
      <c r="H44" s="93">
        <v>3000000</v>
      </c>
      <c r="I44" s="93" t="e">
        <v>#N/A</v>
      </c>
      <c r="J44" s="93" t="e">
        <v>#N/A</v>
      </c>
      <c r="K44" s="93" t="e">
        <v>#N/A</v>
      </c>
      <c r="L44" s="93" t="e">
        <v>#N/A</v>
      </c>
      <c r="M44" s="93" t="e">
        <v>#N/A</v>
      </c>
      <c r="N44" s="93" t="e">
        <v>#N/A</v>
      </c>
      <c r="O44" s="93" t="e">
        <v>#N/A</v>
      </c>
      <c r="P44" s="94" t="e">
        <v>#N/A</v>
      </c>
      <c r="Q44" s="95">
        <v>2</v>
      </c>
      <c r="R44" s="95">
        <v>3</v>
      </c>
      <c r="S44" s="95">
        <v>5</v>
      </c>
      <c r="T44" s="95">
        <v>7</v>
      </c>
      <c r="U44" s="95" t="e">
        <v>#N/A</v>
      </c>
      <c r="V44" s="95" t="e">
        <v>#N/A</v>
      </c>
      <c r="W44" s="95" t="e">
        <v>#N/A</v>
      </c>
      <c r="X44" s="95" t="e">
        <v>#N/A</v>
      </c>
      <c r="Y44" s="95" t="e">
        <v>#N/A</v>
      </c>
      <c r="Z44" s="95" t="e">
        <v>#N/A</v>
      </c>
      <c r="AA44" s="95" t="e">
        <v>#N/A</v>
      </c>
    </row>
    <row r="45" spans="1:27">
      <c r="A45" s="74" t="s">
        <v>96</v>
      </c>
      <c r="B45" s="74" t="s">
        <v>72</v>
      </c>
      <c r="C45" s="74" t="s">
        <v>1</v>
      </c>
      <c r="D45" s="92" t="e">
        <v>#N/A</v>
      </c>
      <c r="E45" s="93">
        <v>4000000</v>
      </c>
      <c r="F45" s="93">
        <v>6000000</v>
      </c>
      <c r="G45" s="93" t="e">
        <v>#N/A</v>
      </c>
      <c r="H45" s="93" t="e">
        <v>#N/A</v>
      </c>
      <c r="I45" s="93" t="e">
        <v>#N/A</v>
      </c>
      <c r="J45" s="93" t="e">
        <v>#N/A</v>
      </c>
      <c r="K45" s="93" t="e">
        <v>#N/A</v>
      </c>
      <c r="L45" s="93" t="e">
        <v>#N/A</v>
      </c>
      <c r="M45" s="93" t="e">
        <v>#N/A</v>
      </c>
      <c r="N45" s="93" t="e">
        <v>#N/A</v>
      </c>
      <c r="O45" s="93" t="e">
        <v>#N/A</v>
      </c>
      <c r="P45" s="94" t="e">
        <v>#N/A</v>
      </c>
      <c r="Q45" s="95">
        <v>5</v>
      </c>
      <c r="R45" s="95">
        <v>7</v>
      </c>
      <c r="S45" s="95" t="e">
        <v>#N/A</v>
      </c>
      <c r="T45" s="95" t="e">
        <v>#N/A</v>
      </c>
      <c r="U45" s="95" t="e">
        <v>#N/A</v>
      </c>
      <c r="V45" s="95" t="e">
        <v>#N/A</v>
      </c>
      <c r="W45" s="95" t="e">
        <v>#N/A</v>
      </c>
      <c r="X45" s="95" t="e">
        <v>#N/A</v>
      </c>
      <c r="Y45" s="95" t="e">
        <v>#N/A</v>
      </c>
      <c r="Z45" s="95" t="e">
        <v>#N/A</v>
      </c>
      <c r="AA45" s="95" t="e">
        <v>#N/A</v>
      </c>
    </row>
    <row r="46" spans="1:27">
      <c r="A46" s="74" t="s">
        <v>97</v>
      </c>
      <c r="B46" s="74" t="s">
        <v>72</v>
      </c>
      <c r="C46" s="74" t="s">
        <v>1</v>
      </c>
      <c r="D46" s="92" t="e">
        <v>#N/A</v>
      </c>
      <c r="E46" s="93">
        <v>4000000</v>
      </c>
      <c r="F46" s="93">
        <v>5000000</v>
      </c>
      <c r="G46" s="93">
        <v>6500000</v>
      </c>
      <c r="H46" s="93">
        <v>8000000</v>
      </c>
      <c r="I46" s="93" t="e">
        <v>#N/A</v>
      </c>
      <c r="J46" s="93" t="e">
        <v>#N/A</v>
      </c>
      <c r="K46" s="93" t="e">
        <v>#N/A</v>
      </c>
      <c r="L46" s="93" t="e">
        <v>#N/A</v>
      </c>
      <c r="M46" s="93" t="e">
        <v>#N/A</v>
      </c>
      <c r="N46" s="93" t="e">
        <v>#N/A</v>
      </c>
      <c r="O46" s="93" t="e">
        <v>#N/A</v>
      </c>
      <c r="P46" s="94" t="e">
        <v>#N/A</v>
      </c>
      <c r="Q46" s="95">
        <v>5</v>
      </c>
      <c r="R46" s="95">
        <v>7</v>
      </c>
      <c r="S46" s="95">
        <v>10</v>
      </c>
      <c r="T46" s="95">
        <v>14</v>
      </c>
      <c r="U46" s="95" t="e">
        <v>#N/A</v>
      </c>
      <c r="V46" s="95" t="e">
        <v>#N/A</v>
      </c>
      <c r="W46" s="95" t="e">
        <v>#N/A</v>
      </c>
      <c r="X46" s="95" t="e">
        <v>#N/A</v>
      </c>
      <c r="Y46" s="95" t="e">
        <v>#N/A</v>
      </c>
      <c r="Z46" s="95" t="e">
        <v>#N/A</v>
      </c>
      <c r="AA46" s="95" t="e">
        <v>#N/A</v>
      </c>
    </row>
    <row r="47" spans="1:27">
      <c r="A47" s="74" t="s">
        <v>98</v>
      </c>
      <c r="B47" s="74" t="s">
        <v>72</v>
      </c>
      <c r="C47" s="74" t="s">
        <v>103</v>
      </c>
      <c r="D47" s="92" t="e">
        <v>#N/A</v>
      </c>
      <c r="E47" s="93">
        <v>10000</v>
      </c>
      <c r="F47" s="93">
        <v>20000</v>
      </c>
      <c r="G47" s="93">
        <v>30000</v>
      </c>
      <c r="H47" s="93">
        <v>40000</v>
      </c>
      <c r="I47" s="93">
        <v>100000</v>
      </c>
      <c r="J47" s="93" t="e">
        <v>#N/A</v>
      </c>
      <c r="K47" s="93" t="e">
        <v>#N/A</v>
      </c>
      <c r="L47" s="93" t="e">
        <v>#N/A</v>
      </c>
      <c r="M47" s="93" t="e">
        <v>#N/A</v>
      </c>
      <c r="N47" s="93" t="e">
        <v>#N/A</v>
      </c>
      <c r="O47" s="93" t="e">
        <v>#N/A</v>
      </c>
      <c r="P47" s="94" t="e">
        <v>#N/A</v>
      </c>
      <c r="Q47" s="95">
        <v>5</v>
      </c>
      <c r="R47" s="95">
        <v>6</v>
      </c>
      <c r="S47" s="95">
        <v>7</v>
      </c>
      <c r="T47" s="95">
        <v>10</v>
      </c>
      <c r="U47" s="95">
        <v>14</v>
      </c>
      <c r="V47" s="95" t="e">
        <v>#N/A</v>
      </c>
      <c r="W47" s="95" t="e">
        <v>#N/A</v>
      </c>
      <c r="X47" s="95" t="e">
        <v>#N/A</v>
      </c>
      <c r="Y47" s="95" t="e">
        <v>#N/A</v>
      </c>
      <c r="Z47" s="95" t="e">
        <v>#N/A</v>
      </c>
      <c r="AA47" s="95" t="e">
        <v>#N/A</v>
      </c>
    </row>
    <row r="48" spans="1:27">
      <c r="A48" s="74" t="s">
        <v>99</v>
      </c>
      <c r="B48" s="74" t="s">
        <v>72</v>
      </c>
      <c r="C48" s="74" t="s">
        <v>103</v>
      </c>
      <c r="D48" s="92" t="e">
        <v>#N/A</v>
      </c>
      <c r="E48" s="93">
        <v>20000</v>
      </c>
      <c r="F48" s="93">
        <v>30000</v>
      </c>
      <c r="G48" s="93">
        <v>40000</v>
      </c>
      <c r="H48" s="93">
        <v>50000</v>
      </c>
      <c r="I48" s="93" t="e">
        <v>#N/A</v>
      </c>
      <c r="J48" s="93" t="e">
        <v>#N/A</v>
      </c>
      <c r="K48" s="93" t="e">
        <v>#N/A</v>
      </c>
      <c r="L48" s="93" t="e">
        <v>#N/A</v>
      </c>
      <c r="M48" s="93" t="e">
        <v>#N/A</v>
      </c>
      <c r="N48" s="93" t="e">
        <v>#N/A</v>
      </c>
      <c r="O48" s="93" t="e">
        <v>#N/A</v>
      </c>
      <c r="P48" s="94" t="e">
        <v>#N/A</v>
      </c>
      <c r="Q48" s="95">
        <v>8</v>
      </c>
      <c r="R48" s="95">
        <v>10</v>
      </c>
      <c r="S48" s="95">
        <v>12</v>
      </c>
      <c r="T48" s="95">
        <v>14</v>
      </c>
      <c r="U48" s="95" t="e">
        <v>#N/A</v>
      </c>
      <c r="V48" s="95" t="e">
        <v>#N/A</v>
      </c>
      <c r="W48" s="95" t="e">
        <v>#N/A</v>
      </c>
      <c r="X48" s="95" t="e">
        <v>#N/A</v>
      </c>
      <c r="Y48" s="95" t="e">
        <v>#N/A</v>
      </c>
      <c r="Z48" s="95" t="e">
        <v>#N/A</v>
      </c>
      <c r="AA48" s="95" t="e">
        <v>#N/A</v>
      </c>
    </row>
    <row r="49" spans="1:27">
      <c r="A49" s="74" t="s">
        <v>100</v>
      </c>
      <c r="B49" s="74" t="s">
        <v>72</v>
      </c>
      <c r="C49" s="74" t="s">
        <v>103</v>
      </c>
      <c r="D49" s="92" t="e">
        <v>#N/A</v>
      </c>
      <c r="E49" s="93">
        <v>50000</v>
      </c>
      <c r="F49" s="93">
        <v>60000</v>
      </c>
      <c r="G49" s="93">
        <v>70000</v>
      </c>
      <c r="H49" s="93" t="e">
        <v>#N/A</v>
      </c>
      <c r="I49" s="93" t="e">
        <v>#N/A</v>
      </c>
      <c r="J49" s="93" t="e">
        <v>#N/A</v>
      </c>
      <c r="K49" s="93" t="e">
        <v>#N/A</v>
      </c>
      <c r="L49" s="93" t="e">
        <v>#N/A</v>
      </c>
      <c r="M49" s="93" t="e">
        <v>#N/A</v>
      </c>
      <c r="N49" s="93" t="e">
        <v>#N/A</v>
      </c>
      <c r="O49" s="93" t="e">
        <v>#N/A</v>
      </c>
      <c r="P49" s="94" t="e">
        <v>#N/A</v>
      </c>
      <c r="Q49" s="95">
        <v>10</v>
      </c>
      <c r="R49" s="95">
        <v>12</v>
      </c>
      <c r="S49" s="95">
        <v>14</v>
      </c>
      <c r="T49" s="95" t="e">
        <v>#N/A</v>
      </c>
      <c r="U49" s="95" t="e">
        <v>#N/A</v>
      </c>
      <c r="V49" s="95" t="e">
        <v>#N/A</v>
      </c>
      <c r="W49" s="95" t="e">
        <v>#N/A</v>
      </c>
      <c r="X49" s="95" t="e">
        <v>#N/A</v>
      </c>
      <c r="Y49" s="95" t="e">
        <v>#N/A</v>
      </c>
      <c r="Z49" s="95" t="e">
        <v>#N/A</v>
      </c>
      <c r="AA49" s="95" t="e">
        <v>#N/A</v>
      </c>
    </row>
    <row r="50" spans="1:27">
      <c r="A50" s="74" t="s">
        <v>101</v>
      </c>
      <c r="B50" s="74" t="s">
        <v>72</v>
      </c>
      <c r="C50" s="74" t="s">
        <v>103</v>
      </c>
      <c r="D50" s="92" t="e">
        <v>#N/A</v>
      </c>
      <c r="E50" s="93">
        <v>60000</v>
      </c>
      <c r="F50" s="93">
        <v>70000</v>
      </c>
      <c r="G50" s="93">
        <v>80000</v>
      </c>
      <c r="H50" s="93">
        <v>90000</v>
      </c>
      <c r="I50" s="93" t="e">
        <v>#N/A</v>
      </c>
      <c r="J50" s="93" t="e">
        <v>#N/A</v>
      </c>
      <c r="K50" s="93" t="e">
        <v>#N/A</v>
      </c>
      <c r="L50" s="93" t="e">
        <v>#N/A</v>
      </c>
      <c r="M50" s="93" t="e">
        <v>#N/A</v>
      </c>
      <c r="N50" s="93" t="e">
        <v>#N/A</v>
      </c>
      <c r="O50" s="93" t="e">
        <v>#N/A</v>
      </c>
      <c r="P50" s="94" t="e">
        <v>#N/A</v>
      </c>
      <c r="Q50" s="95">
        <v>10</v>
      </c>
      <c r="R50" s="95">
        <v>12</v>
      </c>
      <c r="S50" s="95">
        <v>14</v>
      </c>
      <c r="T50" s="95">
        <v>14</v>
      </c>
      <c r="U50" s="95" t="e">
        <v>#N/A</v>
      </c>
      <c r="V50" s="95" t="e">
        <v>#N/A</v>
      </c>
      <c r="W50" s="95" t="e">
        <v>#N/A</v>
      </c>
      <c r="X50" s="95" t="e">
        <v>#N/A</v>
      </c>
      <c r="Y50" s="95" t="e">
        <v>#N/A</v>
      </c>
      <c r="Z50" s="95" t="e">
        <v>#N/A</v>
      </c>
      <c r="AA50" s="95" t="e">
        <v>#N/A</v>
      </c>
    </row>
    <row r="51" spans="1:27">
      <c r="A51" s="74" t="s">
        <v>102</v>
      </c>
      <c r="B51" s="74" t="s">
        <v>72</v>
      </c>
      <c r="C51" s="74" t="s">
        <v>103</v>
      </c>
      <c r="D51" s="92" t="e">
        <v>#N/A</v>
      </c>
      <c r="E51" s="93">
        <v>75000</v>
      </c>
      <c r="F51" s="93" t="e">
        <v>#N/A</v>
      </c>
      <c r="G51" s="93" t="e">
        <v>#N/A</v>
      </c>
      <c r="H51" s="93" t="e">
        <v>#N/A</v>
      </c>
      <c r="I51" s="93" t="e">
        <v>#N/A</v>
      </c>
      <c r="J51" s="93" t="e">
        <v>#N/A</v>
      </c>
      <c r="K51" s="93" t="e">
        <v>#N/A</v>
      </c>
      <c r="L51" s="93" t="e">
        <v>#N/A</v>
      </c>
      <c r="M51" s="93" t="e">
        <v>#N/A</v>
      </c>
      <c r="N51" s="93" t="e">
        <v>#N/A</v>
      </c>
      <c r="O51" s="93" t="e">
        <v>#N/A</v>
      </c>
      <c r="P51" s="94" t="e">
        <v>#N/A</v>
      </c>
      <c r="Q51" s="95">
        <v>10</v>
      </c>
      <c r="R51" s="95" t="e">
        <v>#N/A</v>
      </c>
      <c r="S51" s="95" t="e">
        <v>#N/A</v>
      </c>
      <c r="T51" s="95" t="e">
        <v>#N/A</v>
      </c>
      <c r="U51" s="95" t="e">
        <v>#N/A</v>
      </c>
      <c r="V51" s="95" t="e">
        <v>#N/A</v>
      </c>
      <c r="W51" s="95" t="e">
        <v>#N/A</v>
      </c>
      <c r="X51" s="95" t="e">
        <v>#N/A</v>
      </c>
      <c r="Y51" s="95" t="e">
        <v>#N/A</v>
      </c>
      <c r="Z51" s="95" t="e">
        <v>#N/A</v>
      </c>
      <c r="AA51" s="95" t="e">
        <v>#N/A</v>
      </c>
    </row>
    <row r="52" spans="1:27" ht="16" thickBot="1">
      <c r="A52" s="74"/>
      <c r="B52" s="74"/>
      <c r="C52" s="74"/>
      <c r="D52" s="93"/>
      <c r="E52" s="93"/>
      <c r="F52" s="93"/>
      <c r="G52" s="93"/>
      <c r="H52" s="93"/>
      <c r="I52" s="93"/>
      <c r="J52" s="93"/>
      <c r="K52" s="93"/>
      <c r="L52" s="93"/>
      <c r="M52" s="93"/>
      <c r="N52" s="93"/>
      <c r="O52" s="93"/>
      <c r="P52" s="187"/>
      <c r="Q52" s="95"/>
      <c r="R52" s="95"/>
      <c r="S52" s="95"/>
      <c r="T52" s="95"/>
      <c r="U52" s="95"/>
      <c r="V52" s="95"/>
      <c r="W52" s="95"/>
      <c r="X52" s="95"/>
      <c r="Y52" s="95"/>
      <c r="Z52" s="95"/>
      <c r="AA52" s="95"/>
    </row>
    <row r="53" spans="1:27" ht="32" thickTop="1" thickBot="1">
      <c r="A53" s="282" t="s">
        <v>229</v>
      </c>
      <c r="B53" s="283"/>
      <c r="C53" s="283"/>
      <c r="D53" s="283"/>
      <c r="E53" s="283"/>
      <c r="F53" s="283"/>
      <c r="G53" s="283"/>
      <c r="H53" s="283"/>
      <c r="I53" s="283"/>
      <c r="J53" s="283"/>
      <c r="K53" s="283"/>
      <c r="L53" s="283"/>
      <c r="M53" s="283"/>
      <c r="N53" s="283"/>
      <c r="O53" s="283"/>
      <c r="P53" s="283"/>
      <c r="Q53" s="283"/>
      <c r="R53" s="283"/>
      <c r="S53" s="283"/>
      <c r="T53" s="283"/>
      <c r="U53" s="283"/>
      <c r="V53" s="283"/>
      <c r="W53" s="283"/>
      <c r="X53" s="283"/>
      <c r="Y53" s="283"/>
      <c r="Z53" s="283"/>
      <c r="AA53" s="284"/>
    </row>
    <row r="54" spans="1:27" ht="17" thickTop="1" thickBot="1">
      <c r="A54" s="74"/>
      <c r="B54" s="74"/>
      <c r="C54" s="74"/>
      <c r="D54" s="93"/>
      <c r="E54" s="93"/>
      <c r="F54" s="93"/>
      <c r="G54" s="93"/>
      <c r="H54" s="93"/>
      <c r="I54" s="93"/>
      <c r="J54" s="93"/>
      <c r="K54" s="93"/>
      <c r="L54" s="93"/>
      <c r="M54" s="93"/>
      <c r="N54" s="93"/>
      <c r="O54" s="93"/>
      <c r="P54" s="187"/>
      <c r="Q54" s="95"/>
      <c r="R54" s="95"/>
      <c r="S54" s="95"/>
      <c r="T54" s="95"/>
      <c r="U54" s="95"/>
      <c r="V54" s="95"/>
      <c r="W54" s="95"/>
      <c r="X54" s="95"/>
      <c r="Y54" s="95"/>
      <c r="Z54" s="95"/>
      <c r="AA54" s="95"/>
    </row>
    <row r="55" spans="1:27" ht="19" thickTop="1">
      <c r="A55" s="288" t="s">
        <v>246</v>
      </c>
      <c r="B55" s="289"/>
      <c r="C55" s="289"/>
      <c r="D55" s="289"/>
      <c r="E55" s="290"/>
      <c r="H55" s="93"/>
      <c r="I55" s="93"/>
      <c r="J55" s="93"/>
      <c r="K55" s="93"/>
      <c r="L55" s="93"/>
      <c r="M55" s="187"/>
      <c r="N55" s="95"/>
      <c r="O55" s="95"/>
      <c r="P55" s="95"/>
      <c r="Q55" s="95"/>
      <c r="R55" s="95"/>
      <c r="S55" s="95"/>
      <c r="T55" s="95"/>
      <c r="U55" s="95"/>
      <c r="V55" s="95"/>
      <c r="W55" s="95"/>
      <c r="X55" s="95"/>
    </row>
    <row r="56" spans="1:27">
      <c r="A56" s="74" t="s">
        <v>152</v>
      </c>
      <c r="B56" s="74" t="s">
        <v>242</v>
      </c>
      <c r="C56" s="74" t="s">
        <v>243</v>
      </c>
      <c r="D56" s="93" t="s">
        <v>244</v>
      </c>
      <c r="E56" s="26" t="s">
        <v>245</v>
      </c>
      <c r="H56" s="93"/>
      <c r="I56" s="93"/>
      <c r="J56" s="93"/>
      <c r="K56" s="93"/>
      <c r="L56" s="93"/>
      <c r="M56" s="187"/>
      <c r="N56" s="95"/>
      <c r="O56" s="95"/>
      <c r="P56" s="95"/>
      <c r="Q56" s="95"/>
      <c r="R56" s="95"/>
      <c r="S56" s="95"/>
      <c r="T56" s="95"/>
      <c r="U56" s="95"/>
      <c r="V56" s="95"/>
      <c r="W56" s="95"/>
      <c r="X56" s="95"/>
    </row>
    <row r="57" spans="1:27">
      <c r="A57" s="74">
        <v>1</v>
      </c>
      <c r="B57" s="76">
        <v>10000</v>
      </c>
      <c r="C57" s="188">
        <v>0</v>
      </c>
      <c r="D57" s="93">
        <v>40000</v>
      </c>
      <c r="E57" s="26">
        <v>0</v>
      </c>
      <c r="H57" s="93"/>
      <c r="I57" s="93"/>
      <c r="J57" s="93"/>
      <c r="K57" s="93"/>
      <c r="L57" s="93"/>
      <c r="M57" s="187"/>
      <c r="N57" s="95"/>
      <c r="O57" s="95"/>
      <c r="P57" s="95"/>
      <c r="Q57" s="95"/>
      <c r="R57" s="95"/>
      <c r="S57" s="95"/>
      <c r="T57" s="95"/>
      <c r="U57" s="95"/>
      <c r="V57" s="95"/>
      <c r="W57" s="95"/>
      <c r="X57" s="95"/>
    </row>
    <row r="58" spans="1:27">
      <c r="A58" s="74">
        <v>2</v>
      </c>
      <c r="B58" s="76">
        <v>12500</v>
      </c>
      <c r="C58" s="188">
        <v>0.5</v>
      </c>
      <c r="D58" s="93">
        <v>22500</v>
      </c>
      <c r="E58" s="26">
        <v>0.5</v>
      </c>
      <c r="H58" s="93"/>
      <c r="I58" s="93"/>
      <c r="J58" s="93"/>
      <c r="K58" s="93"/>
      <c r="L58" s="93"/>
      <c r="M58" s="187"/>
      <c r="N58" s="95"/>
      <c r="O58" s="95"/>
      <c r="P58" s="95"/>
      <c r="Q58" s="95"/>
      <c r="R58" s="95"/>
      <c r="S58" s="95"/>
      <c r="T58" s="95"/>
      <c r="U58" s="95"/>
      <c r="V58" s="95"/>
      <c r="W58" s="95"/>
      <c r="X58" s="95"/>
    </row>
    <row r="59" spans="1:27">
      <c r="A59" s="74">
        <v>3</v>
      </c>
      <c r="B59" s="76">
        <v>15000</v>
      </c>
      <c r="C59" s="188">
        <v>1</v>
      </c>
      <c r="D59" s="93">
        <v>25000</v>
      </c>
      <c r="E59" s="26">
        <v>1</v>
      </c>
      <c r="H59" s="93"/>
      <c r="I59" s="93"/>
      <c r="J59" s="93"/>
      <c r="K59" s="93"/>
      <c r="L59" s="93"/>
      <c r="M59" s="187"/>
      <c r="N59" s="95"/>
      <c r="O59" s="95"/>
      <c r="P59" s="95"/>
      <c r="Q59" s="95"/>
      <c r="R59" s="95"/>
      <c r="S59" s="95"/>
      <c r="T59" s="95"/>
      <c r="U59" s="95"/>
      <c r="V59" s="95"/>
      <c r="W59" s="95"/>
      <c r="X59" s="95"/>
    </row>
    <row r="60" spans="1:27">
      <c r="A60" s="74">
        <v>4</v>
      </c>
      <c r="B60" s="76">
        <v>17500</v>
      </c>
      <c r="C60" s="188">
        <v>1.5</v>
      </c>
      <c r="D60" s="93">
        <v>27500</v>
      </c>
      <c r="E60" s="26">
        <v>1.5</v>
      </c>
      <c r="H60" s="93"/>
      <c r="I60" s="93"/>
      <c r="J60" s="93"/>
      <c r="K60" s="93"/>
      <c r="L60" s="93"/>
      <c r="M60" s="187"/>
      <c r="N60" s="95"/>
      <c r="O60" s="95"/>
      <c r="P60" s="95"/>
      <c r="Q60" s="95"/>
      <c r="R60" s="95"/>
      <c r="S60" s="95"/>
      <c r="T60" s="95"/>
      <c r="U60" s="95"/>
      <c r="V60" s="95"/>
      <c r="W60" s="95"/>
      <c r="X60" s="95"/>
    </row>
    <row r="61" spans="1:27">
      <c r="A61" s="74">
        <v>5</v>
      </c>
      <c r="B61" s="76">
        <v>20000</v>
      </c>
      <c r="C61" s="188">
        <v>2</v>
      </c>
      <c r="D61" s="93">
        <v>30000</v>
      </c>
      <c r="E61" s="26">
        <v>2</v>
      </c>
      <c r="H61" s="93"/>
      <c r="I61" s="93"/>
      <c r="J61" s="93"/>
      <c r="K61" s="93"/>
      <c r="L61" s="93"/>
      <c r="M61" s="187"/>
      <c r="N61" s="95"/>
      <c r="O61" s="95"/>
      <c r="P61" s="95"/>
      <c r="Q61" s="95"/>
      <c r="R61" s="95"/>
      <c r="S61" s="95"/>
      <c r="T61" s="95"/>
      <c r="U61" s="95"/>
      <c r="V61" s="95"/>
      <c r="W61" s="95"/>
      <c r="X61" s="95"/>
    </row>
    <row r="62" spans="1:27">
      <c r="A62" s="74">
        <v>6</v>
      </c>
      <c r="B62" s="76">
        <v>22500</v>
      </c>
      <c r="C62" s="188">
        <v>2.5</v>
      </c>
      <c r="D62" s="93">
        <v>32500</v>
      </c>
      <c r="E62" s="26">
        <v>2.5</v>
      </c>
      <c r="H62" s="93"/>
      <c r="I62" s="93"/>
      <c r="J62" s="93"/>
      <c r="K62" s="93"/>
      <c r="L62" s="93"/>
      <c r="M62" s="187"/>
      <c r="N62" s="95"/>
      <c r="O62" s="95"/>
      <c r="P62" s="95"/>
      <c r="Q62" s="95"/>
      <c r="R62" s="95"/>
      <c r="S62" s="95"/>
      <c r="T62" s="95"/>
      <c r="U62" s="95"/>
      <c r="V62" s="95"/>
      <c r="W62" s="95"/>
      <c r="X62" s="95"/>
    </row>
    <row r="63" spans="1:27">
      <c r="A63" s="74">
        <v>7</v>
      </c>
      <c r="B63" s="76">
        <v>25000</v>
      </c>
      <c r="C63" s="188">
        <v>3</v>
      </c>
      <c r="D63" s="93">
        <v>35000</v>
      </c>
      <c r="E63" s="26">
        <v>3</v>
      </c>
      <c r="H63" s="93"/>
      <c r="I63" s="93"/>
      <c r="J63" s="93"/>
      <c r="K63" s="93"/>
      <c r="L63" s="93"/>
      <c r="M63" s="187"/>
      <c r="N63" s="95"/>
      <c r="O63" s="95"/>
      <c r="P63" s="95"/>
      <c r="Q63" s="95"/>
      <c r="R63" s="95"/>
      <c r="S63" s="95"/>
      <c r="T63" s="95"/>
      <c r="U63" s="95"/>
      <c r="V63" s="95"/>
      <c r="W63" s="95"/>
      <c r="X63" s="95"/>
    </row>
    <row r="64" spans="1:27">
      <c r="A64" s="74">
        <v>8</v>
      </c>
      <c r="B64" s="76">
        <v>30000</v>
      </c>
      <c r="C64" s="188">
        <v>3.5</v>
      </c>
      <c r="D64" s="93">
        <v>40000</v>
      </c>
      <c r="E64" s="26">
        <v>3.5</v>
      </c>
      <c r="H64" s="93"/>
      <c r="I64" s="93"/>
      <c r="J64" s="93"/>
      <c r="K64" s="93"/>
      <c r="L64" s="93"/>
      <c r="M64" s="187"/>
      <c r="N64" s="95"/>
      <c r="O64" s="95"/>
      <c r="P64" s="95"/>
      <c r="Q64" s="95"/>
      <c r="R64" s="95"/>
      <c r="S64" s="95"/>
      <c r="T64" s="95"/>
      <c r="U64" s="95"/>
      <c r="V64" s="95"/>
      <c r="W64" s="95"/>
      <c r="X64" s="95"/>
    </row>
    <row r="65" spans="1:20">
      <c r="A65" s="74">
        <v>9</v>
      </c>
      <c r="B65" s="76">
        <v>35000</v>
      </c>
      <c r="C65" s="188">
        <v>4</v>
      </c>
      <c r="D65" s="93">
        <v>45000</v>
      </c>
      <c r="E65" s="26">
        <v>4</v>
      </c>
      <c r="H65" s="93"/>
      <c r="I65" s="93"/>
      <c r="J65" s="95"/>
      <c r="K65" s="95"/>
      <c r="L65" s="95"/>
      <c r="M65" s="95"/>
      <c r="N65" s="95"/>
      <c r="O65" s="95"/>
      <c r="P65" s="95"/>
      <c r="Q65" s="95"/>
      <c r="R65" s="95"/>
      <c r="S65" s="95"/>
      <c r="T65" s="95"/>
    </row>
    <row r="66" spans="1:20">
      <c r="A66" s="74">
        <v>10</v>
      </c>
      <c r="B66" s="76">
        <v>40000</v>
      </c>
      <c r="C66" s="188">
        <v>4.5</v>
      </c>
      <c r="D66" s="93">
        <v>50000</v>
      </c>
      <c r="E66" s="26">
        <v>4.5</v>
      </c>
      <c r="H66" s="93"/>
      <c r="I66" s="93"/>
      <c r="J66" s="95"/>
      <c r="K66" s="95"/>
      <c r="L66" s="95"/>
      <c r="M66" s="95"/>
      <c r="N66" s="95"/>
      <c r="O66" s="95"/>
      <c r="P66" s="95"/>
      <c r="Q66" s="95"/>
      <c r="R66" s="95"/>
      <c r="S66" s="95"/>
      <c r="T66" s="95"/>
    </row>
    <row r="67" spans="1:20">
      <c r="A67" s="74">
        <v>11</v>
      </c>
      <c r="B67" s="76">
        <v>45000</v>
      </c>
      <c r="C67" s="188">
        <v>5</v>
      </c>
      <c r="D67" s="93">
        <v>55000</v>
      </c>
      <c r="E67" s="26">
        <v>5</v>
      </c>
      <c r="H67" s="93"/>
      <c r="I67" s="93"/>
      <c r="J67" s="95"/>
      <c r="K67" s="95"/>
      <c r="L67" s="95"/>
      <c r="M67" s="95"/>
      <c r="N67" s="95"/>
      <c r="O67" s="95"/>
      <c r="P67" s="95"/>
      <c r="Q67" s="95"/>
      <c r="R67" s="95"/>
      <c r="S67" s="95"/>
      <c r="T67" s="95"/>
    </row>
    <row r="68" spans="1:20">
      <c r="A68" s="74">
        <v>12</v>
      </c>
      <c r="B68" s="76">
        <v>50000</v>
      </c>
      <c r="C68" s="188">
        <v>5.5</v>
      </c>
      <c r="D68" s="93">
        <v>60000</v>
      </c>
      <c r="E68" s="26">
        <v>5.5</v>
      </c>
      <c r="H68" s="93"/>
      <c r="I68" s="93"/>
      <c r="J68" s="95"/>
      <c r="K68" s="95"/>
      <c r="L68" s="95"/>
      <c r="M68" s="95"/>
      <c r="N68" s="95"/>
      <c r="O68" s="95"/>
      <c r="P68" s="95"/>
      <c r="Q68" s="95"/>
      <c r="R68" s="95"/>
      <c r="S68" s="95"/>
      <c r="T68" s="95"/>
    </row>
    <row r="69" spans="1:20">
      <c r="A69" s="74">
        <v>13</v>
      </c>
      <c r="B69" s="76">
        <v>55000</v>
      </c>
      <c r="C69" s="188">
        <v>6</v>
      </c>
      <c r="D69" s="93">
        <v>65000</v>
      </c>
      <c r="E69" s="26">
        <v>6</v>
      </c>
      <c r="H69" s="93"/>
      <c r="I69" s="93"/>
      <c r="J69" s="95"/>
      <c r="K69" s="95"/>
      <c r="L69" s="95"/>
      <c r="M69" s="95"/>
      <c r="N69" s="95"/>
      <c r="O69" s="95"/>
      <c r="P69" s="95"/>
      <c r="Q69" s="95"/>
      <c r="R69" s="95"/>
      <c r="S69" s="95"/>
      <c r="T69" s="95"/>
    </row>
    <row r="70" spans="1:20">
      <c r="A70" s="74">
        <v>14</v>
      </c>
      <c r="B70" s="76">
        <v>60000</v>
      </c>
      <c r="C70" s="188">
        <v>6.5</v>
      </c>
      <c r="D70" s="93">
        <v>70000</v>
      </c>
      <c r="E70" s="26">
        <v>6.5</v>
      </c>
      <c r="H70" s="93"/>
      <c r="I70" s="93"/>
      <c r="J70" s="95"/>
      <c r="K70" s="95"/>
      <c r="L70" s="95"/>
      <c r="M70" s="95"/>
      <c r="N70" s="95"/>
      <c r="O70" s="95"/>
      <c r="P70" s="95"/>
      <c r="Q70" s="95"/>
      <c r="R70" s="95"/>
      <c r="S70" s="95"/>
      <c r="T70" s="95"/>
    </row>
    <row r="71" spans="1:20">
      <c r="A71" s="74">
        <v>15</v>
      </c>
      <c r="B71" s="76">
        <v>65000</v>
      </c>
      <c r="C71" s="188">
        <v>7</v>
      </c>
      <c r="D71" s="93">
        <v>75000</v>
      </c>
      <c r="E71" s="26">
        <v>7</v>
      </c>
      <c r="H71" s="93"/>
      <c r="I71" s="93"/>
      <c r="J71" s="95"/>
      <c r="K71" s="95"/>
      <c r="L71" s="95"/>
      <c r="M71" s="95"/>
      <c r="N71" s="95"/>
      <c r="O71" s="95"/>
      <c r="P71" s="95"/>
      <c r="Q71" s="95"/>
      <c r="R71" s="95"/>
      <c r="S71" s="95"/>
      <c r="T71" s="95"/>
    </row>
    <row r="72" spans="1:20">
      <c r="A72" s="74">
        <v>16</v>
      </c>
      <c r="B72" s="76">
        <v>70000</v>
      </c>
      <c r="C72" s="188">
        <v>7</v>
      </c>
      <c r="D72" s="93">
        <v>80000</v>
      </c>
      <c r="E72" s="26">
        <v>7</v>
      </c>
      <c r="H72" s="93"/>
      <c r="I72" s="93"/>
      <c r="J72" s="95"/>
      <c r="K72" s="95"/>
      <c r="L72" s="95"/>
      <c r="M72" s="95"/>
      <c r="N72" s="95"/>
      <c r="O72" s="95"/>
      <c r="P72" s="95"/>
      <c r="Q72" s="95"/>
      <c r="R72" s="95"/>
      <c r="S72" s="95"/>
      <c r="T72" s="95"/>
    </row>
    <row r="73" spans="1:20">
      <c r="A73" s="74">
        <v>17</v>
      </c>
      <c r="B73" s="76">
        <v>75000</v>
      </c>
      <c r="C73" s="188">
        <v>7</v>
      </c>
      <c r="D73" s="93">
        <v>85000</v>
      </c>
      <c r="E73" s="26">
        <v>7</v>
      </c>
      <c r="H73" s="93"/>
      <c r="I73" s="93"/>
      <c r="J73" s="95"/>
      <c r="K73" s="95"/>
      <c r="L73" s="95"/>
      <c r="M73" s="95"/>
      <c r="N73" s="95"/>
      <c r="O73" s="95"/>
      <c r="P73" s="95"/>
      <c r="Q73" s="95"/>
      <c r="R73" s="95"/>
      <c r="S73" s="95"/>
      <c r="T73" s="95"/>
    </row>
    <row r="74" spans="1:20">
      <c r="A74" s="74">
        <v>18</v>
      </c>
      <c r="B74" s="76">
        <v>80000</v>
      </c>
      <c r="C74" s="188">
        <v>7</v>
      </c>
      <c r="D74" s="93">
        <v>90000</v>
      </c>
      <c r="E74" s="26">
        <v>7</v>
      </c>
      <c r="H74" s="93"/>
      <c r="I74" s="93"/>
      <c r="J74" s="95"/>
      <c r="K74" s="95"/>
      <c r="L74" s="95"/>
      <c r="M74" s="95"/>
      <c r="N74" s="95"/>
      <c r="O74" s="95"/>
      <c r="P74" s="95"/>
      <c r="Q74" s="95"/>
      <c r="R74" s="95"/>
      <c r="S74" s="95"/>
      <c r="T74" s="95"/>
    </row>
    <row r="75" spans="1:20">
      <c r="A75" s="74">
        <v>19</v>
      </c>
      <c r="B75" s="76">
        <v>85000</v>
      </c>
      <c r="C75" s="188">
        <v>7</v>
      </c>
      <c r="D75" s="93">
        <v>95000</v>
      </c>
      <c r="E75" s="26">
        <v>7</v>
      </c>
      <c r="H75" s="93"/>
      <c r="I75" s="93"/>
      <c r="J75" s="95"/>
      <c r="K75" s="95"/>
      <c r="L75" s="95"/>
      <c r="M75" s="95"/>
      <c r="N75" s="95"/>
      <c r="O75" s="95"/>
      <c r="P75" s="95"/>
      <c r="Q75" s="95"/>
      <c r="R75" s="95"/>
      <c r="S75" s="95"/>
      <c r="T75" s="95"/>
    </row>
    <row r="76" spans="1:20">
      <c r="A76" s="74">
        <v>20</v>
      </c>
      <c r="B76" s="76">
        <v>90000</v>
      </c>
      <c r="C76" s="188">
        <v>7</v>
      </c>
      <c r="D76" s="93">
        <v>100000</v>
      </c>
      <c r="E76" s="26">
        <v>7</v>
      </c>
      <c r="H76" s="93"/>
      <c r="I76" s="93"/>
      <c r="J76" s="95"/>
      <c r="K76" s="95"/>
      <c r="L76" s="95"/>
      <c r="M76" s="95"/>
      <c r="N76" s="95"/>
      <c r="O76" s="95"/>
      <c r="P76" s="95"/>
      <c r="Q76" s="95"/>
      <c r="R76" s="95"/>
      <c r="S76" s="95"/>
      <c r="T76" s="95"/>
    </row>
    <row r="77" spans="1:20">
      <c r="A77" s="74">
        <v>21</v>
      </c>
      <c r="B77" s="76">
        <v>95000</v>
      </c>
      <c r="C77" s="188">
        <v>7</v>
      </c>
      <c r="D77" s="93">
        <v>105000</v>
      </c>
      <c r="E77" s="26">
        <v>7</v>
      </c>
      <c r="H77" s="93"/>
      <c r="I77" s="93"/>
      <c r="J77" s="95"/>
      <c r="K77" s="95"/>
      <c r="L77" s="95"/>
      <c r="M77" s="95"/>
      <c r="N77" s="95"/>
      <c r="O77" s="95"/>
      <c r="P77" s="95"/>
      <c r="Q77" s="95"/>
      <c r="R77" s="95"/>
      <c r="S77" s="95"/>
      <c r="T77" s="95"/>
    </row>
    <row r="78" spans="1:20">
      <c r="A78" s="74">
        <v>22</v>
      </c>
      <c r="B78" s="76">
        <v>100000</v>
      </c>
      <c r="C78" s="188">
        <v>7</v>
      </c>
      <c r="D78" s="93">
        <v>110000</v>
      </c>
      <c r="E78" s="26">
        <v>7</v>
      </c>
      <c r="H78" s="93"/>
      <c r="I78" s="93"/>
      <c r="J78" s="95"/>
      <c r="K78" s="95"/>
      <c r="L78" s="95"/>
      <c r="M78" s="95"/>
      <c r="N78" s="95"/>
      <c r="O78" s="95"/>
      <c r="P78" s="95"/>
      <c r="Q78" s="95"/>
      <c r="R78" s="95"/>
      <c r="S78" s="95"/>
      <c r="T78" s="95"/>
    </row>
    <row r="79" spans="1:20">
      <c r="A79" s="74">
        <v>23</v>
      </c>
      <c r="B79" s="76">
        <v>105000</v>
      </c>
      <c r="C79" s="188">
        <v>7</v>
      </c>
      <c r="D79" s="93">
        <v>115000</v>
      </c>
      <c r="E79" s="26">
        <v>7</v>
      </c>
      <c r="H79" s="93"/>
      <c r="I79" s="93"/>
      <c r="J79" s="95"/>
      <c r="K79" s="95"/>
      <c r="L79" s="95"/>
      <c r="M79" s="95"/>
      <c r="N79" s="95"/>
      <c r="O79" s="95"/>
      <c r="P79" s="95"/>
      <c r="Q79" s="95"/>
      <c r="R79" s="95"/>
      <c r="S79" s="95"/>
      <c r="T79" s="95"/>
    </row>
    <row r="80" spans="1:20">
      <c r="A80" s="74">
        <v>24</v>
      </c>
      <c r="B80" s="76">
        <v>110000</v>
      </c>
      <c r="C80" s="188">
        <v>7</v>
      </c>
      <c r="D80" s="93">
        <v>120000</v>
      </c>
      <c r="E80" s="26">
        <v>7</v>
      </c>
      <c r="H80" s="93"/>
      <c r="I80" s="93"/>
      <c r="J80" s="95"/>
      <c r="K80" s="95"/>
      <c r="L80" s="95"/>
      <c r="M80" s="95"/>
      <c r="N80" s="95"/>
      <c r="O80" s="95"/>
      <c r="P80" s="95"/>
      <c r="Q80" s="95"/>
      <c r="R80" s="95"/>
      <c r="S80" s="95"/>
      <c r="T80" s="95"/>
    </row>
    <row r="81" spans="1:20">
      <c r="A81" s="74">
        <v>25</v>
      </c>
      <c r="B81" s="76">
        <v>115000</v>
      </c>
      <c r="C81" s="188">
        <v>7</v>
      </c>
      <c r="D81" s="93">
        <v>125000</v>
      </c>
      <c r="E81" s="26">
        <v>7</v>
      </c>
      <c r="H81" s="93"/>
      <c r="I81" s="93"/>
      <c r="J81" s="95"/>
      <c r="K81" s="95"/>
      <c r="L81" s="95"/>
      <c r="M81" s="95"/>
      <c r="N81" s="95"/>
      <c r="O81" s="95"/>
      <c r="P81" s="95"/>
      <c r="Q81" s="95"/>
      <c r="R81" s="95"/>
      <c r="S81" s="95"/>
      <c r="T81" s="95"/>
    </row>
    <row r="82" spans="1:20">
      <c r="A82" s="74">
        <v>26</v>
      </c>
      <c r="B82" s="76">
        <v>120000</v>
      </c>
      <c r="C82" s="188">
        <v>7</v>
      </c>
      <c r="D82" s="93">
        <v>130000</v>
      </c>
      <c r="E82" s="26">
        <v>7</v>
      </c>
      <c r="H82" s="93"/>
      <c r="I82" s="93"/>
      <c r="J82" s="95"/>
      <c r="K82" s="95"/>
      <c r="L82" s="95"/>
      <c r="M82" s="95"/>
      <c r="N82" s="95"/>
      <c r="O82" s="95"/>
      <c r="P82" s="95"/>
      <c r="Q82" s="95"/>
      <c r="R82" s="95"/>
      <c r="S82" s="95"/>
      <c r="T82" s="95"/>
    </row>
    <row r="83" spans="1:20">
      <c r="A83" s="74">
        <v>27</v>
      </c>
      <c r="B83" s="76">
        <v>125000</v>
      </c>
      <c r="C83" s="188">
        <v>7</v>
      </c>
      <c r="D83" s="93">
        <v>135000</v>
      </c>
      <c r="E83" s="26">
        <v>7</v>
      </c>
      <c r="H83" s="93"/>
      <c r="I83" s="93"/>
      <c r="J83" s="95"/>
      <c r="K83" s="95"/>
      <c r="L83" s="95"/>
      <c r="M83" s="95"/>
      <c r="N83" s="95"/>
      <c r="O83" s="95"/>
      <c r="P83" s="95"/>
      <c r="Q83" s="95"/>
      <c r="R83" s="95"/>
      <c r="S83" s="95"/>
      <c r="T83" s="95"/>
    </row>
    <row r="84" spans="1:20">
      <c r="A84" s="74">
        <v>28</v>
      </c>
      <c r="B84" s="76">
        <v>130000</v>
      </c>
      <c r="C84" s="188">
        <v>7</v>
      </c>
      <c r="D84" s="93">
        <v>140000</v>
      </c>
      <c r="E84" s="26">
        <v>7</v>
      </c>
      <c r="H84" s="93"/>
      <c r="I84" s="93"/>
      <c r="J84" s="95"/>
      <c r="K84" s="95"/>
      <c r="L84" s="95"/>
      <c r="M84" s="95"/>
      <c r="N84" s="95"/>
      <c r="O84" s="95"/>
      <c r="P84" s="95"/>
      <c r="Q84" s="95"/>
      <c r="R84" s="95"/>
      <c r="S84" s="95"/>
      <c r="T84" s="95"/>
    </row>
    <row r="85" spans="1:20">
      <c r="A85" s="74">
        <v>29</v>
      </c>
      <c r="B85" s="76">
        <v>135000</v>
      </c>
      <c r="C85" s="188">
        <v>7</v>
      </c>
      <c r="D85" s="93">
        <v>145000</v>
      </c>
      <c r="E85" s="26">
        <v>7</v>
      </c>
      <c r="H85" s="93"/>
      <c r="I85" s="93"/>
      <c r="J85" s="95"/>
      <c r="K85" s="95"/>
      <c r="L85" s="95"/>
      <c r="M85" s="95"/>
      <c r="N85" s="95"/>
      <c r="O85" s="95"/>
      <c r="P85" s="95"/>
      <c r="Q85" s="95"/>
      <c r="R85" s="95"/>
      <c r="S85" s="95"/>
      <c r="T85" s="95"/>
    </row>
    <row r="86" spans="1:20">
      <c r="A86" s="74">
        <v>30</v>
      </c>
      <c r="B86" s="76">
        <v>140000</v>
      </c>
      <c r="C86" s="188">
        <v>7</v>
      </c>
      <c r="D86" s="93">
        <v>150000</v>
      </c>
      <c r="E86" s="26">
        <v>7</v>
      </c>
      <c r="H86" s="93"/>
      <c r="I86" s="93"/>
      <c r="J86" s="95"/>
      <c r="K86" s="95"/>
      <c r="L86" s="95"/>
      <c r="M86" s="95"/>
      <c r="N86" s="95"/>
      <c r="O86" s="95"/>
      <c r="P86" s="95"/>
      <c r="Q86" s="95"/>
      <c r="R86" s="95"/>
      <c r="S86" s="95"/>
      <c r="T86" s="95"/>
    </row>
    <row r="87" spans="1:20">
      <c r="A87" s="74">
        <v>31</v>
      </c>
      <c r="B87" s="76">
        <v>145000</v>
      </c>
      <c r="C87" s="188">
        <v>7</v>
      </c>
      <c r="D87" s="93">
        <v>155000</v>
      </c>
      <c r="E87" s="26">
        <v>7</v>
      </c>
      <c r="H87" s="93"/>
      <c r="I87" s="93"/>
      <c r="J87" s="95"/>
      <c r="K87" s="95"/>
      <c r="L87" s="95"/>
      <c r="M87" s="95"/>
      <c r="N87" s="95"/>
      <c r="O87" s="95"/>
      <c r="P87" s="95"/>
      <c r="Q87" s="95"/>
      <c r="R87" s="95"/>
      <c r="S87" s="95"/>
      <c r="T87" s="95"/>
    </row>
    <row r="88" spans="1:20">
      <c r="A88" s="74">
        <v>32</v>
      </c>
      <c r="B88" s="76">
        <v>150000</v>
      </c>
      <c r="C88" s="188">
        <v>7</v>
      </c>
      <c r="D88" s="93">
        <v>160000</v>
      </c>
      <c r="E88" s="26">
        <v>7</v>
      </c>
      <c r="H88" s="93"/>
      <c r="I88" s="93"/>
      <c r="J88" s="95"/>
      <c r="K88" s="95"/>
      <c r="L88" s="95"/>
      <c r="M88" s="95"/>
      <c r="N88" s="95"/>
      <c r="O88" s="95"/>
      <c r="P88" s="95"/>
      <c r="Q88" s="95"/>
      <c r="R88" s="95"/>
      <c r="S88" s="95"/>
      <c r="T88" s="95"/>
    </row>
    <row r="89" spans="1:20">
      <c r="A89" s="74">
        <v>33</v>
      </c>
      <c r="B89" s="76">
        <v>155000</v>
      </c>
      <c r="C89" s="188">
        <v>7</v>
      </c>
      <c r="D89" s="93">
        <v>165000</v>
      </c>
      <c r="E89" s="26">
        <v>7</v>
      </c>
      <c r="H89" s="93"/>
      <c r="I89" s="93"/>
      <c r="J89" s="95"/>
      <c r="K89" s="95"/>
      <c r="L89" s="95"/>
      <c r="M89" s="95"/>
      <c r="N89" s="95"/>
      <c r="O89" s="95"/>
      <c r="P89" s="95"/>
      <c r="Q89" s="95"/>
      <c r="R89" s="95"/>
      <c r="S89" s="95"/>
      <c r="T89" s="95"/>
    </row>
    <row r="90" spans="1:20">
      <c r="A90" s="74">
        <v>34</v>
      </c>
      <c r="B90" s="76">
        <v>160000</v>
      </c>
      <c r="C90" s="188">
        <v>7</v>
      </c>
      <c r="D90" s="93">
        <v>170000</v>
      </c>
      <c r="E90" s="26">
        <v>7</v>
      </c>
      <c r="H90" s="93"/>
      <c r="I90" s="93"/>
      <c r="J90" s="95"/>
      <c r="K90" s="95"/>
      <c r="L90" s="95"/>
      <c r="M90" s="95"/>
      <c r="N90" s="95"/>
      <c r="O90" s="95"/>
      <c r="P90" s="95"/>
      <c r="Q90" s="95"/>
      <c r="R90" s="95"/>
      <c r="S90" s="95"/>
      <c r="T90" s="95"/>
    </row>
    <row r="91" spans="1:20">
      <c r="A91" s="74">
        <v>35</v>
      </c>
      <c r="B91" s="76">
        <v>165000</v>
      </c>
      <c r="C91" s="188">
        <v>7</v>
      </c>
      <c r="D91" s="93">
        <v>175000</v>
      </c>
      <c r="E91" s="26">
        <v>7</v>
      </c>
      <c r="H91" s="93"/>
      <c r="I91" s="93"/>
      <c r="J91" s="95"/>
      <c r="K91" s="95"/>
      <c r="L91" s="95"/>
      <c r="M91" s="95"/>
      <c r="N91" s="95"/>
      <c r="O91" s="95"/>
      <c r="P91" s="95"/>
      <c r="Q91" s="95"/>
      <c r="R91" s="95"/>
      <c r="S91" s="95"/>
      <c r="T91" s="95"/>
    </row>
    <row r="92" spans="1:20">
      <c r="A92" s="74">
        <v>36</v>
      </c>
      <c r="B92" s="76">
        <v>170000</v>
      </c>
      <c r="C92" s="188">
        <v>7</v>
      </c>
      <c r="D92" s="93">
        <v>180000</v>
      </c>
      <c r="E92" s="26">
        <v>7</v>
      </c>
      <c r="H92" s="93"/>
      <c r="I92" s="93"/>
      <c r="J92" s="95"/>
      <c r="K92" s="95"/>
      <c r="L92" s="95"/>
      <c r="M92" s="95"/>
      <c r="N92" s="95"/>
      <c r="O92" s="95"/>
      <c r="P92" s="95"/>
      <c r="Q92" s="95"/>
      <c r="R92" s="95"/>
      <c r="S92" s="95"/>
      <c r="T92" s="95"/>
    </row>
    <row r="93" spans="1:20">
      <c r="A93" s="74">
        <v>37</v>
      </c>
      <c r="B93" s="76">
        <v>175000</v>
      </c>
      <c r="C93" s="188">
        <v>7</v>
      </c>
      <c r="D93" s="93">
        <v>185000</v>
      </c>
      <c r="E93" s="26">
        <v>7</v>
      </c>
      <c r="H93" s="93"/>
      <c r="I93" s="93"/>
      <c r="J93" s="95"/>
      <c r="K93" s="95"/>
      <c r="L93" s="95"/>
      <c r="M93" s="95"/>
      <c r="N93" s="95"/>
      <c r="O93" s="95"/>
      <c r="P93" s="95"/>
      <c r="Q93" s="95"/>
      <c r="R93" s="95"/>
      <c r="S93" s="95"/>
      <c r="T93" s="95"/>
    </row>
    <row r="94" spans="1:20">
      <c r="A94" s="74">
        <v>38</v>
      </c>
      <c r="B94" s="76">
        <v>180000</v>
      </c>
      <c r="C94" s="188">
        <v>7</v>
      </c>
      <c r="D94" s="93">
        <v>190000</v>
      </c>
      <c r="E94" s="26">
        <v>7</v>
      </c>
      <c r="H94" s="93"/>
      <c r="I94" s="93"/>
      <c r="J94" s="95"/>
      <c r="K94" s="95"/>
      <c r="L94" s="95"/>
      <c r="M94" s="95"/>
      <c r="N94" s="95"/>
      <c r="O94" s="95"/>
      <c r="P94" s="95"/>
      <c r="Q94" s="95"/>
      <c r="R94" s="95"/>
      <c r="S94" s="95"/>
      <c r="T94" s="95"/>
    </row>
    <row r="95" spans="1:20">
      <c r="A95" s="74">
        <v>39</v>
      </c>
      <c r="B95" s="76">
        <v>185000</v>
      </c>
      <c r="C95" s="188">
        <v>7</v>
      </c>
      <c r="D95" s="93">
        <v>195000</v>
      </c>
      <c r="E95" s="26">
        <v>7</v>
      </c>
      <c r="H95" s="93"/>
      <c r="I95" s="93"/>
      <c r="J95" s="95"/>
      <c r="K95" s="95"/>
      <c r="L95" s="95"/>
      <c r="M95" s="95"/>
      <c r="N95" s="95"/>
      <c r="O95" s="95"/>
      <c r="P95" s="95"/>
      <c r="Q95" s="95"/>
      <c r="R95" s="95"/>
      <c r="S95" s="95"/>
      <c r="T95" s="95"/>
    </row>
    <row r="96" spans="1:20">
      <c r="A96" s="74">
        <v>40</v>
      </c>
      <c r="B96" s="76">
        <v>190000</v>
      </c>
      <c r="C96" s="188">
        <v>7</v>
      </c>
      <c r="D96" s="93">
        <v>200000</v>
      </c>
      <c r="E96" s="26">
        <v>7</v>
      </c>
      <c r="H96" s="93"/>
      <c r="I96" s="93"/>
      <c r="J96" s="95"/>
      <c r="K96" s="95"/>
      <c r="L96" s="95"/>
      <c r="M96" s="95"/>
      <c r="N96" s="95"/>
      <c r="O96" s="95"/>
      <c r="P96" s="95"/>
      <c r="Q96" s="95"/>
      <c r="R96" s="95"/>
      <c r="S96" s="95"/>
      <c r="T96" s="95"/>
    </row>
    <row r="97" spans="1:27" ht="16" thickBot="1"/>
    <row r="98" spans="1:27" ht="32" thickTop="1" thickBot="1">
      <c r="A98" s="282" t="s">
        <v>161</v>
      </c>
      <c r="B98" s="283"/>
      <c r="C98" s="283"/>
      <c r="D98" s="283"/>
      <c r="E98" s="283"/>
      <c r="F98" s="283"/>
      <c r="G98" s="283"/>
      <c r="H98" s="283"/>
      <c r="I98" s="283"/>
      <c r="J98" s="283"/>
      <c r="K98" s="283"/>
      <c r="L98" s="283"/>
      <c r="M98" s="283"/>
      <c r="N98" s="283"/>
      <c r="O98" s="283"/>
      <c r="P98" s="283"/>
      <c r="Q98" s="283"/>
      <c r="R98" s="283"/>
      <c r="S98" s="283"/>
      <c r="T98" s="283"/>
      <c r="U98" s="283"/>
      <c r="V98" s="283"/>
      <c r="W98" s="283"/>
      <c r="X98" s="283"/>
      <c r="Y98" s="283"/>
      <c r="Z98" s="283"/>
      <c r="AA98" s="284"/>
    </row>
    <row r="99" spans="1:27" ht="16" thickTop="1"/>
    <row r="100" spans="1:27">
      <c r="A100" s="26" t="s">
        <v>152</v>
      </c>
      <c r="B100" s="26">
        <v>1</v>
      </c>
      <c r="C100" s="26">
        <v>2</v>
      </c>
      <c r="D100" s="26">
        <v>3</v>
      </c>
      <c r="E100" s="26">
        <v>4</v>
      </c>
      <c r="F100" s="26">
        <v>5</v>
      </c>
      <c r="G100" s="26">
        <v>6</v>
      </c>
      <c r="H100" s="26">
        <v>7</v>
      </c>
      <c r="I100" s="26">
        <v>8</v>
      </c>
    </row>
    <row r="101" spans="1:27">
      <c r="A101" s="26" t="s">
        <v>163</v>
      </c>
      <c r="B101" s="26">
        <v>20</v>
      </c>
      <c r="C101" s="26">
        <v>30</v>
      </c>
      <c r="D101" s="26">
        <v>35</v>
      </c>
      <c r="E101" s="26">
        <v>40</v>
      </c>
      <c r="F101" s="26">
        <v>45</v>
      </c>
      <c r="G101" s="26">
        <v>50</v>
      </c>
      <c r="H101" s="26">
        <v>55</v>
      </c>
      <c r="I101" s="26">
        <v>60</v>
      </c>
    </row>
    <row r="102" spans="1:27" ht="16" thickBot="1"/>
    <row r="103" spans="1:27" ht="32" thickTop="1" thickBot="1">
      <c r="A103" s="285" t="s">
        <v>160</v>
      </c>
      <c r="B103" s="286"/>
      <c r="C103" s="286"/>
      <c r="D103" s="286"/>
      <c r="E103" s="286"/>
      <c r="F103" s="286"/>
      <c r="G103" s="286"/>
      <c r="H103" s="286"/>
      <c r="I103" s="286"/>
      <c r="J103" s="286"/>
      <c r="K103" s="286"/>
      <c r="L103" s="286"/>
      <c r="M103" s="286"/>
      <c r="N103" s="286"/>
      <c r="O103" s="286"/>
      <c r="P103" s="286"/>
      <c r="Q103" s="286"/>
      <c r="R103" s="286"/>
      <c r="S103" s="286"/>
      <c r="T103" s="286"/>
      <c r="U103" s="286"/>
      <c r="V103" s="286"/>
      <c r="W103" s="286"/>
      <c r="X103" s="286"/>
      <c r="Y103" s="286"/>
      <c r="Z103" s="286"/>
      <c r="AA103" s="287"/>
    </row>
    <row r="104" spans="1:27" ht="16" thickTop="1">
      <c r="A104" s="26" t="s">
        <v>153</v>
      </c>
      <c r="B104" s="26" t="s">
        <v>142</v>
      </c>
      <c r="C104" s="26" t="s">
        <v>31</v>
      </c>
      <c r="D104" s="26" t="s">
        <v>155</v>
      </c>
      <c r="E104" s="26" t="s">
        <v>156</v>
      </c>
      <c r="F104" s="26" t="s">
        <v>33</v>
      </c>
      <c r="G104" s="26" t="s">
        <v>34</v>
      </c>
      <c r="H104" s="26" t="s">
        <v>35</v>
      </c>
      <c r="I104" s="26" t="s">
        <v>36</v>
      </c>
      <c r="J104" s="26" t="s">
        <v>37</v>
      </c>
      <c r="K104" s="26" t="s">
        <v>38</v>
      </c>
    </row>
    <row r="105" spans="1:27">
      <c r="A105" s="26" t="s">
        <v>83</v>
      </c>
      <c r="B105" s="26" t="s">
        <v>150</v>
      </c>
      <c r="C105" s="26" t="s">
        <v>1</v>
      </c>
      <c r="D105" s="97">
        <v>0.33333333333333331</v>
      </c>
      <c r="E105" s="26">
        <v>1</v>
      </c>
      <c r="F105" s="71">
        <v>25</v>
      </c>
      <c r="G105" s="71">
        <v>40</v>
      </c>
      <c r="H105" s="71">
        <v>60</v>
      </c>
      <c r="I105" s="71">
        <v>80</v>
      </c>
      <c r="J105" s="71">
        <v>100</v>
      </c>
      <c r="K105" s="71">
        <v>150</v>
      </c>
    </row>
    <row r="106" spans="1:27">
      <c r="A106" s="26" t="s">
        <v>84</v>
      </c>
      <c r="B106" s="26" t="s">
        <v>150</v>
      </c>
      <c r="C106" s="26" t="s">
        <v>1</v>
      </c>
      <c r="D106" s="97">
        <v>0.41666666666666669</v>
      </c>
      <c r="E106" s="26">
        <v>1</v>
      </c>
      <c r="F106" s="71">
        <v>50</v>
      </c>
      <c r="G106" s="71">
        <v>80</v>
      </c>
      <c r="H106" s="71">
        <v>120</v>
      </c>
      <c r="I106" s="71">
        <v>160</v>
      </c>
      <c r="J106" s="71">
        <v>200</v>
      </c>
      <c r="K106" s="71">
        <v>300</v>
      </c>
    </row>
    <row r="107" spans="1:27">
      <c r="A107" s="26" t="s">
        <v>85</v>
      </c>
      <c r="B107" s="26" t="s">
        <v>150</v>
      </c>
      <c r="C107" s="26" t="s">
        <v>1</v>
      </c>
      <c r="D107" s="97">
        <v>0.5</v>
      </c>
      <c r="E107" s="26">
        <v>1</v>
      </c>
      <c r="F107" s="71">
        <v>25</v>
      </c>
      <c r="G107" s="71">
        <v>40</v>
      </c>
      <c r="H107" s="71">
        <v>60</v>
      </c>
      <c r="I107" s="71">
        <v>80</v>
      </c>
      <c r="J107" s="71">
        <v>100</v>
      </c>
      <c r="K107" s="71">
        <v>150</v>
      </c>
    </row>
    <row r="108" spans="1:27">
      <c r="A108" s="26" t="s">
        <v>86</v>
      </c>
      <c r="B108" s="26" t="s">
        <v>150</v>
      </c>
      <c r="C108" s="26" t="s">
        <v>1</v>
      </c>
      <c r="D108" s="97">
        <v>2</v>
      </c>
      <c r="E108" s="26">
        <v>5</v>
      </c>
      <c r="F108" s="71">
        <v>500</v>
      </c>
      <c r="G108" s="71">
        <v>1000</v>
      </c>
      <c r="H108" s="71">
        <v>1500</v>
      </c>
      <c r="I108" s="71">
        <v>2000</v>
      </c>
      <c r="J108" s="71">
        <v>2500</v>
      </c>
      <c r="K108" s="71">
        <v>3000</v>
      </c>
    </row>
    <row r="109" spans="1:27">
      <c r="A109" s="26" t="s">
        <v>87</v>
      </c>
      <c r="B109" s="26" t="s">
        <v>150</v>
      </c>
      <c r="C109" s="26" t="s">
        <v>1</v>
      </c>
      <c r="D109" s="97">
        <v>2</v>
      </c>
      <c r="E109" s="26">
        <v>2</v>
      </c>
      <c r="F109" s="71">
        <v>1000</v>
      </c>
      <c r="G109" s="71">
        <v>1500</v>
      </c>
      <c r="H109" s="71">
        <v>2000</v>
      </c>
      <c r="I109" s="71">
        <v>2500</v>
      </c>
      <c r="J109" s="71">
        <v>3000</v>
      </c>
      <c r="K109" s="71">
        <v>3500</v>
      </c>
    </row>
    <row r="110" spans="1:27">
      <c r="A110" s="26" t="s">
        <v>88</v>
      </c>
      <c r="B110" s="26" t="s">
        <v>150</v>
      </c>
      <c r="C110" s="26" t="s">
        <v>1</v>
      </c>
      <c r="D110" s="97">
        <v>8</v>
      </c>
      <c r="E110" s="26">
        <v>5</v>
      </c>
      <c r="F110" s="71">
        <v>2000</v>
      </c>
      <c r="G110" s="71">
        <v>2500</v>
      </c>
      <c r="H110" s="71">
        <v>3000</v>
      </c>
      <c r="I110" s="71">
        <v>3500</v>
      </c>
      <c r="J110" s="71">
        <v>4000</v>
      </c>
      <c r="K110" s="71">
        <v>4500</v>
      </c>
    </row>
    <row r="111" spans="1:27">
      <c r="A111" s="26" t="s">
        <v>89</v>
      </c>
      <c r="B111" s="26" t="s">
        <v>150</v>
      </c>
      <c r="C111" s="26" t="s">
        <v>1</v>
      </c>
      <c r="D111" s="97">
        <v>8</v>
      </c>
      <c r="E111" s="26">
        <v>4</v>
      </c>
      <c r="F111" s="71">
        <v>1500</v>
      </c>
      <c r="G111" s="71">
        <v>2000</v>
      </c>
      <c r="H111" s="71">
        <v>2500</v>
      </c>
      <c r="I111" s="71">
        <v>3000</v>
      </c>
      <c r="J111" s="71">
        <v>3500</v>
      </c>
      <c r="K111" s="71">
        <v>4000</v>
      </c>
    </row>
    <row r="112" spans="1:27">
      <c r="A112" s="26" t="s">
        <v>90</v>
      </c>
      <c r="B112" s="26" t="s">
        <v>150</v>
      </c>
      <c r="C112" s="26" t="s">
        <v>1</v>
      </c>
      <c r="D112" s="97">
        <v>15</v>
      </c>
      <c r="E112" s="26">
        <v>14</v>
      </c>
      <c r="F112" s="71">
        <v>5000</v>
      </c>
      <c r="G112" s="71">
        <v>6000</v>
      </c>
      <c r="H112" s="71">
        <v>8000</v>
      </c>
      <c r="I112" s="71">
        <v>10000</v>
      </c>
      <c r="J112" s="93" t="e">
        <v>#N/A</v>
      </c>
      <c r="K112" s="93" t="e">
        <v>#N/A</v>
      </c>
    </row>
    <row r="113" spans="1:27">
      <c r="A113" s="26" t="s">
        <v>91</v>
      </c>
      <c r="B113" s="26" t="s">
        <v>150</v>
      </c>
      <c r="C113" s="26" t="s">
        <v>1</v>
      </c>
      <c r="D113" s="97">
        <v>30</v>
      </c>
      <c r="E113" s="26">
        <v>20</v>
      </c>
      <c r="F113" s="71">
        <v>25000</v>
      </c>
      <c r="G113" s="71">
        <v>30000</v>
      </c>
      <c r="H113" s="71">
        <v>36000</v>
      </c>
      <c r="I113" s="71">
        <v>42000</v>
      </c>
      <c r="J113" s="93" t="e">
        <v>#N/A</v>
      </c>
      <c r="K113" s="93" t="e">
        <v>#N/A</v>
      </c>
    </row>
    <row r="114" spans="1:27">
      <c r="A114" s="26" t="s">
        <v>92</v>
      </c>
      <c r="B114" s="26" t="s">
        <v>150</v>
      </c>
      <c r="C114" s="26" t="s">
        <v>1</v>
      </c>
      <c r="D114" s="97">
        <v>45</v>
      </c>
      <c r="E114" s="26">
        <v>25</v>
      </c>
      <c r="F114" s="71">
        <v>30000</v>
      </c>
      <c r="G114" s="71">
        <v>35000</v>
      </c>
      <c r="H114" s="71">
        <v>42000</v>
      </c>
      <c r="I114" s="71">
        <v>45000</v>
      </c>
      <c r="J114" s="93">
        <v>50000</v>
      </c>
      <c r="K114" s="93" t="e">
        <v>#N/A</v>
      </c>
    </row>
    <row r="115" spans="1:27">
      <c r="A115" s="26" t="s">
        <v>93</v>
      </c>
      <c r="B115" s="26" t="s">
        <v>151</v>
      </c>
      <c r="C115" s="26" t="s">
        <v>1</v>
      </c>
      <c r="D115" s="97">
        <v>30</v>
      </c>
      <c r="E115" s="26">
        <v>1</v>
      </c>
      <c r="F115" s="71">
        <v>15000</v>
      </c>
      <c r="G115" s="71">
        <v>16500</v>
      </c>
      <c r="H115" s="71">
        <v>18000</v>
      </c>
      <c r="I115" s="71">
        <v>20000</v>
      </c>
      <c r="J115" s="71">
        <v>22000</v>
      </c>
      <c r="K115" s="71">
        <v>24000</v>
      </c>
    </row>
    <row r="116" spans="1:27">
      <c r="A116" s="26" t="s">
        <v>94</v>
      </c>
      <c r="B116" s="26" t="s">
        <v>151</v>
      </c>
      <c r="C116" s="26" t="s">
        <v>1</v>
      </c>
      <c r="D116" s="97">
        <v>30</v>
      </c>
      <c r="E116" s="26">
        <v>1</v>
      </c>
      <c r="F116" s="71">
        <v>15000</v>
      </c>
      <c r="G116" s="71">
        <v>165000</v>
      </c>
      <c r="H116" s="71">
        <v>18000</v>
      </c>
      <c r="I116" s="71">
        <v>20000</v>
      </c>
      <c r="J116" s="71">
        <v>22000</v>
      </c>
      <c r="K116" s="71">
        <v>24000</v>
      </c>
    </row>
    <row r="117" spans="1:27">
      <c r="A117" s="26" t="s">
        <v>95</v>
      </c>
      <c r="B117" s="26" t="s">
        <v>151</v>
      </c>
      <c r="C117" s="26" t="s">
        <v>1</v>
      </c>
      <c r="D117" s="97">
        <v>45</v>
      </c>
      <c r="E117" s="26">
        <v>1</v>
      </c>
      <c r="F117" s="71">
        <v>23000</v>
      </c>
      <c r="G117" s="71">
        <v>25000</v>
      </c>
      <c r="H117" s="71">
        <v>27000</v>
      </c>
      <c r="I117" s="71">
        <v>30000</v>
      </c>
      <c r="J117" s="71">
        <v>33000</v>
      </c>
      <c r="K117" s="93" t="e">
        <v>#N/A</v>
      </c>
    </row>
    <row r="118" spans="1:27">
      <c r="A118" s="26" t="s">
        <v>96</v>
      </c>
      <c r="B118" s="26" t="s">
        <v>151</v>
      </c>
      <c r="C118" s="26" t="s">
        <v>1</v>
      </c>
      <c r="D118" s="97">
        <v>45</v>
      </c>
      <c r="E118" s="26">
        <v>1</v>
      </c>
      <c r="F118" s="71">
        <v>23000</v>
      </c>
      <c r="G118" s="71">
        <v>27000</v>
      </c>
      <c r="H118" s="93">
        <v>31000</v>
      </c>
      <c r="I118" s="93" t="e">
        <v>#N/A</v>
      </c>
      <c r="J118" s="93" t="e">
        <v>#N/A</v>
      </c>
      <c r="K118" s="93" t="e">
        <v>#N/A</v>
      </c>
    </row>
    <row r="119" spans="1:27">
      <c r="A119" s="26" t="s">
        <v>97</v>
      </c>
      <c r="B119" s="26" t="s">
        <v>151</v>
      </c>
      <c r="C119" s="26" t="s">
        <v>1</v>
      </c>
      <c r="D119" s="97">
        <v>45</v>
      </c>
      <c r="E119" s="26">
        <v>1</v>
      </c>
      <c r="F119" s="71">
        <v>26000</v>
      </c>
      <c r="G119" s="71">
        <v>29000</v>
      </c>
      <c r="H119" s="71">
        <v>31000</v>
      </c>
      <c r="I119" s="71">
        <v>33000</v>
      </c>
      <c r="J119" s="71">
        <v>35000</v>
      </c>
      <c r="K119" s="93" t="e">
        <v>#N/A</v>
      </c>
    </row>
    <row r="120" spans="1:27">
      <c r="A120" s="26" t="s">
        <v>98</v>
      </c>
      <c r="B120" s="26" t="s">
        <v>150</v>
      </c>
      <c r="C120" s="26" t="s">
        <v>103</v>
      </c>
      <c r="D120" s="97">
        <v>0.75</v>
      </c>
      <c r="E120" s="26">
        <v>2</v>
      </c>
      <c r="F120" s="71">
        <v>6</v>
      </c>
      <c r="G120" s="71">
        <v>7</v>
      </c>
      <c r="H120" s="71">
        <v>8</v>
      </c>
      <c r="I120" s="71">
        <v>9</v>
      </c>
      <c r="J120" s="71">
        <v>10</v>
      </c>
      <c r="K120" s="71">
        <v>11</v>
      </c>
    </row>
    <row r="121" spans="1:27">
      <c r="A121" s="26" t="s">
        <v>99</v>
      </c>
      <c r="B121" s="26" t="s">
        <v>150</v>
      </c>
      <c r="C121" s="26" t="s">
        <v>103</v>
      </c>
      <c r="D121" s="97">
        <v>2</v>
      </c>
      <c r="E121" s="26">
        <v>5</v>
      </c>
      <c r="F121" s="71">
        <v>40</v>
      </c>
      <c r="G121" s="71">
        <v>45</v>
      </c>
      <c r="H121" s="71">
        <v>52</v>
      </c>
      <c r="I121" s="71">
        <v>58</v>
      </c>
      <c r="J121" s="71">
        <v>65</v>
      </c>
      <c r="K121" s="93" t="e">
        <v>#N/A</v>
      </c>
    </row>
    <row r="122" spans="1:27">
      <c r="A122" s="26" t="s">
        <v>100</v>
      </c>
      <c r="B122" s="26" t="s">
        <v>150</v>
      </c>
      <c r="C122" s="26" t="s">
        <v>103</v>
      </c>
      <c r="D122" s="97">
        <v>15</v>
      </c>
      <c r="E122" s="26">
        <v>8</v>
      </c>
      <c r="F122" s="71">
        <v>70</v>
      </c>
      <c r="G122" s="71">
        <v>100</v>
      </c>
      <c r="H122" s="71">
        <v>130</v>
      </c>
      <c r="I122" s="71">
        <v>160</v>
      </c>
      <c r="J122" s="93" t="e">
        <v>#N/A</v>
      </c>
      <c r="K122" s="93" t="e">
        <v>#N/A</v>
      </c>
    </row>
    <row r="123" spans="1:27">
      <c r="A123" s="26" t="s">
        <v>101</v>
      </c>
      <c r="B123" s="26" t="s">
        <v>150</v>
      </c>
      <c r="C123" s="26" t="s">
        <v>103</v>
      </c>
      <c r="D123" s="97">
        <v>45</v>
      </c>
      <c r="E123" s="26">
        <v>30</v>
      </c>
      <c r="F123" s="71">
        <v>450</v>
      </c>
      <c r="G123" s="71">
        <v>525</v>
      </c>
      <c r="H123" s="71">
        <v>600</v>
      </c>
      <c r="I123" s="71">
        <v>675</v>
      </c>
      <c r="J123" s="71">
        <v>750</v>
      </c>
      <c r="K123" s="93" t="e">
        <v>#N/A</v>
      </c>
    </row>
    <row r="124" spans="1:27">
      <c r="A124" s="26" t="s">
        <v>102</v>
      </c>
      <c r="B124" s="26" t="s">
        <v>150</v>
      </c>
      <c r="C124" s="26" t="s">
        <v>103</v>
      </c>
      <c r="D124" s="97">
        <v>20</v>
      </c>
      <c r="E124" s="26">
        <v>12</v>
      </c>
      <c r="F124" s="71">
        <v>250</v>
      </c>
      <c r="G124" s="71">
        <v>350</v>
      </c>
      <c r="H124" s="93" t="e">
        <v>#N/A</v>
      </c>
      <c r="I124" s="93" t="e">
        <v>#N/A</v>
      </c>
      <c r="J124" s="93" t="e">
        <v>#N/A</v>
      </c>
      <c r="K124" s="93" t="e">
        <v>#N/A</v>
      </c>
    </row>
    <row r="126" spans="1:27" ht="16" thickBot="1"/>
    <row r="127" spans="1:27" ht="32" thickTop="1" thickBot="1">
      <c r="A127" s="282" t="s">
        <v>104</v>
      </c>
      <c r="B127" s="283"/>
      <c r="C127" s="283"/>
      <c r="D127" s="283"/>
      <c r="E127" s="283"/>
      <c r="F127" s="283"/>
      <c r="G127" s="283"/>
      <c r="H127" s="283"/>
      <c r="I127" s="283"/>
      <c r="J127" s="283"/>
      <c r="K127" s="283"/>
      <c r="L127" s="283"/>
      <c r="M127" s="283"/>
      <c r="N127" s="283"/>
      <c r="O127" s="283"/>
      <c r="P127" s="283"/>
      <c r="Q127" s="283"/>
      <c r="R127" s="283"/>
      <c r="S127" s="283"/>
      <c r="T127" s="283"/>
      <c r="U127" s="283"/>
      <c r="V127" s="283"/>
      <c r="W127" s="283"/>
      <c r="X127" s="283"/>
      <c r="Y127" s="283"/>
      <c r="Z127" s="283"/>
      <c r="AA127" s="284"/>
    </row>
    <row r="128" spans="1:27" ht="16" thickTop="1">
      <c r="A128" s="26" t="s">
        <v>104</v>
      </c>
      <c r="B128" s="26" t="s">
        <v>73</v>
      </c>
      <c r="C128" s="26" t="s">
        <v>74</v>
      </c>
      <c r="D128" s="26" t="s">
        <v>75</v>
      </c>
      <c r="E128" s="26" t="s">
        <v>76</v>
      </c>
      <c r="F128" s="26" t="s">
        <v>77</v>
      </c>
      <c r="G128" s="26" t="s">
        <v>78</v>
      </c>
      <c r="H128" s="26" t="s">
        <v>79</v>
      </c>
      <c r="I128" s="26" t="s">
        <v>80</v>
      </c>
      <c r="J128" s="26" t="s">
        <v>82</v>
      </c>
      <c r="K128" s="26" t="s">
        <v>81</v>
      </c>
    </row>
    <row r="129" spans="1:11">
      <c r="A129" s="26" t="s">
        <v>13</v>
      </c>
      <c r="B129" s="26">
        <v>1</v>
      </c>
      <c r="C129" s="26">
        <v>1</v>
      </c>
      <c r="D129" s="26">
        <v>1</v>
      </c>
      <c r="E129" s="26">
        <v>1</v>
      </c>
      <c r="F129" s="26">
        <v>1</v>
      </c>
      <c r="G129" s="26">
        <v>1</v>
      </c>
      <c r="H129" s="26">
        <v>1</v>
      </c>
      <c r="I129" s="26">
        <v>1</v>
      </c>
      <c r="J129" s="26">
        <v>1</v>
      </c>
      <c r="K129" s="26">
        <v>1</v>
      </c>
    </row>
    <row r="130" spans="1:11">
      <c r="A130" s="26" t="s">
        <v>21</v>
      </c>
      <c r="B130" s="26">
        <v>0</v>
      </c>
      <c r="C130" s="26">
        <v>0</v>
      </c>
      <c r="D130" s="26">
        <v>1</v>
      </c>
      <c r="E130" s="26">
        <v>1</v>
      </c>
      <c r="F130" s="26">
        <v>1</v>
      </c>
      <c r="G130" s="26">
        <v>1</v>
      </c>
      <c r="H130" s="26">
        <v>1</v>
      </c>
      <c r="I130" s="26">
        <v>1</v>
      </c>
      <c r="J130" s="26">
        <v>1</v>
      </c>
      <c r="K130" s="26">
        <v>1</v>
      </c>
    </row>
    <row r="131" spans="1:11">
      <c r="A131" s="26" t="s">
        <v>15</v>
      </c>
      <c r="B131" s="26">
        <v>1</v>
      </c>
      <c r="C131" s="26">
        <v>2</v>
      </c>
      <c r="D131" s="98">
        <v>3</v>
      </c>
      <c r="E131" s="26">
        <v>4</v>
      </c>
      <c r="F131" s="26">
        <v>5</v>
      </c>
      <c r="G131" s="26">
        <v>6</v>
      </c>
      <c r="H131" s="26">
        <v>6</v>
      </c>
      <c r="I131" s="26">
        <v>6</v>
      </c>
      <c r="J131" s="26">
        <v>6</v>
      </c>
      <c r="K131" s="26">
        <v>7</v>
      </c>
    </row>
    <row r="132" spans="1:11">
      <c r="A132" s="26" t="s">
        <v>16</v>
      </c>
      <c r="B132" s="26">
        <v>1</v>
      </c>
      <c r="C132" s="26">
        <v>2</v>
      </c>
      <c r="D132" s="26">
        <v>3</v>
      </c>
      <c r="E132" s="26">
        <v>4</v>
      </c>
      <c r="F132" s="26">
        <v>5</v>
      </c>
      <c r="G132" s="26">
        <v>6</v>
      </c>
      <c r="H132" s="26">
        <v>6</v>
      </c>
      <c r="I132" s="26">
        <v>6</v>
      </c>
      <c r="J132" s="26">
        <v>6</v>
      </c>
      <c r="K132" s="26">
        <v>7</v>
      </c>
    </row>
    <row r="133" spans="1:11">
      <c r="A133" s="26" t="s">
        <v>17</v>
      </c>
      <c r="B133" s="26">
        <v>0</v>
      </c>
      <c r="C133" s="26">
        <v>0</v>
      </c>
      <c r="D133" s="26">
        <v>0</v>
      </c>
      <c r="E133" s="26">
        <v>0</v>
      </c>
      <c r="F133" s="26">
        <v>0</v>
      </c>
      <c r="G133" s="26">
        <v>0</v>
      </c>
      <c r="H133" s="26">
        <v>0</v>
      </c>
      <c r="I133" s="26">
        <v>1</v>
      </c>
      <c r="J133" s="26">
        <v>2</v>
      </c>
      <c r="K133" s="26">
        <v>3</v>
      </c>
    </row>
    <row r="134" spans="1:11">
      <c r="A134" s="26" t="s">
        <v>3</v>
      </c>
      <c r="B134" s="26">
        <v>1</v>
      </c>
      <c r="C134" s="26">
        <v>1</v>
      </c>
      <c r="D134" s="26">
        <v>2</v>
      </c>
      <c r="E134" s="26">
        <v>2</v>
      </c>
      <c r="F134" s="26">
        <v>2</v>
      </c>
      <c r="G134" s="26">
        <v>2</v>
      </c>
      <c r="H134" s="26">
        <v>2</v>
      </c>
      <c r="I134" s="26">
        <v>3</v>
      </c>
      <c r="J134" s="26">
        <v>4</v>
      </c>
      <c r="K134" s="26">
        <v>4</v>
      </c>
    </row>
    <row r="135" spans="1:11">
      <c r="A135" s="26" t="s">
        <v>4</v>
      </c>
      <c r="B135" s="26">
        <v>1</v>
      </c>
      <c r="C135" s="26">
        <v>1</v>
      </c>
      <c r="D135" s="26">
        <v>2</v>
      </c>
      <c r="E135" s="26">
        <v>2</v>
      </c>
      <c r="F135" s="26">
        <v>2</v>
      </c>
      <c r="G135" s="26">
        <v>2</v>
      </c>
      <c r="H135" s="26">
        <v>2</v>
      </c>
      <c r="I135" s="26">
        <v>3</v>
      </c>
      <c r="J135" s="26">
        <v>4</v>
      </c>
      <c r="K135" s="26">
        <v>4</v>
      </c>
    </row>
    <row r="136" spans="1:11">
      <c r="A136" s="26" t="s">
        <v>18</v>
      </c>
      <c r="B136" s="26">
        <v>0</v>
      </c>
      <c r="C136" s="26">
        <v>0</v>
      </c>
      <c r="D136" s="26">
        <v>0</v>
      </c>
      <c r="E136" s="26">
        <v>0</v>
      </c>
      <c r="F136" s="26">
        <v>0</v>
      </c>
      <c r="G136" s="26">
        <v>0</v>
      </c>
      <c r="H136" s="26">
        <v>1</v>
      </c>
      <c r="I136" s="26">
        <v>1</v>
      </c>
      <c r="J136" s="26">
        <v>1</v>
      </c>
      <c r="K136" s="26">
        <v>1</v>
      </c>
    </row>
    <row r="137" spans="1:11">
      <c r="A137" s="26" t="s">
        <v>19</v>
      </c>
      <c r="B137" s="26">
        <v>0</v>
      </c>
      <c r="C137" s="26">
        <v>0</v>
      </c>
      <c r="D137" s="26">
        <v>0</v>
      </c>
      <c r="E137" s="26">
        <v>0</v>
      </c>
      <c r="F137" s="26">
        <v>0</v>
      </c>
      <c r="G137" s="26">
        <v>0</v>
      </c>
      <c r="H137" s="26">
        <v>1</v>
      </c>
      <c r="I137" s="26">
        <v>2</v>
      </c>
      <c r="J137" s="26">
        <v>2</v>
      </c>
      <c r="K137" s="26">
        <v>2</v>
      </c>
    </row>
    <row r="138" spans="1:11">
      <c r="A138" s="26" t="s">
        <v>2</v>
      </c>
      <c r="B138" s="26">
        <v>1</v>
      </c>
      <c r="C138" s="26">
        <v>2</v>
      </c>
      <c r="D138" s="26">
        <v>2</v>
      </c>
      <c r="E138" s="26">
        <v>3</v>
      </c>
      <c r="F138" s="26">
        <v>3</v>
      </c>
      <c r="G138" s="26">
        <v>3</v>
      </c>
      <c r="H138" s="26">
        <v>4</v>
      </c>
      <c r="I138" s="26">
        <v>4</v>
      </c>
      <c r="J138" s="26">
        <v>4</v>
      </c>
      <c r="K138" s="26">
        <v>4</v>
      </c>
    </row>
    <row r="139" spans="1:11">
      <c r="A139" s="26" t="s">
        <v>20</v>
      </c>
      <c r="B139" s="26">
        <v>1</v>
      </c>
      <c r="C139" s="26">
        <v>1</v>
      </c>
      <c r="D139" s="26">
        <v>2</v>
      </c>
      <c r="E139" s="26">
        <v>2</v>
      </c>
      <c r="F139" s="26">
        <v>3</v>
      </c>
      <c r="G139" s="26">
        <v>3</v>
      </c>
      <c r="H139" s="26">
        <v>4</v>
      </c>
      <c r="I139" s="26">
        <v>4</v>
      </c>
      <c r="J139" s="26">
        <v>4</v>
      </c>
      <c r="K139" s="26">
        <v>4</v>
      </c>
    </row>
    <row r="140" spans="1:11">
      <c r="A140" s="26" t="s">
        <v>5</v>
      </c>
      <c r="B140" s="26">
        <v>0</v>
      </c>
      <c r="C140" s="26">
        <v>0</v>
      </c>
      <c r="D140" s="26">
        <v>1</v>
      </c>
      <c r="E140" s="26">
        <v>1</v>
      </c>
      <c r="F140" s="26">
        <v>1</v>
      </c>
      <c r="G140" s="26">
        <v>1</v>
      </c>
      <c r="H140" s="26">
        <v>1</v>
      </c>
      <c r="I140" s="26">
        <v>1</v>
      </c>
      <c r="J140" s="26">
        <v>1</v>
      </c>
      <c r="K140" s="26">
        <v>1</v>
      </c>
    </row>
    <row r="141" spans="1:11">
      <c r="A141" s="26" t="s">
        <v>22</v>
      </c>
      <c r="B141" s="26">
        <v>0</v>
      </c>
      <c r="C141" s="26">
        <v>0</v>
      </c>
      <c r="D141" s="26">
        <v>0</v>
      </c>
      <c r="E141" s="26">
        <v>0</v>
      </c>
      <c r="F141" s="26">
        <v>1</v>
      </c>
      <c r="G141" s="26">
        <v>1</v>
      </c>
      <c r="H141" s="26">
        <v>1</v>
      </c>
      <c r="I141" s="26">
        <v>1</v>
      </c>
      <c r="J141" s="26">
        <v>1</v>
      </c>
      <c r="K141" s="26">
        <v>1</v>
      </c>
    </row>
    <row r="142" spans="1:11">
      <c r="A142" s="26" t="s">
        <v>6</v>
      </c>
      <c r="B142" s="26">
        <v>2</v>
      </c>
      <c r="C142" s="26">
        <v>2</v>
      </c>
      <c r="D142" s="26">
        <v>2</v>
      </c>
      <c r="E142" s="26">
        <v>2</v>
      </c>
      <c r="F142" s="26">
        <v>3</v>
      </c>
      <c r="G142" s="26">
        <v>3</v>
      </c>
      <c r="H142" s="26">
        <v>5</v>
      </c>
      <c r="I142" s="26">
        <v>5</v>
      </c>
      <c r="J142" s="26">
        <v>5</v>
      </c>
      <c r="K142" s="26">
        <v>6</v>
      </c>
    </row>
    <row r="143" spans="1:11">
      <c r="A143" s="26" t="s">
        <v>23</v>
      </c>
      <c r="B143" s="26">
        <v>0</v>
      </c>
      <c r="C143" s="26">
        <v>1</v>
      </c>
      <c r="D143" s="26">
        <v>1</v>
      </c>
      <c r="E143" s="26">
        <v>2</v>
      </c>
      <c r="F143" s="26">
        <v>3</v>
      </c>
      <c r="G143" s="26">
        <v>3</v>
      </c>
      <c r="H143" s="26">
        <v>4</v>
      </c>
      <c r="I143" s="26">
        <v>5</v>
      </c>
      <c r="J143" s="26">
        <v>6</v>
      </c>
      <c r="K143" s="26">
        <v>7</v>
      </c>
    </row>
    <row r="144" spans="1:11">
      <c r="A144" s="26" t="s">
        <v>24</v>
      </c>
      <c r="B144" s="26">
        <v>0</v>
      </c>
      <c r="C144" s="26">
        <v>25</v>
      </c>
      <c r="D144" s="26">
        <v>50</v>
      </c>
      <c r="E144" s="26">
        <v>75</v>
      </c>
      <c r="F144" s="26">
        <v>100</v>
      </c>
      <c r="G144" s="26">
        <v>125</v>
      </c>
      <c r="H144" s="26">
        <v>175</v>
      </c>
      <c r="I144" s="26">
        <v>225</v>
      </c>
      <c r="J144" s="26">
        <v>250</v>
      </c>
      <c r="K144" s="26">
        <v>250</v>
      </c>
    </row>
    <row r="145" spans="1:11">
      <c r="A145" s="26" t="s">
        <v>7</v>
      </c>
      <c r="B145" s="26">
        <v>0</v>
      </c>
      <c r="C145" s="26">
        <v>0</v>
      </c>
      <c r="D145" s="26">
        <v>1</v>
      </c>
      <c r="E145" s="26">
        <v>1</v>
      </c>
      <c r="F145" s="26">
        <v>1</v>
      </c>
      <c r="G145" s="26">
        <v>2</v>
      </c>
      <c r="H145" s="26">
        <v>3</v>
      </c>
      <c r="I145" s="26">
        <v>3</v>
      </c>
      <c r="J145" s="26">
        <v>3</v>
      </c>
      <c r="K145" s="26">
        <v>3</v>
      </c>
    </row>
    <row r="146" spans="1:11">
      <c r="A146" s="26" t="s">
        <v>8</v>
      </c>
      <c r="B146" s="26">
        <v>0</v>
      </c>
      <c r="C146" s="26">
        <v>0</v>
      </c>
      <c r="D146" s="26">
        <v>2</v>
      </c>
      <c r="E146" s="26">
        <v>2</v>
      </c>
      <c r="F146" s="26">
        <v>4</v>
      </c>
      <c r="G146" s="26">
        <v>4</v>
      </c>
      <c r="H146" s="26">
        <v>6</v>
      </c>
      <c r="I146" s="26">
        <v>6</v>
      </c>
      <c r="J146" s="26">
        <v>6</v>
      </c>
      <c r="K146" s="26">
        <v>6</v>
      </c>
    </row>
    <row r="147" spans="1:11">
      <c r="A147" s="26" t="s">
        <v>25</v>
      </c>
      <c r="B147" s="26">
        <v>0</v>
      </c>
      <c r="C147" s="26">
        <v>0</v>
      </c>
      <c r="D147" s="26">
        <v>0</v>
      </c>
      <c r="E147" s="26">
        <v>1</v>
      </c>
      <c r="F147" s="26">
        <v>1</v>
      </c>
      <c r="G147" s="26">
        <v>1</v>
      </c>
      <c r="H147" s="26">
        <v>2</v>
      </c>
      <c r="I147" s="26">
        <v>3</v>
      </c>
      <c r="J147" s="26">
        <v>4</v>
      </c>
      <c r="K147" s="26">
        <v>4</v>
      </c>
    </row>
    <row r="148" spans="1:11">
      <c r="A148" s="26" t="s">
        <v>26</v>
      </c>
      <c r="B148" s="26">
        <v>0</v>
      </c>
      <c r="C148" s="26">
        <v>0</v>
      </c>
      <c r="D148" s="26">
        <v>0</v>
      </c>
      <c r="E148" s="26">
        <v>2</v>
      </c>
      <c r="F148" s="26">
        <v>2</v>
      </c>
      <c r="G148" s="26">
        <v>4</v>
      </c>
      <c r="H148" s="26">
        <v>4</v>
      </c>
      <c r="I148" s="26">
        <v>6</v>
      </c>
      <c r="J148" s="26">
        <v>6</v>
      </c>
      <c r="K148" s="26">
        <v>6</v>
      </c>
    </row>
    <row r="149" spans="1:11">
      <c r="A149" s="26" t="s">
        <v>27</v>
      </c>
      <c r="B149" s="26">
        <v>0</v>
      </c>
      <c r="C149" s="26">
        <v>0</v>
      </c>
      <c r="D149" s="26">
        <v>0</v>
      </c>
      <c r="E149" s="26">
        <v>0</v>
      </c>
      <c r="F149" s="26">
        <v>1</v>
      </c>
      <c r="G149" s="26">
        <v>2</v>
      </c>
      <c r="H149" s="26">
        <v>2</v>
      </c>
      <c r="I149" s="26">
        <v>3</v>
      </c>
      <c r="J149" s="26">
        <v>4</v>
      </c>
      <c r="K149" s="26">
        <v>4</v>
      </c>
    </row>
    <row r="150" spans="1:11">
      <c r="A150" s="26" t="s">
        <v>9</v>
      </c>
      <c r="B150" s="26">
        <v>0</v>
      </c>
      <c r="C150" s="26">
        <v>0</v>
      </c>
      <c r="D150" s="26">
        <v>0</v>
      </c>
      <c r="E150" s="26">
        <v>0</v>
      </c>
      <c r="F150" s="26">
        <v>0</v>
      </c>
      <c r="G150" s="26">
        <v>1</v>
      </c>
      <c r="H150" s="26">
        <v>2</v>
      </c>
      <c r="I150" s="26">
        <v>3</v>
      </c>
      <c r="J150" s="26">
        <v>4</v>
      </c>
      <c r="K150" s="26">
        <v>5</v>
      </c>
    </row>
    <row r="151" spans="1:11">
      <c r="A151" s="26" t="s">
        <v>10</v>
      </c>
      <c r="B151" s="26">
        <v>0</v>
      </c>
      <c r="C151" s="26">
        <v>0</v>
      </c>
      <c r="D151" s="26">
        <v>0</v>
      </c>
      <c r="E151" s="26">
        <v>0</v>
      </c>
      <c r="F151" s="26">
        <v>2</v>
      </c>
      <c r="G151" s="26">
        <v>2</v>
      </c>
      <c r="H151" s="26">
        <v>2</v>
      </c>
      <c r="I151" s="26">
        <v>4</v>
      </c>
      <c r="J151" s="26">
        <v>4</v>
      </c>
      <c r="K151" s="26">
        <v>5</v>
      </c>
    </row>
    <row r="152" spans="1:11">
      <c r="A152" s="26" t="s">
        <v>28</v>
      </c>
      <c r="B152" s="26">
        <v>0</v>
      </c>
      <c r="C152" s="26">
        <v>0</v>
      </c>
      <c r="D152" s="26">
        <v>0</v>
      </c>
      <c r="E152" s="26">
        <v>0</v>
      </c>
      <c r="F152" s="26">
        <v>0</v>
      </c>
      <c r="G152" s="26">
        <v>0</v>
      </c>
      <c r="H152" s="26">
        <v>1</v>
      </c>
      <c r="I152" s="26">
        <v>2</v>
      </c>
      <c r="J152" s="26">
        <v>4</v>
      </c>
      <c r="K152" s="26">
        <v>5</v>
      </c>
    </row>
    <row r="153" spans="1:11">
      <c r="A153" s="26" t="s">
        <v>11</v>
      </c>
      <c r="B153" s="26">
        <v>0</v>
      </c>
      <c r="C153" s="26">
        <v>0</v>
      </c>
      <c r="D153" s="26">
        <v>0</v>
      </c>
      <c r="E153" s="26">
        <v>0</v>
      </c>
      <c r="F153" s="26">
        <v>0</v>
      </c>
      <c r="G153" s="26">
        <v>0</v>
      </c>
      <c r="H153" s="26">
        <v>2</v>
      </c>
      <c r="I153" s="26">
        <v>3</v>
      </c>
      <c r="J153" s="26">
        <v>4</v>
      </c>
      <c r="K153" s="26">
        <v>4</v>
      </c>
    </row>
    <row r="154" spans="1:11">
      <c r="A154" s="26" t="s">
        <v>12</v>
      </c>
      <c r="B154" s="26">
        <v>0</v>
      </c>
      <c r="C154" s="26">
        <v>0</v>
      </c>
      <c r="D154" s="26">
        <v>0</v>
      </c>
      <c r="E154" s="26">
        <v>0</v>
      </c>
      <c r="F154" s="26">
        <v>0</v>
      </c>
      <c r="G154" s="26">
        <v>0</v>
      </c>
      <c r="H154" s="26">
        <v>0</v>
      </c>
      <c r="I154" s="26">
        <v>0</v>
      </c>
      <c r="J154" s="26">
        <v>2</v>
      </c>
      <c r="K154" s="26">
        <v>3</v>
      </c>
    </row>
    <row r="155" spans="1:11">
      <c r="A155" s="26" t="s">
        <v>29</v>
      </c>
      <c r="B155" s="26">
        <v>0</v>
      </c>
      <c r="C155" s="26">
        <v>0</v>
      </c>
      <c r="D155" s="26">
        <v>0</v>
      </c>
      <c r="E155" s="26">
        <v>0</v>
      </c>
      <c r="F155" s="26">
        <v>0</v>
      </c>
      <c r="G155" s="26">
        <v>0</v>
      </c>
      <c r="H155" s="26">
        <v>0</v>
      </c>
      <c r="I155" s="26">
        <v>0</v>
      </c>
      <c r="J155" s="26">
        <v>0</v>
      </c>
      <c r="K155" s="26">
        <v>2</v>
      </c>
    </row>
    <row r="156" spans="1:11">
      <c r="A156" s="26" t="s">
        <v>106</v>
      </c>
      <c r="B156" s="26">
        <v>0</v>
      </c>
      <c r="C156" s="26">
        <v>0</v>
      </c>
      <c r="D156" s="26">
        <v>0</v>
      </c>
      <c r="E156" s="26">
        <v>0</v>
      </c>
      <c r="F156" s="26">
        <v>0</v>
      </c>
      <c r="G156" s="26">
        <v>0</v>
      </c>
      <c r="H156" s="26">
        <v>1</v>
      </c>
      <c r="I156" s="26">
        <v>1</v>
      </c>
      <c r="J156" s="26">
        <v>1</v>
      </c>
      <c r="K156" s="26">
        <v>1</v>
      </c>
    </row>
    <row r="157" spans="1:11">
      <c r="A157" s="26" t="s">
        <v>107</v>
      </c>
      <c r="B157" s="26">
        <v>0</v>
      </c>
      <c r="C157" s="26">
        <v>0</v>
      </c>
      <c r="D157" s="26">
        <v>0</v>
      </c>
      <c r="E157" s="26">
        <v>0</v>
      </c>
      <c r="F157" s="26">
        <v>0</v>
      </c>
      <c r="G157" s="26">
        <v>0</v>
      </c>
      <c r="H157" s="26">
        <v>0</v>
      </c>
      <c r="I157" s="26">
        <v>0</v>
      </c>
      <c r="J157" s="26">
        <v>1</v>
      </c>
      <c r="K157" s="26">
        <v>1</v>
      </c>
    </row>
    <row r="158" spans="1:11">
      <c r="A158" s="26" t="s">
        <v>225</v>
      </c>
      <c r="B158" s="26">
        <v>0</v>
      </c>
      <c r="C158" s="26">
        <v>0</v>
      </c>
      <c r="D158" s="26">
        <v>0</v>
      </c>
      <c r="E158" s="26">
        <v>0</v>
      </c>
      <c r="F158" s="26">
        <v>0</v>
      </c>
      <c r="G158" s="26">
        <v>0</v>
      </c>
      <c r="H158" s="26">
        <v>1</v>
      </c>
      <c r="I158" s="26">
        <v>1</v>
      </c>
      <c r="J158" s="26">
        <v>1</v>
      </c>
      <c r="K158" s="26">
        <v>1</v>
      </c>
    </row>
    <row r="159" spans="1:11">
      <c r="A159" s="26" t="s">
        <v>230</v>
      </c>
      <c r="B159" s="26">
        <v>0</v>
      </c>
      <c r="C159" s="26">
        <v>0</v>
      </c>
      <c r="D159" s="26">
        <v>0</v>
      </c>
      <c r="E159" s="26">
        <v>0</v>
      </c>
      <c r="F159" s="26">
        <v>0</v>
      </c>
      <c r="G159" s="26">
        <v>0</v>
      </c>
      <c r="H159" s="26">
        <v>0</v>
      </c>
      <c r="I159" s="26">
        <v>0</v>
      </c>
      <c r="J159" s="26">
        <v>1</v>
      </c>
      <c r="K159" s="26">
        <v>1</v>
      </c>
    </row>
    <row r="160" spans="1:11">
      <c r="A160" s="26" t="s">
        <v>83</v>
      </c>
      <c r="B160" s="26">
        <v>1</v>
      </c>
      <c r="C160" s="26">
        <v>1</v>
      </c>
      <c r="D160" s="26">
        <v>1</v>
      </c>
      <c r="E160" s="26">
        <v>1</v>
      </c>
      <c r="F160" s="26">
        <v>1</v>
      </c>
      <c r="G160" s="26">
        <v>1</v>
      </c>
      <c r="H160" s="26">
        <v>1</v>
      </c>
      <c r="I160" s="26">
        <v>1</v>
      </c>
      <c r="J160" s="26">
        <v>0</v>
      </c>
      <c r="K160" s="26">
        <v>0</v>
      </c>
    </row>
    <row r="161" spans="1:11">
      <c r="A161" s="26" t="s">
        <v>84</v>
      </c>
      <c r="B161" s="26">
        <v>1</v>
      </c>
      <c r="C161" s="26">
        <v>1</v>
      </c>
      <c r="D161" s="26">
        <v>1</v>
      </c>
      <c r="E161" s="26">
        <v>1</v>
      </c>
      <c r="F161" s="26">
        <v>1</v>
      </c>
      <c r="G161" s="26">
        <v>1</v>
      </c>
      <c r="H161" s="26">
        <v>1</v>
      </c>
      <c r="I161" s="26">
        <v>1</v>
      </c>
      <c r="J161" s="26">
        <v>0</v>
      </c>
      <c r="K161" s="26">
        <v>0</v>
      </c>
    </row>
    <row r="162" spans="1:11">
      <c r="A162" s="26" t="s">
        <v>85</v>
      </c>
      <c r="B162" s="26">
        <v>1</v>
      </c>
      <c r="C162" s="26">
        <v>1</v>
      </c>
      <c r="D162" s="26">
        <v>1</v>
      </c>
      <c r="E162" s="26">
        <v>1</v>
      </c>
      <c r="F162" s="26">
        <v>1</v>
      </c>
      <c r="G162" s="26">
        <v>1</v>
      </c>
      <c r="H162" s="26">
        <v>1</v>
      </c>
      <c r="I162" s="26">
        <v>1</v>
      </c>
      <c r="J162" s="26">
        <v>0</v>
      </c>
      <c r="K162" s="26">
        <v>0</v>
      </c>
    </row>
    <row r="163" spans="1:11">
      <c r="A163" s="26" t="s">
        <v>86</v>
      </c>
      <c r="B163" s="26">
        <v>0</v>
      </c>
      <c r="C163" s="26">
        <v>1</v>
      </c>
      <c r="D163" s="26">
        <v>1</v>
      </c>
      <c r="E163" s="26">
        <v>1</v>
      </c>
      <c r="F163" s="26">
        <v>1</v>
      </c>
      <c r="G163" s="26">
        <v>1</v>
      </c>
      <c r="H163" s="26">
        <v>1</v>
      </c>
      <c r="I163" s="26">
        <v>1</v>
      </c>
      <c r="J163" s="26">
        <v>0</v>
      </c>
      <c r="K163" s="26">
        <v>0</v>
      </c>
    </row>
    <row r="164" spans="1:11">
      <c r="A164" s="26" t="s">
        <v>87</v>
      </c>
      <c r="B164" s="26">
        <v>0</v>
      </c>
      <c r="C164" s="26">
        <v>1</v>
      </c>
      <c r="D164" s="26">
        <v>1</v>
      </c>
      <c r="E164" s="26">
        <v>1</v>
      </c>
      <c r="F164" s="26">
        <v>1</v>
      </c>
      <c r="G164" s="26">
        <v>1</v>
      </c>
      <c r="H164" s="26">
        <v>1</v>
      </c>
      <c r="I164" s="26">
        <v>1</v>
      </c>
      <c r="J164" s="26">
        <v>0</v>
      </c>
      <c r="K164" s="26">
        <v>0</v>
      </c>
    </row>
    <row r="165" spans="1:11">
      <c r="A165" s="26" t="s">
        <v>88</v>
      </c>
      <c r="B165" s="26">
        <v>0</v>
      </c>
      <c r="C165" s="26">
        <v>1</v>
      </c>
      <c r="D165" s="26">
        <v>1</v>
      </c>
      <c r="E165" s="26">
        <v>1</v>
      </c>
      <c r="F165" s="26">
        <v>1</v>
      </c>
      <c r="G165" s="26">
        <v>1</v>
      </c>
      <c r="H165" s="26">
        <v>1</v>
      </c>
      <c r="I165" s="26">
        <v>1</v>
      </c>
      <c r="J165" s="26">
        <v>0</v>
      </c>
      <c r="K165" s="26">
        <v>0</v>
      </c>
    </row>
    <row r="166" spans="1:11">
      <c r="A166" s="26" t="s">
        <v>89</v>
      </c>
      <c r="B166" s="26">
        <v>0</v>
      </c>
      <c r="C166" s="26">
        <v>0</v>
      </c>
      <c r="D166" s="26">
        <v>1</v>
      </c>
      <c r="E166" s="26">
        <v>1</v>
      </c>
      <c r="F166" s="26">
        <v>1</v>
      </c>
      <c r="G166" s="26">
        <v>1</v>
      </c>
      <c r="H166" s="26">
        <v>1</v>
      </c>
      <c r="I166" s="26">
        <v>1</v>
      </c>
      <c r="J166" s="26">
        <v>0</v>
      </c>
      <c r="K166" s="26">
        <v>0</v>
      </c>
    </row>
    <row r="167" spans="1:11">
      <c r="A167" s="26" t="s">
        <v>90</v>
      </c>
      <c r="B167" s="26">
        <v>0</v>
      </c>
      <c r="C167" s="26">
        <v>0</v>
      </c>
      <c r="D167" s="26">
        <v>0</v>
      </c>
      <c r="E167" s="26">
        <v>0</v>
      </c>
      <c r="F167" s="26">
        <v>1</v>
      </c>
      <c r="G167" s="26">
        <v>1</v>
      </c>
      <c r="H167" s="26">
        <v>1</v>
      </c>
      <c r="I167" s="26">
        <v>1</v>
      </c>
      <c r="J167" s="26">
        <v>0</v>
      </c>
      <c r="K167" s="26">
        <v>0</v>
      </c>
    </row>
    <row r="168" spans="1:11">
      <c r="A168" s="26" t="s">
        <v>91</v>
      </c>
      <c r="B168" s="26">
        <v>0</v>
      </c>
      <c r="C168" s="26">
        <v>0</v>
      </c>
      <c r="D168" s="26">
        <v>0</v>
      </c>
      <c r="E168" s="26">
        <v>0</v>
      </c>
      <c r="F168" s="26">
        <v>1</v>
      </c>
      <c r="G168" s="26">
        <v>1</v>
      </c>
      <c r="H168" s="26">
        <v>1</v>
      </c>
      <c r="I168" s="26">
        <v>1</v>
      </c>
      <c r="J168" s="26">
        <v>0</v>
      </c>
      <c r="K168" s="26">
        <v>0</v>
      </c>
    </row>
    <row r="169" spans="1:11">
      <c r="A169" s="26" t="s">
        <v>92</v>
      </c>
      <c r="B169" s="26">
        <v>0</v>
      </c>
      <c r="C169" s="26">
        <v>0</v>
      </c>
      <c r="D169" s="26">
        <v>0</v>
      </c>
      <c r="E169" s="26">
        <v>0</v>
      </c>
      <c r="F169" s="26">
        <v>0</v>
      </c>
      <c r="G169" s="26">
        <v>1</v>
      </c>
      <c r="H169" s="26">
        <v>1</v>
      </c>
      <c r="I169" s="26">
        <v>1</v>
      </c>
      <c r="J169" s="26">
        <v>0</v>
      </c>
      <c r="K169" s="26">
        <v>0</v>
      </c>
    </row>
    <row r="170" spans="1:11">
      <c r="A170" s="26" t="s">
        <v>93</v>
      </c>
      <c r="B170" s="26">
        <v>1</v>
      </c>
      <c r="C170" s="26">
        <v>1</v>
      </c>
      <c r="D170" s="26">
        <v>1</v>
      </c>
      <c r="E170" s="26">
        <v>1</v>
      </c>
      <c r="F170" s="26">
        <v>1</v>
      </c>
      <c r="G170" s="26">
        <v>1</v>
      </c>
      <c r="H170" s="26">
        <v>1</v>
      </c>
      <c r="I170" s="26">
        <v>1</v>
      </c>
      <c r="J170" s="26">
        <v>0</v>
      </c>
      <c r="K170" s="26">
        <v>0</v>
      </c>
    </row>
    <row r="171" spans="1:11">
      <c r="A171" s="26" t="s">
        <v>94</v>
      </c>
      <c r="B171" s="26">
        <v>0</v>
      </c>
      <c r="C171" s="26">
        <v>1</v>
      </c>
      <c r="D171" s="26">
        <v>1</v>
      </c>
      <c r="E171" s="26">
        <v>1</v>
      </c>
      <c r="F171" s="26">
        <v>1</v>
      </c>
      <c r="G171" s="26">
        <v>1</v>
      </c>
      <c r="H171" s="26">
        <v>1</v>
      </c>
      <c r="I171" s="26">
        <v>1</v>
      </c>
      <c r="J171" s="26">
        <v>0</v>
      </c>
      <c r="K171" s="26">
        <v>0</v>
      </c>
    </row>
    <row r="172" spans="1:11">
      <c r="A172" s="26" t="s">
        <v>95</v>
      </c>
      <c r="B172" s="26">
        <v>0</v>
      </c>
      <c r="C172" s="26">
        <v>0</v>
      </c>
      <c r="D172" s="26">
        <v>1</v>
      </c>
      <c r="E172" s="26">
        <v>1</v>
      </c>
      <c r="F172" s="26">
        <v>1</v>
      </c>
      <c r="G172" s="26">
        <v>1</v>
      </c>
      <c r="H172" s="26">
        <v>1</v>
      </c>
      <c r="I172" s="26">
        <v>1</v>
      </c>
      <c r="J172" s="26">
        <v>0</v>
      </c>
      <c r="K172" s="26">
        <v>0</v>
      </c>
    </row>
    <row r="173" spans="1:11">
      <c r="A173" s="26" t="s">
        <v>96</v>
      </c>
      <c r="B173" s="26">
        <v>0</v>
      </c>
      <c r="C173" s="26">
        <v>0</v>
      </c>
      <c r="D173" s="26">
        <v>0</v>
      </c>
      <c r="E173" s="26">
        <v>0</v>
      </c>
      <c r="F173" s="26">
        <v>0</v>
      </c>
      <c r="G173" s="26">
        <v>0</v>
      </c>
      <c r="H173" s="26">
        <v>1</v>
      </c>
      <c r="I173" s="26">
        <v>1</v>
      </c>
      <c r="J173" s="26">
        <v>0</v>
      </c>
      <c r="K173" s="26">
        <v>0</v>
      </c>
    </row>
    <row r="174" spans="1:11">
      <c r="A174" s="26" t="s">
        <v>97</v>
      </c>
      <c r="B174" s="26">
        <v>0</v>
      </c>
      <c r="C174" s="26">
        <v>0</v>
      </c>
      <c r="D174" s="26">
        <v>0</v>
      </c>
      <c r="E174" s="26">
        <v>0</v>
      </c>
      <c r="F174" s="26">
        <v>0</v>
      </c>
      <c r="G174" s="26">
        <v>0</v>
      </c>
      <c r="H174" s="26">
        <v>0</v>
      </c>
      <c r="I174" s="26">
        <v>1</v>
      </c>
      <c r="J174" s="26">
        <v>0</v>
      </c>
      <c r="K174" s="26">
        <v>0</v>
      </c>
    </row>
    <row r="175" spans="1:11">
      <c r="A175" s="26" t="s">
        <v>98</v>
      </c>
      <c r="B175" s="26">
        <v>0</v>
      </c>
      <c r="C175" s="26">
        <v>0</v>
      </c>
      <c r="D175" s="26">
        <v>0</v>
      </c>
      <c r="E175" s="26">
        <v>0</v>
      </c>
      <c r="F175" s="26">
        <v>1</v>
      </c>
      <c r="G175" s="26">
        <v>1</v>
      </c>
      <c r="H175" s="26">
        <v>1</v>
      </c>
      <c r="I175" s="26">
        <v>1</v>
      </c>
      <c r="J175" s="26">
        <v>0</v>
      </c>
      <c r="K175" s="26">
        <v>0</v>
      </c>
    </row>
    <row r="176" spans="1:11">
      <c r="A176" s="26" t="s">
        <v>99</v>
      </c>
      <c r="B176" s="26">
        <v>0</v>
      </c>
      <c r="C176" s="26">
        <v>0</v>
      </c>
      <c r="D176" s="26">
        <v>0</v>
      </c>
      <c r="E176" s="26">
        <v>0</v>
      </c>
      <c r="F176" s="26">
        <v>1</v>
      </c>
      <c r="G176" s="26">
        <v>1</v>
      </c>
      <c r="H176" s="26">
        <v>1</v>
      </c>
      <c r="I176" s="26">
        <v>1</v>
      </c>
      <c r="J176" s="26">
        <v>0</v>
      </c>
      <c r="K176" s="26">
        <v>0</v>
      </c>
    </row>
    <row r="177" spans="1:27">
      <c r="A177" s="26" t="s">
        <v>100</v>
      </c>
      <c r="B177" s="26">
        <v>0</v>
      </c>
      <c r="C177" s="26">
        <v>0</v>
      </c>
      <c r="D177" s="26">
        <v>0</v>
      </c>
      <c r="E177" s="26">
        <v>0</v>
      </c>
      <c r="F177" s="26">
        <v>0</v>
      </c>
      <c r="G177" s="26">
        <v>1</v>
      </c>
      <c r="H177" s="26">
        <v>1</v>
      </c>
      <c r="I177" s="26">
        <v>1</v>
      </c>
      <c r="J177" s="26">
        <v>0</v>
      </c>
      <c r="K177" s="26">
        <v>0</v>
      </c>
    </row>
    <row r="178" spans="1:27">
      <c r="A178" s="26" t="s">
        <v>101</v>
      </c>
      <c r="B178" s="26">
        <v>0</v>
      </c>
      <c r="C178" s="26">
        <v>0</v>
      </c>
      <c r="D178" s="26">
        <v>0</v>
      </c>
      <c r="E178" s="26">
        <v>0</v>
      </c>
      <c r="F178" s="26">
        <v>0</v>
      </c>
      <c r="G178" s="26">
        <v>1</v>
      </c>
      <c r="H178" s="26">
        <v>1</v>
      </c>
      <c r="I178" s="26">
        <v>1</v>
      </c>
      <c r="J178" s="26">
        <v>0</v>
      </c>
      <c r="K178" s="26">
        <v>0</v>
      </c>
    </row>
    <row r="179" spans="1:27">
      <c r="A179" s="74" t="s">
        <v>102</v>
      </c>
      <c r="B179" s="74">
        <v>0</v>
      </c>
      <c r="C179" s="74">
        <v>0</v>
      </c>
      <c r="D179" s="74">
        <v>0</v>
      </c>
      <c r="E179" s="74">
        <v>0</v>
      </c>
      <c r="F179" s="74">
        <v>0</v>
      </c>
      <c r="G179" s="74">
        <v>0</v>
      </c>
      <c r="H179" s="74">
        <v>1</v>
      </c>
      <c r="I179" s="74">
        <v>1</v>
      </c>
      <c r="J179" s="74">
        <v>0</v>
      </c>
      <c r="K179" s="74">
        <v>0</v>
      </c>
    </row>
    <row r="180" spans="1:27" ht="16" thickBot="1"/>
    <row r="181" spans="1:27" ht="32" thickTop="1" thickBot="1">
      <c r="A181" s="282" t="s">
        <v>130</v>
      </c>
      <c r="B181" s="283"/>
      <c r="C181" s="283"/>
      <c r="D181" s="283"/>
      <c r="E181" s="283"/>
      <c r="F181" s="283"/>
      <c r="G181" s="283"/>
      <c r="H181" s="283"/>
      <c r="I181" s="283"/>
      <c r="J181" s="283"/>
      <c r="K181" s="283"/>
      <c r="L181" s="283"/>
      <c r="M181" s="283"/>
      <c r="N181" s="283"/>
      <c r="O181" s="283"/>
      <c r="P181" s="283"/>
      <c r="Q181" s="283"/>
      <c r="R181" s="283"/>
      <c r="S181" s="283"/>
      <c r="T181" s="283"/>
      <c r="U181" s="283"/>
      <c r="V181" s="283"/>
      <c r="W181" s="283"/>
      <c r="X181" s="283"/>
      <c r="Y181" s="283"/>
      <c r="Z181" s="283"/>
      <c r="AA181" s="284"/>
    </row>
    <row r="182" spans="1:27" ht="16" thickTop="1">
      <c r="A182" s="26" t="s">
        <v>32</v>
      </c>
      <c r="B182" s="26" t="s">
        <v>73</v>
      </c>
      <c r="C182" s="26" t="s">
        <v>74</v>
      </c>
      <c r="D182" s="26" t="s">
        <v>75</v>
      </c>
      <c r="E182" s="26" t="s">
        <v>76</v>
      </c>
      <c r="F182" s="26" t="s">
        <v>77</v>
      </c>
      <c r="G182" s="26" t="s">
        <v>78</v>
      </c>
      <c r="H182" s="26" t="s">
        <v>79</v>
      </c>
      <c r="I182" s="26" t="s">
        <v>80</v>
      </c>
      <c r="J182" s="26" t="s">
        <v>82</v>
      </c>
      <c r="K182" s="26" t="s">
        <v>81</v>
      </c>
    </row>
    <row r="183" spans="1:27">
      <c r="A183" s="26" t="s">
        <v>13</v>
      </c>
      <c r="B183" s="26">
        <v>2</v>
      </c>
      <c r="C183" s="26">
        <v>3</v>
      </c>
      <c r="D183" s="26">
        <v>4</v>
      </c>
      <c r="E183" s="26">
        <v>5</v>
      </c>
      <c r="F183" s="26">
        <v>6</v>
      </c>
      <c r="G183" s="26">
        <v>7</v>
      </c>
      <c r="H183" s="26">
        <v>8</v>
      </c>
      <c r="I183" s="26">
        <v>9</v>
      </c>
      <c r="J183" s="26">
        <v>10</v>
      </c>
      <c r="K183" s="26">
        <v>10</v>
      </c>
    </row>
    <row r="184" spans="1:27">
      <c r="A184" s="26" t="s">
        <v>15</v>
      </c>
      <c r="B184" s="26">
        <v>2</v>
      </c>
      <c r="C184" s="26">
        <v>4</v>
      </c>
      <c r="D184" s="26">
        <v>6</v>
      </c>
      <c r="E184" s="26">
        <v>8</v>
      </c>
      <c r="F184" s="26">
        <v>10</v>
      </c>
      <c r="G184" s="26">
        <v>10</v>
      </c>
      <c r="H184" s="26">
        <v>11</v>
      </c>
      <c r="I184" s="26">
        <v>11</v>
      </c>
      <c r="J184" s="26">
        <v>11</v>
      </c>
      <c r="K184" s="26">
        <v>11</v>
      </c>
    </row>
    <row r="185" spans="1:27">
      <c r="A185" s="26" t="s">
        <v>16</v>
      </c>
      <c r="B185" s="26">
        <v>2</v>
      </c>
      <c r="C185" s="26">
        <v>4</v>
      </c>
      <c r="D185" s="26">
        <v>6</v>
      </c>
      <c r="E185" s="26">
        <v>8</v>
      </c>
      <c r="F185" s="26">
        <v>10</v>
      </c>
      <c r="G185" s="26">
        <v>10</v>
      </c>
      <c r="H185" s="26">
        <v>11</v>
      </c>
      <c r="I185" s="26">
        <v>11</v>
      </c>
      <c r="J185" s="26">
        <v>11</v>
      </c>
      <c r="K185" s="26">
        <v>11</v>
      </c>
    </row>
    <row r="186" spans="1:27">
      <c r="A186" s="26" t="s">
        <v>17</v>
      </c>
      <c r="B186" s="26">
        <v>0</v>
      </c>
      <c r="C186" s="26">
        <v>0</v>
      </c>
      <c r="D186" s="26">
        <v>0</v>
      </c>
      <c r="E186" s="26">
        <v>0</v>
      </c>
      <c r="F186" s="26">
        <v>0</v>
      </c>
      <c r="G186" s="26">
        <v>0</v>
      </c>
      <c r="H186" s="26">
        <v>0</v>
      </c>
      <c r="I186" s="26">
        <v>3</v>
      </c>
      <c r="J186" s="26">
        <v>6</v>
      </c>
      <c r="K186" s="26">
        <v>6</v>
      </c>
    </row>
    <row r="187" spans="1:27">
      <c r="A187" s="26" t="s">
        <v>3</v>
      </c>
      <c r="B187" s="26">
        <v>1</v>
      </c>
      <c r="C187" s="26">
        <v>3</v>
      </c>
      <c r="D187" s="26">
        <v>6</v>
      </c>
      <c r="E187" s="26">
        <v>8</v>
      </c>
      <c r="F187" s="26">
        <v>9</v>
      </c>
      <c r="G187" s="26">
        <v>10</v>
      </c>
      <c r="H187" s="26">
        <v>11</v>
      </c>
      <c r="I187" s="26">
        <v>11</v>
      </c>
      <c r="J187" s="26">
        <v>11</v>
      </c>
      <c r="K187" s="26">
        <v>11</v>
      </c>
    </row>
    <row r="188" spans="1:27">
      <c r="A188" s="26" t="s">
        <v>4</v>
      </c>
      <c r="B188" s="26">
        <v>1</v>
      </c>
      <c r="C188" s="26">
        <v>3</v>
      </c>
      <c r="D188" s="26">
        <v>6</v>
      </c>
      <c r="E188" s="26">
        <v>8</v>
      </c>
      <c r="F188" s="26">
        <v>9</v>
      </c>
      <c r="G188" s="26">
        <v>10</v>
      </c>
      <c r="H188" s="26">
        <v>11</v>
      </c>
      <c r="I188" s="26">
        <v>11</v>
      </c>
      <c r="J188" s="26">
        <v>11</v>
      </c>
      <c r="K188" s="26">
        <v>11</v>
      </c>
    </row>
    <row r="189" spans="1:27">
      <c r="A189" s="26" t="s">
        <v>18</v>
      </c>
      <c r="B189" s="26">
        <v>0</v>
      </c>
      <c r="C189" s="26">
        <v>0</v>
      </c>
      <c r="D189" s="26">
        <v>0</v>
      </c>
      <c r="E189" s="26">
        <v>0</v>
      </c>
      <c r="F189" s="26">
        <v>0</v>
      </c>
      <c r="G189" s="26">
        <v>0</v>
      </c>
      <c r="H189" s="26">
        <v>2</v>
      </c>
      <c r="I189" s="26">
        <v>4</v>
      </c>
      <c r="J189" s="26">
        <v>6</v>
      </c>
      <c r="K189" s="26">
        <v>6</v>
      </c>
    </row>
    <row r="190" spans="1:27">
      <c r="A190" s="26" t="s">
        <v>19</v>
      </c>
      <c r="B190" s="26">
        <v>0</v>
      </c>
      <c r="C190" s="26">
        <v>0</v>
      </c>
      <c r="D190" s="26">
        <v>0</v>
      </c>
      <c r="E190" s="26">
        <v>0</v>
      </c>
      <c r="F190" s="26">
        <v>0</v>
      </c>
      <c r="G190" s="26">
        <v>0</v>
      </c>
      <c r="H190" s="26">
        <v>2</v>
      </c>
      <c r="I190" s="26">
        <v>4</v>
      </c>
      <c r="J190" s="26">
        <v>5</v>
      </c>
      <c r="K190" s="26">
        <v>5</v>
      </c>
    </row>
    <row r="191" spans="1:27">
      <c r="A191" s="26" t="s">
        <v>2</v>
      </c>
      <c r="B191" s="26">
        <v>3</v>
      </c>
      <c r="C191" s="26">
        <v>4</v>
      </c>
      <c r="D191" s="26">
        <v>5</v>
      </c>
      <c r="E191" s="26">
        <v>6</v>
      </c>
      <c r="F191" s="26">
        <v>7</v>
      </c>
      <c r="G191" s="26">
        <v>8</v>
      </c>
      <c r="H191" s="26">
        <v>9</v>
      </c>
      <c r="I191" s="26">
        <v>10</v>
      </c>
      <c r="J191" s="26">
        <v>10</v>
      </c>
      <c r="K191" s="26">
        <v>10</v>
      </c>
    </row>
    <row r="192" spans="1:27">
      <c r="A192" s="26" t="s">
        <v>20</v>
      </c>
      <c r="B192" s="26">
        <v>1</v>
      </c>
      <c r="C192" s="26">
        <v>2</v>
      </c>
      <c r="D192" s="26">
        <v>3</v>
      </c>
      <c r="E192" s="26">
        <v>4</v>
      </c>
      <c r="F192" s="26">
        <v>5</v>
      </c>
      <c r="G192" s="26">
        <v>6</v>
      </c>
      <c r="H192" s="26">
        <v>6</v>
      </c>
      <c r="I192" s="26">
        <v>6</v>
      </c>
      <c r="J192" s="26">
        <v>7</v>
      </c>
      <c r="K192" s="26">
        <v>8</v>
      </c>
    </row>
    <row r="193" spans="1:11">
      <c r="A193" s="26" t="s">
        <v>21</v>
      </c>
      <c r="B193" s="26">
        <v>0</v>
      </c>
      <c r="C193" s="26">
        <v>0</v>
      </c>
      <c r="D193" s="26">
        <v>1</v>
      </c>
      <c r="E193" s="26">
        <v>2</v>
      </c>
      <c r="F193" s="26">
        <v>3</v>
      </c>
      <c r="G193" s="26">
        <v>4</v>
      </c>
      <c r="H193" s="26">
        <v>5</v>
      </c>
      <c r="I193" s="26">
        <v>6</v>
      </c>
      <c r="J193" s="26">
        <v>7</v>
      </c>
      <c r="K193" s="26">
        <v>8</v>
      </c>
    </row>
    <row r="194" spans="1:11">
      <c r="A194" s="26" t="s">
        <v>22</v>
      </c>
      <c r="B194" s="26">
        <v>0</v>
      </c>
      <c r="C194" s="26">
        <v>0</v>
      </c>
      <c r="D194" s="26">
        <v>0</v>
      </c>
      <c r="E194" s="26">
        <v>0</v>
      </c>
      <c r="F194" s="26">
        <v>1</v>
      </c>
      <c r="G194" s="26">
        <v>2</v>
      </c>
      <c r="H194" s="26">
        <v>3</v>
      </c>
      <c r="I194" s="26">
        <v>3</v>
      </c>
      <c r="J194" s="26">
        <v>4</v>
      </c>
      <c r="K194" s="26">
        <v>5</v>
      </c>
    </row>
    <row r="195" spans="1:11">
      <c r="A195" s="26" t="s">
        <v>5</v>
      </c>
      <c r="B195" s="26">
        <v>0</v>
      </c>
      <c r="C195" s="26">
        <v>0</v>
      </c>
      <c r="D195" s="26">
        <v>1</v>
      </c>
      <c r="E195" s="26">
        <v>2</v>
      </c>
      <c r="F195" s="26">
        <v>2</v>
      </c>
      <c r="G195" s="26">
        <v>3</v>
      </c>
      <c r="H195" s="26">
        <v>3</v>
      </c>
      <c r="I195" s="26">
        <v>4</v>
      </c>
      <c r="J195" s="26">
        <v>5</v>
      </c>
      <c r="K195" s="26">
        <v>6</v>
      </c>
    </row>
    <row r="196" spans="1:11">
      <c r="A196" s="26" t="s">
        <v>6</v>
      </c>
      <c r="B196" s="26">
        <v>2</v>
      </c>
      <c r="C196" s="26">
        <v>3</v>
      </c>
      <c r="D196" s="26">
        <v>4</v>
      </c>
      <c r="E196" s="26">
        <v>5</v>
      </c>
      <c r="F196" s="26">
        <v>6</v>
      </c>
      <c r="G196" s="26">
        <v>7</v>
      </c>
      <c r="H196" s="26">
        <v>8</v>
      </c>
      <c r="I196" s="26">
        <v>10</v>
      </c>
      <c r="J196" s="26">
        <v>11</v>
      </c>
      <c r="K196" s="26">
        <v>12</v>
      </c>
    </row>
    <row r="197" spans="1:11">
      <c r="A197" s="26" t="s">
        <v>23</v>
      </c>
      <c r="B197" s="26">
        <v>0</v>
      </c>
      <c r="C197" s="26">
        <v>2</v>
      </c>
      <c r="D197" s="26">
        <v>3</v>
      </c>
      <c r="E197" s="26">
        <v>4</v>
      </c>
      <c r="F197" s="26">
        <v>6</v>
      </c>
      <c r="G197" s="26">
        <v>7</v>
      </c>
      <c r="H197" s="26">
        <v>8</v>
      </c>
      <c r="I197" s="26">
        <v>10</v>
      </c>
      <c r="J197" s="26">
        <v>11</v>
      </c>
      <c r="K197" s="26">
        <v>12</v>
      </c>
    </row>
    <row r="198" spans="1:11">
      <c r="A198" s="26" t="s">
        <v>24</v>
      </c>
      <c r="B198" s="26">
        <v>0</v>
      </c>
      <c r="C198" s="26">
        <v>2</v>
      </c>
      <c r="D198" s="26">
        <v>3</v>
      </c>
      <c r="E198" s="26">
        <v>4</v>
      </c>
      <c r="F198" s="26">
        <v>5</v>
      </c>
      <c r="G198" s="26">
        <v>6</v>
      </c>
      <c r="H198" s="26">
        <v>7</v>
      </c>
      <c r="I198" s="26">
        <v>8</v>
      </c>
      <c r="J198" s="26">
        <v>10</v>
      </c>
      <c r="K198" s="26">
        <v>11</v>
      </c>
    </row>
    <row r="199" spans="1:11">
      <c r="A199" s="26" t="s">
        <v>7</v>
      </c>
      <c r="B199" s="26">
        <v>0</v>
      </c>
      <c r="C199" s="26">
        <v>0</v>
      </c>
      <c r="D199" s="26">
        <v>1</v>
      </c>
      <c r="E199" s="26">
        <v>2</v>
      </c>
      <c r="F199" s="26">
        <v>3</v>
      </c>
      <c r="G199" s="26">
        <v>4</v>
      </c>
      <c r="H199" s="26">
        <v>5</v>
      </c>
      <c r="I199" s="26">
        <v>6</v>
      </c>
      <c r="J199" s="26">
        <v>7</v>
      </c>
      <c r="K199" s="26">
        <v>8</v>
      </c>
    </row>
    <row r="200" spans="1:11">
      <c r="A200" s="26" t="s">
        <v>8</v>
      </c>
      <c r="B200" s="26">
        <v>0</v>
      </c>
      <c r="C200" s="26">
        <v>0</v>
      </c>
      <c r="D200" s="26">
        <v>2</v>
      </c>
      <c r="E200" s="26">
        <v>2</v>
      </c>
      <c r="F200" s="26">
        <v>3</v>
      </c>
      <c r="G200" s="26">
        <v>3</v>
      </c>
      <c r="H200" s="26">
        <v>4</v>
      </c>
      <c r="I200" s="26">
        <v>5</v>
      </c>
      <c r="J200" s="26">
        <v>6</v>
      </c>
      <c r="K200" s="26">
        <v>6</v>
      </c>
    </row>
    <row r="201" spans="1:11">
      <c r="A201" s="26" t="s">
        <v>25</v>
      </c>
      <c r="B201" s="26">
        <v>0</v>
      </c>
      <c r="C201" s="26">
        <v>0</v>
      </c>
      <c r="D201" s="26">
        <v>0</v>
      </c>
      <c r="E201" s="26">
        <v>2</v>
      </c>
      <c r="F201" s="26">
        <v>3</v>
      </c>
      <c r="G201" s="26">
        <v>4</v>
      </c>
      <c r="H201" s="26">
        <v>5</v>
      </c>
      <c r="I201" s="26">
        <v>6</v>
      </c>
      <c r="J201" s="26">
        <v>7</v>
      </c>
      <c r="K201" s="26">
        <v>8</v>
      </c>
    </row>
    <row r="202" spans="1:11">
      <c r="A202" s="26" t="s">
        <v>26</v>
      </c>
      <c r="B202" s="26">
        <v>1</v>
      </c>
      <c r="C202" s="26">
        <v>1</v>
      </c>
      <c r="D202" s="26">
        <v>1</v>
      </c>
      <c r="E202" s="26">
        <v>1</v>
      </c>
      <c r="F202" s="26">
        <v>1</v>
      </c>
      <c r="G202" s="26">
        <v>1</v>
      </c>
      <c r="H202" s="26">
        <v>1</v>
      </c>
      <c r="I202" s="26">
        <v>1</v>
      </c>
      <c r="J202" s="26">
        <v>1</v>
      </c>
      <c r="K202" s="26">
        <v>1</v>
      </c>
    </row>
    <row r="203" spans="1:11">
      <c r="A203" s="26" t="s">
        <v>27</v>
      </c>
      <c r="B203" s="26">
        <v>0</v>
      </c>
      <c r="C203" s="26">
        <v>0</v>
      </c>
      <c r="D203" s="26">
        <v>0</v>
      </c>
      <c r="E203" s="26">
        <v>0</v>
      </c>
      <c r="F203" s="26">
        <v>2</v>
      </c>
      <c r="G203" s="26">
        <v>3</v>
      </c>
      <c r="H203" s="26">
        <v>4</v>
      </c>
      <c r="I203" s="26">
        <v>6</v>
      </c>
      <c r="J203" s="26">
        <v>7</v>
      </c>
      <c r="K203" s="26">
        <v>8</v>
      </c>
    </row>
    <row r="204" spans="1:11">
      <c r="A204" s="26" t="s">
        <v>9</v>
      </c>
      <c r="B204" s="26">
        <v>0</v>
      </c>
      <c r="C204" s="26">
        <v>0</v>
      </c>
      <c r="D204" s="26">
        <v>0</v>
      </c>
      <c r="E204" s="26">
        <v>0</v>
      </c>
      <c r="F204" s="26">
        <v>0</v>
      </c>
      <c r="G204" s="26">
        <v>2</v>
      </c>
      <c r="H204" s="26">
        <v>2</v>
      </c>
      <c r="I204" s="26">
        <v>3</v>
      </c>
      <c r="J204" s="26">
        <v>3</v>
      </c>
      <c r="K204" s="26">
        <v>4</v>
      </c>
    </row>
    <row r="205" spans="1:11">
      <c r="A205" s="26" t="s">
        <v>10</v>
      </c>
      <c r="B205" s="26">
        <v>0</v>
      </c>
      <c r="C205" s="26">
        <v>0</v>
      </c>
      <c r="D205" s="26">
        <v>0</v>
      </c>
      <c r="E205" s="26">
        <v>0</v>
      </c>
      <c r="F205" s="26">
        <v>2</v>
      </c>
      <c r="G205" s="26">
        <v>2</v>
      </c>
      <c r="H205" s="26">
        <v>3</v>
      </c>
      <c r="I205" s="26">
        <v>3</v>
      </c>
      <c r="J205" s="26">
        <v>4</v>
      </c>
      <c r="K205" s="26">
        <v>4</v>
      </c>
    </row>
    <row r="206" spans="1:11">
      <c r="A206" s="26" t="s">
        <v>28</v>
      </c>
      <c r="B206" s="26">
        <v>0</v>
      </c>
      <c r="C206" s="26">
        <v>0</v>
      </c>
      <c r="D206" s="26">
        <v>0</v>
      </c>
      <c r="E206" s="26">
        <v>0</v>
      </c>
      <c r="F206" s="26">
        <v>0</v>
      </c>
      <c r="G206" s="26">
        <v>0</v>
      </c>
      <c r="H206" s="26">
        <v>1</v>
      </c>
      <c r="I206" s="26">
        <v>1</v>
      </c>
      <c r="J206" s="26">
        <v>2</v>
      </c>
      <c r="K206" s="26">
        <v>3</v>
      </c>
    </row>
    <row r="207" spans="1:11">
      <c r="A207" s="26" t="s">
        <v>11</v>
      </c>
      <c r="B207" s="26">
        <v>0</v>
      </c>
      <c r="C207" s="26">
        <v>0</v>
      </c>
      <c r="D207" s="26">
        <v>0</v>
      </c>
      <c r="E207" s="26">
        <v>0</v>
      </c>
      <c r="F207" s="26">
        <v>0</v>
      </c>
      <c r="G207" s="26">
        <v>0</v>
      </c>
      <c r="H207" s="26">
        <v>3</v>
      </c>
      <c r="I207" s="26">
        <v>6</v>
      </c>
      <c r="J207" s="26">
        <v>7</v>
      </c>
      <c r="K207" s="26">
        <v>8</v>
      </c>
    </row>
    <row r="208" spans="1:11">
      <c r="A208" s="26" t="s">
        <v>12</v>
      </c>
      <c r="B208" s="26">
        <v>0</v>
      </c>
      <c r="C208" s="26">
        <v>0</v>
      </c>
      <c r="D208" s="26">
        <v>0</v>
      </c>
      <c r="E208" s="26">
        <v>0</v>
      </c>
      <c r="F208" s="26">
        <v>0</v>
      </c>
      <c r="G208" s="26">
        <v>0</v>
      </c>
      <c r="H208" s="26">
        <v>0</v>
      </c>
      <c r="I208" s="26">
        <v>0</v>
      </c>
      <c r="J208" s="26">
        <v>3</v>
      </c>
      <c r="K208" s="26">
        <v>4</v>
      </c>
    </row>
    <row r="209" spans="1:11">
      <c r="A209" s="26" t="s">
        <v>29</v>
      </c>
      <c r="B209" s="26">
        <v>0</v>
      </c>
      <c r="C209" s="26">
        <v>0</v>
      </c>
      <c r="D209" s="26">
        <v>0</v>
      </c>
      <c r="E209" s="26">
        <v>0</v>
      </c>
      <c r="F209" s="26">
        <v>0</v>
      </c>
      <c r="G209" s="26">
        <v>0</v>
      </c>
      <c r="H209" s="26">
        <v>0</v>
      </c>
      <c r="I209" s="26">
        <v>0</v>
      </c>
      <c r="J209" s="26">
        <v>0</v>
      </c>
      <c r="K209" s="26">
        <v>3</v>
      </c>
    </row>
    <row r="210" spans="1:11">
      <c r="A210" s="26" t="s">
        <v>106</v>
      </c>
      <c r="B210" s="26">
        <v>0</v>
      </c>
      <c r="C210" s="26">
        <v>0</v>
      </c>
      <c r="D210" s="26">
        <v>0</v>
      </c>
      <c r="E210" s="26">
        <v>0</v>
      </c>
      <c r="F210" s="26">
        <v>0</v>
      </c>
      <c r="G210" s="26">
        <v>0</v>
      </c>
      <c r="H210" s="26">
        <v>1</v>
      </c>
      <c r="I210" s="26">
        <v>1</v>
      </c>
      <c r="J210" s="26">
        <v>1</v>
      </c>
      <c r="K210" s="26">
        <v>1</v>
      </c>
    </row>
    <row r="211" spans="1:11">
      <c r="A211" s="26" t="s">
        <v>107</v>
      </c>
      <c r="B211" s="26">
        <v>0</v>
      </c>
      <c r="C211" s="26">
        <v>0</v>
      </c>
      <c r="D211" s="26">
        <v>0</v>
      </c>
      <c r="E211" s="26">
        <v>0</v>
      </c>
      <c r="F211" s="26">
        <v>0</v>
      </c>
      <c r="G211" s="26">
        <v>0</v>
      </c>
      <c r="H211" s="26">
        <v>0</v>
      </c>
      <c r="I211" s="26">
        <v>0</v>
      </c>
      <c r="J211" s="26">
        <v>1</v>
      </c>
      <c r="K211" s="26">
        <v>1</v>
      </c>
    </row>
    <row r="212" spans="1:11">
      <c r="A212" s="26" t="s">
        <v>225</v>
      </c>
      <c r="B212" s="26">
        <v>0</v>
      </c>
      <c r="C212" s="26">
        <v>0</v>
      </c>
      <c r="D212" s="26">
        <v>0</v>
      </c>
      <c r="E212" s="26">
        <v>0</v>
      </c>
      <c r="F212" s="26">
        <v>0</v>
      </c>
      <c r="G212" s="26">
        <v>0</v>
      </c>
      <c r="H212" s="26">
        <v>5</v>
      </c>
      <c r="I212" s="26">
        <v>10</v>
      </c>
      <c r="J212" s="26">
        <v>30</v>
      </c>
      <c r="K212" s="26">
        <v>40</v>
      </c>
    </row>
    <row r="213" spans="1:11">
      <c r="A213" s="26" t="s">
        <v>230</v>
      </c>
      <c r="B213" s="26">
        <v>0</v>
      </c>
      <c r="C213" s="26">
        <v>0</v>
      </c>
      <c r="D213" s="26">
        <v>0</v>
      </c>
      <c r="E213" s="26">
        <v>0</v>
      </c>
      <c r="F213" s="26">
        <v>0</v>
      </c>
      <c r="G213" s="26">
        <v>0</v>
      </c>
      <c r="H213" s="26">
        <v>0</v>
      </c>
      <c r="I213" s="26">
        <v>0</v>
      </c>
      <c r="J213" s="26">
        <v>30</v>
      </c>
      <c r="K213" s="26">
        <v>40</v>
      </c>
    </row>
    <row r="214" spans="1:11">
      <c r="A214" s="26" t="s">
        <v>83</v>
      </c>
      <c r="B214" s="26">
        <v>2</v>
      </c>
      <c r="C214" s="26">
        <v>2</v>
      </c>
      <c r="D214" s="26">
        <v>3</v>
      </c>
      <c r="E214" s="26">
        <v>3</v>
      </c>
      <c r="F214" s="26">
        <v>4</v>
      </c>
      <c r="G214" s="26">
        <v>5</v>
      </c>
      <c r="H214" s="26">
        <v>6</v>
      </c>
      <c r="I214" s="26">
        <v>6</v>
      </c>
      <c r="J214" s="26">
        <v>0</v>
      </c>
      <c r="K214" s="26">
        <v>0</v>
      </c>
    </row>
    <row r="215" spans="1:11">
      <c r="A215" s="26" t="s">
        <v>84</v>
      </c>
      <c r="B215" s="26">
        <v>2</v>
      </c>
      <c r="C215" s="26">
        <v>2</v>
      </c>
      <c r="D215" s="26">
        <v>3</v>
      </c>
      <c r="E215" s="26">
        <v>3</v>
      </c>
      <c r="F215" s="26">
        <v>4</v>
      </c>
      <c r="G215" s="26">
        <v>5</v>
      </c>
      <c r="H215" s="26">
        <v>6</v>
      </c>
      <c r="I215" s="26">
        <v>6</v>
      </c>
      <c r="J215" s="26">
        <v>0</v>
      </c>
      <c r="K215" s="26">
        <v>0</v>
      </c>
    </row>
    <row r="216" spans="1:11">
      <c r="A216" s="26" t="s">
        <v>85</v>
      </c>
      <c r="B216" s="26">
        <v>2</v>
      </c>
      <c r="C216" s="26">
        <v>2</v>
      </c>
      <c r="D216" s="26">
        <v>3</v>
      </c>
      <c r="E216" s="26">
        <v>3</v>
      </c>
      <c r="F216" s="26">
        <v>4</v>
      </c>
      <c r="G216" s="26">
        <v>5</v>
      </c>
      <c r="H216" s="26">
        <v>5</v>
      </c>
      <c r="I216" s="26">
        <v>6</v>
      </c>
      <c r="J216" s="26">
        <v>0</v>
      </c>
      <c r="K216" s="26">
        <v>0</v>
      </c>
    </row>
    <row r="217" spans="1:11">
      <c r="A217" s="26" t="s">
        <v>86</v>
      </c>
      <c r="B217" s="26">
        <v>0</v>
      </c>
      <c r="C217" s="26">
        <v>2</v>
      </c>
      <c r="D217" s="26">
        <v>2</v>
      </c>
      <c r="E217" s="26">
        <v>3</v>
      </c>
      <c r="F217" s="26">
        <v>4</v>
      </c>
      <c r="G217" s="26">
        <v>5</v>
      </c>
      <c r="H217" s="26">
        <v>6</v>
      </c>
      <c r="I217" s="26">
        <v>6</v>
      </c>
      <c r="J217" s="26">
        <v>0</v>
      </c>
      <c r="K217" s="26">
        <v>0</v>
      </c>
    </row>
    <row r="218" spans="1:11">
      <c r="A218" s="26" t="s">
        <v>87</v>
      </c>
      <c r="B218" s="26">
        <v>0</v>
      </c>
      <c r="C218" s="26">
        <v>2</v>
      </c>
      <c r="D218" s="26">
        <v>2</v>
      </c>
      <c r="E218" s="26">
        <v>3</v>
      </c>
      <c r="F218" s="26">
        <v>4</v>
      </c>
      <c r="G218" s="26">
        <v>5</v>
      </c>
      <c r="H218" s="26">
        <v>5</v>
      </c>
      <c r="I218" s="26">
        <v>6</v>
      </c>
      <c r="J218" s="26">
        <v>0</v>
      </c>
      <c r="K218" s="26">
        <v>0</v>
      </c>
    </row>
    <row r="219" spans="1:11">
      <c r="A219" s="26" t="s">
        <v>88</v>
      </c>
      <c r="B219" s="26">
        <v>0</v>
      </c>
      <c r="C219" s="26">
        <v>2</v>
      </c>
      <c r="D219" s="26">
        <v>2</v>
      </c>
      <c r="E219" s="26">
        <v>3</v>
      </c>
      <c r="F219" s="26">
        <v>4</v>
      </c>
      <c r="G219" s="26">
        <v>5</v>
      </c>
      <c r="H219" s="26">
        <v>6</v>
      </c>
      <c r="I219" s="26">
        <v>6</v>
      </c>
      <c r="J219" s="26">
        <v>0</v>
      </c>
      <c r="K219" s="26">
        <v>0</v>
      </c>
    </row>
    <row r="220" spans="1:11">
      <c r="A220" s="26" t="s">
        <v>89</v>
      </c>
      <c r="B220" s="26">
        <v>0</v>
      </c>
      <c r="C220" s="26">
        <v>0</v>
      </c>
      <c r="D220" s="26">
        <v>2</v>
      </c>
      <c r="E220" s="26">
        <v>3</v>
      </c>
      <c r="F220" s="26">
        <v>4</v>
      </c>
      <c r="G220" s="26">
        <v>5</v>
      </c>
      <c r="H220" s="26">
        <v>5</v>
      </c>
      <c r="I220" s="26">
        <v>6</v>
      </c>
      <c r="J220" s="26">
        <v>0</v>
      </c>
      <c r="K220" s="26">
        <v>0</v>
      </c>
    </row>
    <row r="221" spans="1:11">
      <c r="A221" s="26" t="s">
        <v>90</v>
      </c>
      <c r="B221" s="26">
        <v>0</v>
      </c>
      <c r="C221" s="26">
        <v>0</v>
      </c>
      <c r="D221" s="26">
        <v>0</v>
      </c>
      <c r="E221" s="26">
        <v>0</v>
      </c>
      <c r="F221" s="26">
        <v>2</v>
      </c>
      <c r="G221" s="26">
        <v>3</v>
      </c>
      <c r="H221" s="26">
        <v>4</v>
      </c>
      <c r="I221" s="26">
        <v>4</v>
      </c>
      <c r="J221" s="26">
        <v>0</v>
      </c>
      <c r="K221" s="26">
        <v>0</v>
      </c>
    </row>
    <row r="222" spans="1:11">
      <c r="A222" s="26" t="s">
        <v>91</v>
      </c>
      <c r="B222" s="26">
        <v>0</v>
      </c>
      <c r="C222" s="26">
        <v>0</v>
      </c>
      <c r="D222" s="26">
        <v>0</v>
      </c>
      <c r="E222" s="26">
        <v>0</v>
      </c>
      <c r="F222" s="26">
        <v>2</v>
      </c>
      <c r="G222" s="26">
        <v>3</v>
      </c>
      <c r="H222" s="26">
        <v>3</v>
      </c>
      <c r="I222" s="26">
        <v>4</v>
      </c>
      <c r="J222" s="26">
        <v>0</v>
      </c>
      <c r="K222" s="26">
        <v>0</v>
      </c>
    </row>
    <row r="223" spans="1:11">
      <c r="A223" s="26" t="s">
        <v>92</v>
      </c>
      <c r="B223" s="26">
        <v>0</v>
      </c>
      <c r="C223" s="26">
        <v>0</v>
      </c>
      <c r="D223" s="26">
        <v>0</v>
      </c>
      <c r="E223" s="26">
        <v>0</v>
      </c>
      <c r="F223" s="26">
        <v>0</v>
      </c>
      <c r="G223" s="26">
        <v>3</v>
      </c>
      <c r="H223" s="26">
        <v>3</v>
      </c>
      <c r="I223" s="26">
        <v>5</v>
      </c>
      <c r="J223" s="26">
        <v>0</v>
      </c>
      <c r="K223" s="26">
        <v>0</v>
      </c>
    </row>
    <row r="224" spans="1:11">
      <c r="A224" s="26" t="s">
        <v>93</v>
      </c>
      <c r="B224" s="26">
        <v>2</v>
      </c>
      <c r="C224" s="26">
        <v>3</v>
      </c>
      <c r="D224" s="26">
        <v>4</v>
      </c>
      <c r="E224" s="26">
        <v>4</v>
      </c>
      <c r="F224" s="26">
        <v>4</v>
      </c>
      <c r="G224" s="26">
        <v>5</v>
      </c>
      <c r="H224" s="26">
        <v>5</v>
      </c>
      <c r="I224" s="26">
        <v>6</v>
      </c>
      <c r="J224" s="26">
        <v>0</v>
      </c>
      <c r="K224" s="26">
        <v>0</v>
      </c>
    </row>
    <row r="225" spans="1:27">
      <c r="A225" s="26" t="s">
        <v>94</v>
      </c>
      <c r="B225" s="26">
        <v>0</v>
      </c>
      <c r="C225" s="26">
        <v>2</v>
      </c>
      <c r="D225" s="26">
        <v>2</v>
      </c>
      <c r="E225" s="26">
        <v>3</v>
      </c>
      <c r="F225" s="26">
        <v>4</v>
      </c>
      <c r="G225" s="26">
        <v>5</v>
      </c>
      <c r="H225" s="26">
        <v>6</v>
      </c>
      <c r="I225" s="26">
        <v>6</v>
      </c>
      <c r="J225" s="26">
        <v>0</v>
      </c>
      <c r="K225" s="26">
        <v>0</v>
      </c>
    </row>
    <row r="226" spans="1:27">
      <c r="A226" s="26" t="s">
        <v>95</v>
      </c>
      <c r="B226" s="26">
        <v>0</v>
      </c>
      <c r="C226" s="26">
        <v>0</v>
      </c>
      <c r="D226" s="26">
        <v>2</v>
      </c>
      <c r="E226" s="26">
        <v>3</v>
      </c>
      <c r="F226" s="26">
        <v>4</v>
      </c>
      <c r="G226" s="26">
        <v>5</v>
      </c>
      <c r="H226" s="26">
        <v>5</v>
      </c>
      <c r="I226" s="26">
        <v>5</v>
      </c>
      <c r="J226" s="26">
        <v>0</v>
      </c>
      <c r="K226" s="26">
        <v>0</v>
      </c>
    </row>
    <row r="227" spans="1:27">
      <c r="A227" s="26" t="s">
        <v>96</v>
      </c>
      <c r="B227" s="26">
        <v>0</v>
      </c>
      <c r="C227" s="26">
        <v>0</v>
      </c>
      <c r="D227" s="26">
        <v>0</v>
      </c>
      <c r="E227" s="26">
        <v>0</v>
      </c>
      <c r="F227" s="26">
        <v>0</v>
      </c>
      <c r="G227" s="26">
        <v>2</v>
      </c>
      <c r="H227" s="26">
        <v>2</v>
      </c>
      <c r="I227" s="26">
        <v>3</v>
      </c>
      <c r="J227" s="26">
        <v>0</v>
      </c>
      <c r="K227" s="26">
        <v>0</v>
      </c>
    </row>
    <row r="228" spans="1:27">
      <c r="A228" s="26" t="s">
        <v>97</v>
      </c>
      <c r="B228" s="26">
        <v>0</v>
      </c>
      <c r="C228" s="26">
        <v>0</v>
      </c>
      <c r="D228" s="26">
        <v>0</v>
      </c>
      <c r="E228" s="26">
        <v>0</v>
      </c>
      <c r="F228" s="26">
        <v>0</v>
      </c>
      <c r="G228" s="26">
        <v>0</v>
      </c>
      <c r="H228" s="26">
        <v>0</v>
      </c>
      <c r="I228" s="26">
        <v>5</v>
      </c>
      <c r="J228" s="26">
        <v>0</v>
      </c>
      <c r="K228" s="26">
        <v>0</v>
      </c>
    </row>
    <row r="229" spans="1:27">
      <c r="A229" s="26" t="s">
        <v>98</v>
      </c>
      <c r="B229" s="26">
        <v>0</v>
      </c>
      <c r="C229" s="26">
        <v>0</v>
      </c>
      <c r="D229" s="26">
        <v>0</v>
      </c>
      <c r="E229" s="26">
        <v>0</v>
      </c>
      <c r="F229" s="26">
        <v>2</v>
      </c>
      <c r="G229" s="26">
        <v>4</v>
      </c>
      <c r="H229" s="26">
        <v>5</v>
      </c>
      <c r="I229" s="26">
        <v>6</v>
      </c>
      <c r="J229" s="26">
        <v>0</v>
      </c>
      <c r="K229" s="26">
        <v>0</v>
      </c>
    </row>
    <row r="230" spans="1:27">
      <c r="A230" s="26" t="s">
        <v>99</v>
      </c>
      <c r="B230" s="26">
        <v>0</v>
      </c>
      <c r="C230" s="26">
        <v>0</v>
      </c>
      <c r="D230" s="26">
        <v>0</v>
      </c>
      <c r="E230" s="26">
        <v>0</v>
      </c>
      <c r="F230" s="26">
        <v>2</v>
      </c>
      <c r="G230" s="26">
        <v>4</v>
      </c>
      <c r="H230" s="26">
        <v>5</v>
      </c>
      <c r="I230" s="26">
        <v>5</v>
      </c>
      <c r="J230" s="26">
        <v>0</v>
      </c>
      <c r="K230" s="26">
        <v>0</v>
      </c>
    </row>
    <row r="231" spans="1:27">
      <c r="A231" s="26" t="s">
        <v>100</v>
      </c>
      <c r="B231" s="26">
        <v>0</v>
      </c>
      <c r="C231" s="26">
        <v>0</v>
      </c>
      <c r="D231" s="26">
        <v>0</v>
      </c>
      <c r="E231" s="26">
        <v>0</v>
      </c>
      <c r="F231" s="26">
        <v>0</v>
      </c>
      <c r="G231" s="26">
        <v>2</v>
      </c>
      <c r="H231" s="26">
        <v>4</v>
      </c>
      <c r="I231" s="26">
        <v>4</v>
      </c>
      <c r="J231" s="26">
        <v>0</v>
      </c>
      <c r="K231" s="26">
        <v>0</v>
      </c>
    </row>
    <row r="232" spans="1:27">
      <c r="A232" s="26" t="s">
        <v>101</v>
      </c>
      <c r="B232" s="26">
        <v>0</v>
      </c>
      <c r="C232" s="26">
        <v>0</v>
      </c>
      <c r="D232" s="26">
        <v>0</v>
      </c>
      <c r="E232" s="26">
        <v>0</v>
      </c>
      <c r="F232" s="26">
        <v>0</v>
      </c>
      <c r="G232" s="26">
        <v>2</v>
      </c>
      <c r="H232" s="26">
        <v>4</v>
      </c>
      <c r="I232" s="26">
        <v>5</v>
      </c>
      <c r="J232" s="26">
        <v>0</v>
      </c>
      <c r="K232" s="26">
        <v>0</v>
      </c>
    </row>
    <row r="233" spans="1:27">
      <c r="A233" s="74" t="s">
        <v>102</v>
      </c>
      <c r="B233" s="74">
        <v>0</v>
      </c>
      <c r="C233" s="74">
        <v>0</v>
      </c>
      <c r="D233" s="74">
        <v>0</v>
      </c>
      <c r="E233" s="74">
        <v>0</v>
      </c>
      <c r="F233" s="74">
        <v>0</v>
      </c>
      <c r="G233" s="74">
        <v>0</v>
      </c>
      <c r="H233" s="74">
        <v>2</v>
      </c>
      <c r="I233" s="74">
        <v>2</v>
      </c>
      <c r="J233" s="74">
        <v>0</v>
      </c>
      <c r="K233" s="74">
        <v>0</v>
      </c>
    </row>
    <row r="235" spans="1:27" ht="16" thickBot="1"/>
    <row r="236" spans="1:27" ht="32" thickTop="1" thickBot="1">
      <c r="A236" s="282" t="s">
        <v>189</v>
      </c>
      <c r="B236" s="283"/>
      <c r="C236" s="283"/>
      <c r="D236" s="283"/>
      <c r="E236" s="283"/>
      <c r="F236" s="283"/>
      <c r="G236" s="283"/>
      <c r="H236" s="283"/>
      <c r="I236" s="283"/>
      <c r="J236" s="283"/>
      <c r="K236" s="283"/>
      <c r="L236" s="283"/>
      <c r="M236" s="283"/>
      <c r="N236" s="283"/>
      <c r="O236" s="283"/>
      <c r="P236" s="283"/>
      <c r="Q236" s="283"/>
      <c r="R236" s="283"/>
      <c r="S236" s="283"/>
      <c r="T236" s="283"/>
      <c r="U236" s="283"/>
      <c r="V236" s="283"/>
      <c r="W236" s="283"/>
      <c r="X236" s="283"/>
      <c r="Y236" s="283"/>
      <c r="Z236" s="283"/>
      <c r="AA236" s="284"/>
    </row>
    <row r="237" spans="1:27" ht="20" thickTop="1" thickBot="1">
      <c r="A237" s="116" t="s">
        <v>192</v>
      </c>
      <c r="C237" s="119" t="s">
        <v>193</v>
      </c>
    </row>
    <row r="238" spans="1:27" ht="16" thickTop="1">
      <c r="A238" s="121" t="s">
        <v>190</v>
      </c>
      <c r="C238" s="117" t="b">
        <f>TRUE</f>
        <v>1</v>
      </c>
    </row>
    <row r="239" spans="1:27" ht="16" thickBot="1">
      <c r="A239" s="117" t="s">
        <v>10</v>
      </c>
      <c r="C239" s="118" t="b">
        <f>FALSE</f>
        <v>0</v>
      </c>
    </row>
    <row r="240" spans="1:27" ht="16" thickTop="1">
      <c r="A240" s="117" t="s">
        <v>25</v>
      </c>
    </row>
    <row r="241" spans="1:1">
      <c r="A241" s="117" t="s">
        <v>107</v>
      </c>
    </row>
    <row r="242" spans="1:1">
      <c r="A242" s="117" t="s">
        <v>23</v>
      </c>
    </row>
    <row r="243" spans="1:1">
      <c r="A243" s="117" t="s">
        <v>20</v>
      </c>
    </row>
    <row r="244" spans="1:1">
      <c r="A244" s="117" t="s">
        <v>106</v>
      </c>
    </row>
    <row r="245" spans="1:1">
      <c r="A245" s="117" t="s">
        <v>2</v>
      </c>
    </row>
    <row r="246" spans="1:1">
      <c r="A246" s="117" t="s">
        <v>8</v>
      </c>
    </row>
    <row r="247" spans="1:1">
      <c r="A247" s="117" t="s">
        <v>6</v>
      </c>
    </row>
    <row r="248" spans="1:1">
      <c r="A248" s="117" t="s">
        <v>5</v>
      </c>
    </row>
    <row r="249" spans="1:1">
      <c r="A249" s="117" t="s">
        <v>19</v>
      </c>
    </row>
    <row r="250" spans="1:1">
      <c r="A250" s="117" t="s">
        <v>17</v>
      </c>
    </row>
    <row r="251" spans="1:1">
      <c r="A251" s="117" t="s">
        <v>18</v>
      </c>
    </row>
    <row r="252" spans="1:1">
      <c r="A252" s="117" t="s">
        <v>16</v>
      </c>
    </row>
    <row r="253" spans="1:1">
      <c r="A253" s="117" t="s">
        <v>4</v>
      </c>
    </row>
    <row r="254" spans="1:1">
      <c r="A254" s="117" t="s">
        <v>9</v>
      </c>
    </row>
    <row r="255" spans="1:1">
      <c r="A255" s="117" t="s">
        <v>15</v>
      </c>
    </row>
    <row r="256" spans="1:1">
      <c r="A256" s="117" t="s">
        <v>3</v>
      </c>
    </row>
    <row r="257" spans="1:1">
      <c r="A257" s="117" t="s">
        <v>11</v>
      </c>
    </row>
    <row r="258" spans="1:1">
      <c r="A258" s="117" t="s">
        <v>29</v>
      </c>
    </row>
    <row r="259" spans="1:1">
      <c r="A259" s="117" t="s">
        <v>21</v>
      </c>
    </row>
    <row r="260" spans="1:1">
      <c r="A260" s="117" t="s">
        <v>7</v>
      </c>
    </row>
    <row r="261" spans="1:1">
      <c r="A261" s="117" t="s">
        <v>28</v>
      </c>
    </row>
    <row r="262" spans="1:1">
      <c r="A262" s="117" t="s">
        <v>22</v>
      </c>
    </row>
    <row r="263" spans="1:1">
      <c r="A263" s="117" t="s">
        <v>26</v>
      </c>
    </row>
    <row r="264" spans="1:1">
      <c r="A264" s="117" t="s">
        <v>13</v>
      </c>
    </row>
    <row r="265" spans="1:1">
      <c r="A265" s="117" t="s">
        <v>27</v>
      </c>
    </row>
    <row r="266" spans="1:1">
      <c r="A266" s="117" t="s">
        <v>12</v>
      </c>
    </row>
    <row r="267" spans="1:1">
      <c r="A267" s="117" t="s">
        <v>24</v>
      </c>
    </row>
    <row r="268" spans="1:1">
      <c r="A268" s="120" t="s">
        <v>231</v>
      </c>
    </row>
    <row r="269" spans="1:1">
      <c r="A269" s="117" t="s">
        <v>225</v>
      </c>
    </row>
    <row r="270" spans="1:1">
      <c r="A270" s="117" t="s">
        <v>230</v>
      </c>
    </row>
    <row r="271" spans="1:1">
      <c r="A271" s="120" t="s">
        <v>191</v>
      </c>
    </row>
    <row r="272" spans="1:1">
      <c r="A272" s="117" t="s">
        <v>84</v>
      </c>
    </row>
    <row r="273" spans="1:1">
      <c r="A273" s="117" t="s">
        <v>88</v>
      </c>
    </row>
    <row r="274" spans="1:1">
      <c r="A274" s="117" t="s">
        <v>83</v>
      </c>
    </row>
    <row r="275" spans="1:1">
      <c r="A275" s="117" t="s">
        <v>91</v>
      </c>
    </row>
    <row r="276" spans="1:1">
      <c r="A276" s="117" t="s">
        <v>97</v>
      </c>
    </row>
    <row r="277" spans="1:1">
      <c r="A277" s="117" t="s">
        <v>86</v>
      </c>
    </row>
    <row r="278" spans="1:1">
      <c r="A278" s="117" t="s">
        <v>85</v>
      </c>
    </row>
    <row r="279" spans="1:1">
      <c r="A279" s="117" t="s">
        <v>101</v>
      </c>
    </row>
    <row r="280" spans="1:1">
      <c r="A280" s="117" t="s">
        <v>90</v>
      </c>
    </row>
    <row r="281" spans="1:1">
      <c r="A281" s="117" t="s">
        <v>94</v>
      </c>
    </row>
    <row r="282" spans="1:1">
      <c r="A282" s="117" t="s">
        <v>99</v>
      </c>
    </row>
    <row r="283" spans="1:1">
      <c r="A283" s="117" t="s">
        <v>96</v>
      </c>
    </row>
    <row r="284" spans="1:1">
      <c r="A284" s="117" t="s">
        <v>93</v>
      </c>
    </row>
    <row r="285" spans="1:1">
      <c r="A285" s="117" t="s">
        <v>98</v>
      </c>
    </row>
    <row r="286" spans="1:1">
      <c r="A286" s="117" t="s">
        <v>92</v>
      </c>
    </row>
    <row r="287" spans="1:1">
      <c r="A287" s="117" t="s">
        <v>95</v>
      </c>
    </row>
    <row r="288" spans="1:1">
      <c r="A288" s="117" t="s">
        <v>100</v>
      </c>
    </row>
    <row r="289" spans="1:1">
      <c r="A289" s="117" t="s">
        <v>87</v>
      </c>
    </row>
    <row r="290" spans="1:1">
      <c r="A290" s="117" t="s">
        <v>102</v>
      </c>
    </row>
    <row r="291" spans="1:1" ht="16" thickBot="1">
      <c r="A291" s="118" t="s">
        <v>89</v>
      </c>
    </row>
    <row r="292" spans="1:1" ht="16" thickTop="1"/>
  </sheetData>
  <sheetProtection selectLockedCells="1" sort="0" autoFilter="0" pivotTables="0"/>
  <mergeCells count="8">
    <mergeCell ref="A236:AA236"/>
    <mergeCell ref="A1:AA1"/>
    <mergeCell ref="A103:AA103"/>
    <mergeCell ref="A127:AA127"/>
    <mergeCell ref="A181:AA181"/>
    <mergeCell ref="A98:AA98"/>
    <mergeCell ref="A53:AA53"/>
    <mergeCell ref="A55:E55"/>
  </mergeCells>
  <phoneticPr fontId="8" type="noConversion"/>
  <conditionalFormatting sqref="D3:AA52 J65:T96 D56:D96 H55:I96 D54:AA54 J55:X64">
    <cfRule type="containsErrors" dxfId="187" priority="61">
      <formula>ISERROR(D3)</formula>
    </cfRule>
  </conditionalFormatting>
  <conditionalFormatting sqref="P23:W23 P22:Q22 T22 P27:W27 P24:T26 P28:T29 P21:W21 P20:U20 P16:AA17 P15:V15 P19:X19 P18:Z18 P32:T52 P30:P31">
    <cfRule type="containsErrors" dxfId="186" priority="60">
      <formula>ISERROR(P15)</formula>
    </cfRule>
  </conditionalFormatting>
  <conditionalFormatting sqref="P11:T11 P10:U10 P8:Z8 P7:U7">
    <cfRule type="containsErrors" dxfId="185" priority="59">
      <formula>ISERROR(P7)</formula>
    </cfRule>
  </conditionalFormatting>
  <conditionalFormatting sqref="P6:AA6">
    <cfRule type="containsErrors" dxfId="184" priority="56">
      <formula>ISERROR(P6)</formula>
    </cfRule>
  </conditionalFormatting>
  <conditionalFormatting sqref="D9:N9">
    <cfRule type="containsErrors" dxfId="183" priority="55">
      <formula>ISERROR(D9)</formula>
    </cfRule>
  </conditionalFormatting>
  <conditionalFormatting sqref="P9:Z9">
    <cfRule type="containsErrors" dxfId="182" priority="54">
      <formula>ISERROR(P9)</formula>
    </cfRule>
  </conditionalFormatting>
  <conditionalFormatting sqref="E41">
    <cfRule type="containsErrors" dxfId="181" priority="53">
      <formula>ISERROR(E41)</formula>
    </cfRule>
  </conditionalFormatting>
  <conditionalFormatting sqref="J33">
    <cfRule type="containsErrors" dxfId="180" priority="52">
      <formula>ISERROR(J33)</formula>
    </cfRule>
  </conditionalFormatting>
  <conditionalFormatting sqref="I39:I41">
    <cfRule type="containsErrors" dxfId="179" priority="51">
      <formula>ISERROR(I39)</formula>
    </cfRule>
  </conditionalFormatting>
  <conditionalFormatting sqref="J39:J41">
    <cfRule type="containsErrors" dxfId="178" priority="50">
      <formula>ISERROR(J39)</formula>
    </cfRule>
  </conditionalFormatting>
  <conditionalFormatting sqref="K34:K38 K42:K46">
    <cfRule type="containsErrors" dxfId="177" priority="49">
      <formula>ISERROR(K34)</formula>
    </cfRule>
  </conditionalFormatting>
  <conditionalFormatting sqref="K33">
    <cfRule type="containsErrors" dxfId="176" priority="48">
      <formula>ISERROR(K33)</formula>
    </cfRule>
  </conditionalFormatting>
  <conditionalFormatting sqref="K39:K41">
    <cfRule type="containsErrors" dxfId="175" priority="47">
      <formula>ISERROR(K39)</formula>
    </cfRule>
  </conditionalFormatting>
  <conditionalFormatting sqref="L34:L38 L42:L46">
    <cfRule type="containsErrors" dxfId="174" priority="46">
      <formula>ISERROR(L34)</formula>
    </cfRule>
  </conditionalFormatting>
  <conditionalFormatting sqref="L33">
    <cfRule type="containsErrors" dxfId="173" priority="45">
      <formula>ISERROR(L33)</formula>
    </cfRule>
  </conditionalFormatting>
  <conditionalFormatting sqref="L39:L41">
    <cfRule type="containsErrors" dxfId="172" priority="44">
      <formula>ISERROR(L39)</formula>
    </cfRule>
  </conditionalFormatting>
  <conditionalFormatting sqref="M34:M38 M42:M46">
    <cfRule type="containsErrors" dxfId="171" priority="43">
      <formula>ISERROR(M34)</formula>
    </cfRule>
  </conditionalFormatting>
  <conditionalFormatting sqref="M33">
    <cfRule type="containsErrors" dxfId="170" priority="42">
      <formula>ISERROR(M33)</formula>
    </cfRule>
  </conditionalFormatting>
  <conditionalFormatting sqref="M39:M41">
    <cfRule type="containsErrors" dxfId="169" priority="41">
      <formula>ISERROR(M39)</formula>
    </cfRule>
  </conditionalFormatting>
  <conditionalFormatting sqref="N34:N38 N42:N46">
    <cfRule type="containsErrors" dxfId="168" priority="40">
      <formula>ISERROR(N34)</formula>
    </cfRule>
  </conditionalFormatting>
  <conditionalFormatting sqref="N33">
    <cfRule type="containsErrors" dxfId="167" priority="39">
      <formula>ISERROR(N33)</formula>
    </cfRule>
  </conditionalFormatting>
  <conditionalFormatting sqref="N39:N41">
    <cfRule type="containsErrors" dxfId="166" priority="38">
      <formula>ISERROR(N39)</formula>
    </cfRule>
  </conditionalFormatting>
  <conditionalFormatting sqref="O34:O38 O42:O46">
    <cfRule type="containsErrors" dxfId="165" priority="37">
      <formula>ISERROR(O34)</formula>
    </cfRule>
  </conditionalFormatting>
  <conditionalFormatting sqref="O33">
    <cfRule type="containsErrors" dxfId="164" priority="36">
      <formula>ISERROR(O33)</formula>
    </cfRule>
  </conditionalFormatting>
  <conditionalFormatting sqref="O39:O41">
    <cfRule type="containsErrors" dxfId="163" priority="35">
      <formula>ISERROR(O39)</formula>
    </cfRule>
  </conditionalFormatting>
  <conditionalFormatting sqref="W33:W52">
    <cfRule type="containsErrors" dxfId="162" priority="34">
      <formula>ISERROR(W33)</formula>
    </cfRule>
  </conditionalFormatting>
  <conditionalFormatting sqref="X33:X52">
    <cfRule type="containsErrors" dxfId="161" priority="33">
      <formula>ISERROR(X33)</formula>
    </cfRule>
  </conditionalFormatting>
  <conditionalFormatting sqref="Y33:Y52">
    <cfRule type="containsErrors" dxfId="160" priority="32">
      <formula>ISERROR(Y33)</formula>
    </cfRule>
  </conditionalFormatting>
  <conditionalFormatting sqref="Z33:Z52">
    <cfRule type="containsErrors" dxfId="159" priority="31">
      <formula>ISERROR(Z33)</formula>
    </cfRule>
  </conditionalFormatting>
  <conditionalFormatting sqref="AA33:AA52">
    <cfRule type="containsErrors" dxfId="158" priority="30">
      <formula>ISERROR(AA33)</formula>
    </cfRule>
  </conditionalFormatting>
  <conditionalFormatting sqref="D41">
    <cfRule type="containsErrors" dxfId="157" priority="28">
      <formula>ISERROR(D41)</formula>
    </cfRule>
  </conditionalFormatting>
  <conditionalFormatting sqref="D32:D40 D42:D52 D54 D56:D96">
    <cfRule type="containsErrors" dxfId="156" priority="29">
      <formula>ISERROR(D32)</formula>
    </cfRule>
  </conditionalFormatting>
  <conditionalFormatting sqref="Q30:R31">
    <cfRule type="containsErrors" dxfId="155" priority="27">
      <formula>ISERROR(Q30)</formula>
    </cfRule>
  </conditionalFormatting>
  <conditionalFormatting sqref="J113">
    <cfRule type="containsErrors" dxfId="154" priority="26">
      <formula>ISERROR(J113)</formula>
    </cfRule>
  </conditionalFormatting>
  <conditionalFormatting sqref="J113">
    <cfRule type="containsErrors" dxfId="153" priority="25">
      <formula>ISERROR(J113)</formula>
    </cfRule>
  </conditionalFormatting>
  <conditionalFormatting sqref="H124">
    <cfRule type="containsErrors" dxfId="152" priority="4">
      <formula>ISERROR(H124)</formula>
    </cfRule>
  </conditionalFormatting>
  <conditionalFormatting sqref="K119">
    <cfRule type="containsErrors" dxfId="151" priority="3">
      <formula>ISERROR(K119)</formula>
    </cfRule>
  </conditionalFormatting>
  <conditionalFormatting sqref="J112">
    <cfRule type="containsErrors" dxfId="150" priority="22">
      <formula>ISERROR(J112)</formula>
    </cfRule>
  </conditionalFormatting>
  <conditionalFormatting sqref="K112">
    <cfRule type="containsErrors" dxfId="149" priority="20">
      <formula>ISERROR(K112)</formula>
    </cfRule>
  </conditionalFormatting>
  <conditionalFormatting sqref="K113">
    <cfRule type="containsErrors" dxfId="148" priority="19">
      <formula>ISERROR(K113)</formula>
    </cfRule>
  </conditionalFormatting>
  <conditionalFormatting sqref="K114">
    <cfRule type="containsErrors" dxfId="147" priority="18">
      <formula>ISERROR(K114)</formula>
    </cfRule>
  </conditionalFormatting>
  <conditionalFormatting sqref="J114">
    <cfRule type="containsErrors" dxfId="146" priority="17">
      <formula>ISERROR(J114)</formula>
    </cfRule>
  </conditionalFormatting>
  <conditionalFormatting sqref="K117">
    <cfRule type="containsErrors" dxfId="145" priority="16">
      <formula>ISERROR(K117)</formula>
    </cfRule>
  </conditionalFormatting>
  <conditionalFormatting sqref="K118">
    <cfRule type="containsErrors" dxfId="144" priority="15">
      <formula>ISERROR(K118)</formula>
    </cfRule>
  </conditionalFormatting>
  <conditionalFormatting sqref="J118">
    <cfRule type="containsErrors" dxfId="143" priority="14">
      <formula>ISERROR(J118)</formula>
    </cfRule>
  </conditionalFormatting>
  <conditionalFormatting sqref="I118">
    <cfRule type="containsErrors" dxfId="142" priority="13">
      <formula>ISERROR(I118)</formula>
    </cfRule>
  </conditionalFormatting>
  <conditionalFormatting sqref="H118">
    <cfRule type="containsErrors" dxfId="141" priority="12">
      <formula>ISERROR(H118)</formula>
    </cfRule>
  </conditionalFormatting>
  <conditionalFormatting sqref="K121">
    <cfRule type="containsErrors" dxfId="140" priority="11">
      <formula>ISERROR(K121)</formula>
    </cfRule>
  </conditionalFormatting>
  <conditionalFormatting sqref="K122">
    <cfRule type="containsErrors" dxfId="139" priority="10">
      <formula>ISERROR(K122)</formula>
    </cfRule>
  </conditionalFormatting>
  <conditionalFormatting sqref="J122">
    <cfRule type="containsErrors" dxfId="138" priority="9">
      <formula>ISERROR(J122)</formula>
    </cfRule>
  </conditionalFormatting>
  <conditionalFormatting sqref="K123">
    <cfRule type="containsErrors" dxfId="137" priority="8">
      <formula>ISERROR(K123)</formula>
    </cfRule>
  </conditionalFormatting>
  <conditionalFormatting sqref="K124">
    <cfRule type="containsErrors" dxfId="136" priority="7">
      <formula>ISERROR(K124)</formula>
    </cfRule>
  </conditionalFormatting>
  <conditionalFormatting sqref="J124">
    <cfRule type="containsErrors" dxfId="135" priority="6">
      <formula>ISERROR(J124)</formula>
    </cfRule>
  </conditionalFormatting>
  <conditionalFormatting sqref="I124">
    <cfRule type="containsErrors" dxfId="134" priority="5">
      <formula>ISERROR(I124)</formula>
    </cfRule>
  </conditionalFormatting>
  <conditionalFormatting sqref="B183:K233 B129:K179">
    <cfRule type="cellIs" dxfId="133" priority="2" operator="equal">
      <formula>0</formula>
    </cfRule>
  </conditionalFormatting>
  <pageMargins left="0.75" right="0.75" top="1" bottom="1" header="0.5" footer="0.5"/>
  <pageSetup scale="29" orientation="landscape" horizontalDpi="4294967292" verticalDpi="4294967292"/>
  <rowBreaks count="1" manualBreakCount="1">
    <brk id="96" max="16383" man="1"/>
  </rowBreaks>
  <colBreaks count="1" manualBreakCount="1">
    <brk id="27" max="1048575" man="1"/>
  </colBreaks>
  <tableParts count="6">
    <tablePart r:id="rId1"/>
    <tablePart r:id="rId2"/>
    <tablePart r:id="rId3"/>
    <tablePart r:id="rId4"/>
    <tablePart r:id="rId5"/>
    <tablePart r:id="rId6"/>
  </tableParts>
  <extLst>
    <ext xmlns:mx="http://schemas.microsoft.com/office/mac/excel/2008/main" uri="{64002731-A6B0-56B0-2670-7721B7C09600}">
      <mx:PLV Mode="0" OnePage="0" WScale="29"/>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3:AA115"/>
  <sheetViews>
    <sheetView topLeftCell="A85" workbookViewId="0">
      <selection activeCell="B18" sqref="B18"/>
    </sheetView>
  </sheetViews>
  <sheetFormatPr baseColWidth="10" defaultRowHeight="15" x14ac:dyDescent="0"/>
  <cols>
    <col min="1" max="1" width="17.5" bestFit="1" customWidth="1"/>
    <col min="2" max="2" width="14.1640625" customWidth="1"/>
    <col min="3" max="3" width="11.5" customWidth="1"/>
    <col min="4" max="4" width="17" style="174" bestFit="1" customWidth="1"/>
  </cols>
  <sheetData>
    <row r="3" spans="1:27" ht="16" thickBot="1"/>
    <row r="4" spans="1:27" ht="32" thickTop="1" thickBot="1">
      <c r="A4" s="282" t="s">
        <v>234</v>
      </c>
      <c r="B4" s="283"/>
      <c r="C4" s="283"/>
      <c r="D4" s="283"/>
      <c r="E4" s="283"/>
      <c r="F4" s="283"/>
      <c r="G4" s="283"/>
      <c r="H4" s="283"/>
      <c r="I4" s="283"/>
      <c r="J4" s="283"/>
      <c r="K4" s="283"/>
      <c r="L4" s="283"/>
      <c r="M4" s="283"/>
      <c r="N4" s="283"/>
      <c r="O4" s="283"/>
      <c r="P4" s="283"/>
      <c r="Q4" s="283"/>
      <c r="R4" s="283"/>
      <c r="S4" s="283"/>
      <c r="T4" s="283"/>
      <c r="U4" s="283"/>
      <c r="V4" s="283"/>
      <c r="W4" s="283"/>
      <c r="X4" s="283"/>
      <c r="Y4" s="283"/>
      <c r="Z4" s="283"/>
      <c r="AA4" s="284"/>
    </row>
    <row r="5" spans="1:27" ht="16" thickTop="1"/>
    <row r="6" spans="1:27">
      <c r="A6" t="s">
        <v>235</v>
      </c>
      <c r="B6" t="s">
        <v>241</v>
      </c>
      <c r="C6" t="s">
        <v>236</v>
      </c>
      <c r="D6" t="s">
        <v>237</v>
      </c>
      <c r="E6" t="s">
        <v>238</v>
      </c>
      <c r="F6" s="174" t="s">
        <v>105</v>
      </c>
      <c r="G6" t="s">
        <v>0</v>
      </c>
    </row>
    <row r="7" spans="1:27">
      <c r="A7" t="s">
        <v>225</v>
      </c>
      <c r="B7" t="s">
        <v>239</v>
      </c>
      <c r="C7">
        <f>BKLevel</f>
        <v>1</v>
      </c>
      <c r="D7">
        <f>VLOOKUP(HeroNextUpgrade[[#This Row],[Hero]],MaxLevel[],MATCH("L"&amp;THLevel,MaxLevel[#Headers],0),FALSE)</f>
        <v>5</v>
      </c>
      <c r="E7" t="b">
        <f>HeroNextUpgrade[[#This Row],[CurrentLevel]]&lt;HeroNextUpgrade[[#This Row],[MaxLevel]]</f>
        <v>1</v>
      </c>
      <c r="F7" s="189">
        <f>VLOOKUP(HeroNextUpgrade[[#This Row],[CurrentLevel]]+1,HeroUpgrades[],MATCH(HeroNextUpgrade[[#This Row],[Lookup Key]]&amp;"-Cost",HeroUpgrades[#Headers],0),FALSE)</f>
        <v>12500</v>
      </c>
      <c r="G7" s="190">
        <f>VLOOKUP(HeroNextUpgrade[[#This Row],[CurrentLevel]]+1,HeroUpgrades[],MATCH(HeroNextUpgrade[[#This Row],[Lookup Key]]&amp;"-Time",HeroUpgrades[#Headers],0),FALSE)</f>
        <v>0.5</v>
      </c>
    </row>
    <row r="8" spans="1:27">
      <c r="A8" t="s">
        <v>230</v>
      </c>
      <c r="B8" t="s">
        <v>240</v>
      </c>
      <c r="C8">
        <f>AQLevel</f>
        <v>0</v>
      </c>
      <c r="D8">
        <f>VLOOKUP(HeroNextUpgrade[[#This Row],[Hero]],MaxLevel[],MATCH("L"&amp;THLevel,MaxLevel[#Headers],0),FALSE)</f>
        <v>0</v>
      </c>
      <c r="E8" t="b">
        <f>HeroNextUpgrade[[#This Row],[CurrentLevel]]&lt;HeroNextUpgrade[[#This Row],[MaxLevel]]</f>
        <v>0</v>
      </c>
      <c r="F8" s="189">
        <f>VLOOKUP(HeroNextUpgrade[[#This Row],[CurrentLevel]]+1,HeroUpgrades[],MATCH(HeroNextUpgrade[[#This Row],[Lookup Key]]&amp;"-Cost",HeroUpgrades[#Headers],0),FALSE)</f>
        <v>40000</v>
      </c>
      <c r="G8" s="191">
        <f>VLOOKUP(HeroNextUpgrade[[#This Row],[CurrentLevel]]+1,HeroUpgrades[],MATCH(HeroNextUpgrade[[#This Row],[Lookup Key]]&amp;"-Time",HeroUpgrades[#Headers],0),FALSE)</f>
        <v>0</v>
      </c>
    </row>
    <row r="9" spans="1:27" ht="16" thickBot="1"/>
    <row r="10" spans="1:27" ht="32" thickTop="1" thickBot="1">
      <c r="A10" s="282" t="s">
        <v>233</v>
      </c>
      <c r="B10" s="283"/>
      <c r="C10" s="283"/>
      <c r="D10" s="283"/>
      <c r="E10" s="283"/>
      <c r="F10" s="283"/>
      <c r="G10" s="283"/>
      <c r="H10" s="283"/>
      <c r="I10" s="283"/>
      <c r="J10" s="283"/>
      <c r="K10" s="283"/>
      <c r="L10" s="283"/>
      <c r="M10" s="283"/>
      <c r="N10" s="283"/>
      <c r="O10" s="283"/>
      <c r="P10" s="283"/>
      <c r="Q10" s="283"/>
      <c r="R10" s="283"/>
      <c r="S10" s="283"/>
      <c r="T10" s="283"/>
      <c r="U10" s="283"/>
      <c r="V10" s="283"/>
      <c r="W10" s="283"/>
      <c r="X10" s="283"/>
      <c r="Y10" s="283"/>
      <c r="Z10" s="283"/>
      <c r="AA10" s="284"/>
    </row>
    <row r="11" spans="1:27" ht="16" thickTop="1">
      <c r="A11" s="26"/>
      <c r="B11" s="26"/>
      <c r="C11" s="26"/>
      <c r="D11" s="171"/>
      <c r="E11" s="70"/>
      <c r="F11" s="26"/>
      <c r="G11" s="26"/>
      <c r="H11" s="26"/>
      <c r="I11" s="26"/>
      <c r="J11" s="26"/>
      <c r="K11" s="26"/>
      <c r="L11" s="26"/>
      <c r="M11" s="26"/>
      <c r="N11" s="26"/>
      <c r="O11" s="26"/>
      <c r="P11" s="26"/>
      <c r="Q11" s="26"/>
      <c r="R11" s="26"/>
    </row>
    <row r="12" spans="1:27">
      <c r="A12" s="26" t="s">
        <v>105</v>
      </c>
      <c r="B12" s="26" t="s">
        <v>71</v>
      </c>
      <c r="C12" s="26" t="s">
        <v>31</v>
      </c>
      <c r="D12" s="171" t="s">
        <v>140</v>
      </c>
      <c r="E12" s="26" t="s">
        <v>70</v>
      </c>
      <c r="F12" s="26" t="s">
        <v>33</v>
      </c>
      <c r="G12" s="26" t="s">
        <v>34</v>
      </c>
      <c r="H12" s="26" t="s">
        <v>35</v>
      </c>
      <c r="I12" s="26" t="s">
        <v>36</v>
      </c>
      <c r="J12" s="26" t="s">
        <v>37</v>
      </c>
      <c r="K12" s="26" t="s">
        <v>38</v>
      </c>
      <c r="L12" s="26" t="s">
        <v>39</v>
      </c>
      <c r="M12" s="26" t="s">
        <v>40</v>
      </c>
      <c r="N12" s="26" t="s">
        <v>41</v>
      </c>
      <c r="O12" s="26" t="s">
        <v>42</v>
      </c>
      <c r="P12" s="26" t="s">
        <v>43</v>
      </c>
      <c r="Q12" s="26" t="s">
        <v>44</v>
      </c>
      <c r="R12" s="26" t="s">
        <v>69</v>
      </c>
    </row>
    <row r="13" spans="1:27">
      <c r="A13" s="26" t="s">
        <v>13</v>
      </c>
      <c r="B13" s="26" t="str">
        <f>VLOOKUP(CostRemaining[[#This Row],[Cost]],Upgrades[],2,FALSE)</f>
        <v>Building</v>
      </c>
      <c r="C13" s="26" t="str">
        <f>VLOOKUP(CostRemaining[[#This Row],[Cost]],Upgrades[],3,FALSE)</f>
        <v>Gold</v>
      </c>
      <c r="D13" s="171" t="str">
        <f>IF((IFERROR(MATCH(CostRemaining[[#This Row],[Cost]],'Construction Dashboard'!$P$19:$S$19,0),0)+IFERROR(MATCH(CostRemaining[[#This Row],[Cost]],'Construction Dashboard'!$P$20:$S$20,0),0))&gt;0,"IGNORE",CostRemaining[Kind]&amp;"-"&amp;CostRemaining[Resource])</f>
        <v>Building-Gold</v>
      </c>
      <c r="E13" s="71">
        <f>IFERROR(VLOOKUP(CostRemaining[[#This Row],[Cost]],Upgrades[],MATCH("C"&amp;MATCH(TRUE,INDEX(CostRemaining[[#This Row],[1]:[12]]&lt;&gt;0,),0),Upgrades[#Headers],0),FALSE),"")</f>
        <v>2000000</v>
      </c>
      <c r="F13" s="72">
        <f>IF(VALUE(CostRemaining[#Headers])&lt;='Construction Dashboard'!$F24,IFERROR(VLOOKUP(CostRemaining[[#This Row],[Cost]],Upgrades[],MATCH("C"&amp;CostRemaining[#Headers],Upgrades[#Headers],0),FALSE),0)*MAX(0,SUM('Construction Dashboard'!$G24:G24)),0)</f>
        <v>0</v>
      </c>
      <c r="G13" s="72">
        <f>IF(VALUE(CostRemaining[#Headers])&lt;='Construction Dashboard'!$F24,IFERROR(VLOOKUP(CostRemaining[[#This Row],[Cost]],Upgrades[],MATCH("C"&amp;CostRemaining[#Headers],Upgrades[#Headers],0),FALSE),0)*MAX(0,SUM('Construction Dashboard'!$G24:H24)),0)</f>
        <v>0</v>
      </c>
      <c r="H13" s="72">
        <f>IF(VALUE(CostRemaining[#Headers])&lt;='Construction Dashboard'!$F24,IFERROR(VLOOKUP(CostRemaining[[#This Row],[Cost]],Upgrades[],MATCH("C"&amp;CostRemaining[#Headers],Upgrades[#Headers],0),FALSE),0)*MAX(0,SUM('Construction Dashboard'!$G24:I24)),0)</f>
        <v>0</v>
      </c>
      <c r="I13" s="72">
        <f>IF(VALUE(CostRemaining[#Headers])&lt;='Construction Dashboard'!$F24,IFERROR(VLOOKUP(CostRemaining[[#This Row],[Cost]],Upgrades[],MATCH("C"&amp;CostRemaining[#Headers],Upgrades[#Headers],0),FALSE),0)*MAX(0,SUM('Construction Dashboard'!$G24:J24)),0)</f>
        <v>0</v>
      </c>
      <c r="J13" s="72">
        <f>IF(VALUE(CostRemaining[#Headers])&lt;='Construction Dashboard'!$F24,IFERROR(VLOOKUP(CostRemaining[[#This Row],[Cost]],Upgrades[],MATCH("C"&amp;CostRemaining[#Headers],Upgrades[#Headers],0),FALSE),0)*MAX(0,SUM('Construction Dashboard'!$G24:K24)),0)</f>
        <v>0</v>
      </c>
      <c r="K13" s="72">
        <f>IF(VALUE(CostRemaining[#Headers])&lt;='Construction Dashboard'!$F24,IFERROR(VLOOKUP(CostRemaining[[#This Row],[Cost]],Upgrades[],MATCH("C"&amp;CostRemaining[#Headers],Upgrades[#Headers],0),FALSE),0)*MAX(0,SUM('Construction Dashboard'!$G24:L24)),0)</f>
        <v>0</v>
      </c>
      <c r="L13" s="72">
        <f>IF(VALUE(CostRemaining[#Headers])&lt;='Construction Dashboard'!$F24,IFERROR(VLOOKUP(CostRemaining[[#This Row],[Cost]],Upgrades[],MATCH("C"&amp;CostRemaining[#Headers],Upgrades[#Headers],0),FALSE),0)*MAX(0,SUM('Construction Dashboard'!$G24:M24)),0)</f>
        <v>0</v>
      </c>
      <c r="M13" s="72">
        <f>IF(VALUE(CostRemaining[#Headers])&lt;='Construction Dashboard'!$F24,IFERROR(VLOOKUP(CostRemaining[[#This Row],[Cost]],Upgrades[],MATCH("C"&amp;CostRemaining[#Headers],Upgrades[#Headers],0),FALSE),0)*MAX(0,SUM('Construction Dashboard'!$G24:N24)),0)</f>
        <v>2000000</v>
      </c>
      <c r="N13" s="72">
        <f>IF(VALUE(CostRemaining[#Headers])&lt;='Construction Dashboard'!$F24,IFERROR(VLOOKUP(CostRemaining[[#This Row],[Cost]],Upgrades[],MATCH("C"&amp;CostRemaining[#Headers],Upgrades[#Headers],0),FALSE),0)*MAX(0,SUM('Construction Dashboard'!$G24:O24)),0)</f>
        <v>0</v>
      </c>
      <c r="O13" s="72">
        <f>IF(VALUE(CostRemaining[#Headers])&lt;='Construction Dashboard'!$F24,IFERROR(VLOOKUP(CostRemaining[[#This Row],[Cost]],Upgrades[],MATCH("C"&amp;CostRemaining[#Headers],Upgrades[#Headers],0),FALSE),0)*MAX(0,SUM('Construction Dashboard'!$G24:P24)),0)</f>
        <v>0</v>
      </c>
      <c r="P13" s="72">
        <f>IF(VALUE(CostRemaining[#Headers])&lt;='Construction Dashboard'!$F24,IFERROR(VLOOKUP(CostRemaining[[#This Row],[Cost]],Upgrades[],MATCH("C"&amp;CostRemaining[#Headers],Upgrades[#Headers],0),FALSE),0)*MAX(0,SUM('Construction Dashboard'!$G24:Q24)),0)</f>
        <v>0</v>
      </c>
      <c r="Q13" s="72">
        <f>IF(VALUE(CostRemaining[#Headers])&lt;='Construction Dashboard'!$F24,IFERROR(VLOOKUP(CostRemaining[[#This Row],[Cost]],Upgrades[],MATCH("C"&amp;CostRemaining[#Headers],Upgrades[#Headers],0),FALSE),0)*MAX(0,SUM('Construction Dashboard'!$G24:R24)),0)</f>
        <v>0</v>
      </c>
      <c r="R13" s="72">
        <f>IF(CostRemaining[[#This Row],[MatchStr]]="IGNORE",0,SUM(CostRemaining[[#This Row],[1]:[12]]))</f>
        <v>2000000</v>
      </c>
    </row>
    <row r="14" spans="1:27">
      <c r="A14" s="26" t="s">
        <v>21</v>
      </c>
      <c r="B14" s="26" t="str">
        <f>VLOOKUP(CostRemaining[[#This Row],[Cost]],Upgrades[],2,FALSE)</f>
        <v>Building</v>
      </c>
      <c r="C14" s="26" t="str">
        <f>VLOOKUP(CostRemaining[[#This Row],[Cost]],Upgrades[],3,FALSE)</f>
        <v>Elixir</v>
      </c>
      <c r="D14" s="171" t="str">
        <f>IF((IFERROR(MATCH(CostRemaining[[#This Row],[Cost]],'Construction Dashboard'!$P$19:$S$19,0),0)+IFERROR(MATCH(CostRemaining[[#This Row],[Cost]],'Construction Dashboard'!$P$20:$S$20,0),0))&gt;0,"IGNORE",CostRemaining[Kind]&amp;"-"&amp;CostRemaining[Resource])</f>
        <v>Building-Elixir</v>
      </c>
      <c r="E14" s="71" t="str">
        <f>IFERROR(VLOOKUP(CostRemaining[[#This Row],[Cost]],Upgrades[],MATCH("C"&amp;MATCH(TRUE,INDEX(CostRemaining[[#This Row],[1]:[12]]&lt;&gt;0,),0),Upgrades[#Headers],0),FALSE),"")</f>
        <v/>
      </c>
      <c r="F14" s="72">
        <f>IF(VALUE(CostRemaining[#Headers])&lt;='Construction Dashboard'!$F25,IFERROR(VLOOKUP(CostRemaining[[#This Row],[Cost]],Upgrades[],MATCH("C"&amp;CostRemaining[#Headers],Upgrades[#Headers],0),FALSE),0)*MAX(0,SUM('Construction Dashboard'!$G25:G25)),0)</f>
        <v>0</v>
      </c>
      <c r="G14" s="72">
        <f>IF(VALUE(CostRemaining[#Headers])&lt;='Construction Dashboard'!$F25,IFERROR(VLOOKUP(CostRemaining[[#This Row],[Cost]],Upgrades[],MATCH("C"&amp;CostRemaining[#Headers],Upgrades[#Headers],0),FALSE),0)*MAX(0,SUM('Construction Dashboard'!$G25:H25)),0)</f>
        <v>0</v>
      </c>
      <c r="H14" s="72">
        <f>IF(VALUE(CostRemaining[#Headers])&lt;='Construction Dashboard'!$F25,IFERROR(VLOOKUP(CostRemaining[[#This Row],[Cost]],Upgrades[],MATCH("C"&amp;CostRemaining[#Headers],Upgrades[#Headers],0),FALSE),0)*MAX(0,SUM('Construction Dashboard'!$G25:I25)),0)</f>
        <v>0</v>
      </c>
      <c r="I14" s="72">
        <f>IF(VALUE(CostRemaining[#Headers])&lt;='Construction Dashboard'!$F25,IFERROR(VLOOKUP(CostRemaining[[#This Row],[Cost]],Upgrades[],MATCH("C"&amp;CostRemaining[#Headers],Upgrades[#Headers],0),FALSE),0)*MAX(0,SUM('Construction Dashboard'!$G25:J25)),0)</f>
        <v>0</v>
      </c>
      <c r="J14" s="72">
        <f>IF(VALUE(CostRemaining[#Headers])&lt;='Construction Dashboard'!$F25,IFERROR(VLOOKUP(CostRemaining[[#This Row],[Cost]],Upgrades[],MATCH("C"&amp;CostRemaining[#Headers],Upgrades[#Headers],0),FALSE),0)*MAX(0,SUM('Construction Dashboard'!$G25:K25)),0)</f>
        <v>0</v>
      </c>
      <c r="K14" s="72">
        <f>IF(VALUE(CostRemaining[#Headers])&lt;='Construction Dashboard'!$F25,IFERROR(VLOOKUP(CostRemaining[[#This Row],[Cost]],Upgrades[],MATCH("C"&amp;CostRemaining[#Headers],Upgrades[#Headers],0),FALSE),0)*MAX(0,SUM('Construction Dashboard'!$G25:L25)),0)</f>
        <v>0</v>
      </c>
      <c r="L14" s="72">
        <f>IF(VALUE(CostRemaining[#Headers])&lt;='Construction Dashboard'!$F25,IFERROR(VLOOKUP(CostRemaining[[#This Row],[Cost]],Upgrades[],MATCH("C"&amp;CostRemaining[#Headers],Upgrades[#Headers],0),FALSE),0)*MAX(0,SUM('Construction Dashboard'!$G25:M25)),0)</f>
        <v>0</v>
      </c>
      <c r="M14" s="72">
        <f>IF(VALUE(CostRemaining[#Headers])&lt;='Construction Dashboard'!$F25,IFERROR(VLOOKUP(CostRemaining[[#This Row],[Cost]],Upgrades[],MATCH("C"&amp;CostRemaining[#Headers],Upgrades[#Headers],0),FALSE),0)*MAX(0,SUM('Construction Dashboard'!$G25:N25)),0)</f>
        <v>0</v>
      </c>
      <c r="N14" s="72">
        <f>IF(VALUE(CostRemaining[#Headers])&lt;='Construction Dashboard'!$F25,IFERROR(VLOOKUP(CostRemaining[[#This Row],[Cost]],Upgrades[],MATCH("C"&amp;CostRemaining[#Headers],Upgrades[#Headers],0),FALSE),0)*MAX(0,SUM('Construction Dashboard'!$G25:O25)),0)</f>
        <v>0</v>
      </c>
      <c r="O14" s="72">
        <f>IF(VALUE(CostRemaining[#Headers])&lt;='Construction Dashboard'!$F25,IFERROR(VLOOKUP(CostRemaining[[#This Row],[Cost]],Upgrades[],MATCH("C"&amp;CostRemaining[#Headers],Upgrades[#Headers],0),FALSE),0)*MAX(0,SUM('Construction Dashboard'!$G25:P25)),0)</f>
        <v>0</v>
      </c>
      <c r="P14" s="72">
        <f>IF(VALUE(CostRemaining[#Headers])&lt;='Construction Dashboard'!$F25,IFERROR(VLOOKUP(CostRemaining[[#This Row],[Cost]],Upgrades[],MATCH("C"&amp;CostRemaining[#Headers],Upgrades[#Headers],0),FALSE),0)*MAX(0,SUM('Construction Dashboard'!$G25:Q25)),0)</f>
        <v>0</v>
      </c>
      <c r="Q14" s="72">
        <f>IF(VALUE(CostRemaining[#Headers])&lt;='Construction Dashboard'!$F25,IFERROR(VLOOKUP(CostRemaining[[#This Row],[Cost]],Upgrades[],MATCH("C"&amp;CostRemaining[#Headers],Upgrades[#Headers],0),FALSE),0)*MAX(0,SUM('Construction Dashboard'!$G25:R25)),0)</f>
        <v>0</v>
      </c>
      <c r="R14" s="72">
        <f>IF(CostRemaining[[#This Row],[MatchStr]]="IGNORE",0,SUM(CostRemaining[[#This Row],[1]:[12]]))</f>
        <v>0</v>
      </c>
    </row>
    <row r="15" spans="1:27">
      <c r="A15" s="26" t="s">
        <v>2</v>
      </c>
      <c r="B15" s="73" t="str">
        <f>VLOOKUP(CostRemaining[[#This Row],[Cost]],Upgrades[],2,FALSE)</f>
        <v>Building</v>
      </c>
      <c r="C15" s="73" t="str">
        <f>VLOOKUP(CostRemaining[[#This Row],[Cost]],Upgrades[],3,FALSE)</f>
        <v>Elixir</v>
      </c>
      <c r="D15" s="172" t="str">
        <f>IF((IFERROR(MATCH(CostRemaining[[#This Row],[Cost]],'Construction Dashboard'!$P$19:$S$19,0),0)+IFERROR(MATCH(CostRemaining[[#This Row],[Cost]],'Construction Dashboard'!$P$20:$S$20,0),0))&gt;0,"IGNORE",CostRemaining[Kind]&amp;"-"&amp;CostRemaining[Resource])</f>
        <v>Building-Elixir</v>
      </c>
      <c r="E15" s="71">
        <f>IFERROR(VLOOKUP(CostRemaining[[#This Row],[Cost]],Upgrades[],MATCH("C"&amp;MATCH(TRUE,INDEX(CostRemaining[[#This Row],[1]:[12]]&lt;&gt;0,),0),Upgrades[#Headers],0),FALSE),"")</f>
        <v>700000</v>
      </c>
      <c r="F15" s="72">
        <f>IF(VALUE(CostRemaining[#Headers])&lt;='Construction Dashboard'!$F26,IFERROR(VLOOKUP(CostRemaining[[#This Row],[Cost]],Upgrades[],MATCH("C"&amp;CostRemaining[#Headers],Upgrades[#Headers],0),FALSE),0)*MAX(0,SUM('Construction Dashboard'!$G26:G26)),0)</f>
        <v>0</v>
      </c>
      <c r="G15" s="72">
        <f>IF(VALUE(CostRemaining[#Headers])&lt;='Construction Dashboard'!$F26,IFERROR(VLOOKUP(CostRemaining[[#This Row],[Cost]],Upgrades[],MATCH("C"&amp;CostRemaining[#Headers],Upgrades[#Headers],0),FALSE),0)*MAX(0,SUM('Construction Dashboard'!$G26:H26)),0)</f>
        <v>0</v>
      </c>
      <c r="H15" s="72">
        <f>IF(VALUE(CostRemaining[#Headers])&lt;='Construction Dashboard'!$F26,IFERROR(VLOOKUP(CostRemaining[[#This Row],[Cost]],Upgrades[],MATCH("C"&amp;CostRemaining[#Headers],Upgrades[#Headers],0),FALSE),0)*MAX(0,SUM('Construction Dashboard'!$G26:I26)),0)</f>
        <v>0</v>
      </c>
      <c r="I15" s="72">
        <f>IF(VALUE(CostRemaining[#Headers])&lt;='Construction Dashboard'!$F26,IFERROR(VLOOKUP(CostRemaining[[#This Row],[Cost]],Upgrades[],MATCH("C"&amp;CostRemaining[#Headers],Upgrades[#Headers],0),FALSE),0)*MAX(0,SUM('Construction Dashboard'!$G26:J26)),0)</f>
        <v>0</v>
      </c>
      <c r="J15" s="72">
        <f>IF(VALUE(CostRemaining[#Headers])&lt;='Construction Dashboard'!$F26,IFERROR(VLOOKUP(CostRemaining[[#This Row],[Cost]],Upgrades[],MATCH("C"&amp;CostRemaining[#Headers],Upgrades[#Headers],0),FALSE),0)*MAX(0,SUM('Construction Dashboard'!$G26:K26)),0)</f>
        <v>0</v>
      </c>
      <c r="K15" s="72">
        <f>IF(VALUE(CostRemaining[#Headers])&lt;='Construction Dashboard'!$F26,IFERROR(VLOOKUP(CostRemaining[[#This Row],[Cost]],Upgrades[],MATCH("C"&amp;CostRemaining[#Headers],Upgrades[#Headers],0),FALSE),0)*MAX(0,SUM('Construction Dashboard'!$G26:L26)),0)</f>
        <v>0</v>
      </c>
      <c r="L15" s="72">
        <f>IF(VALUE(CostRemaining[#Headers])&lt;='Construction Dashboard'!$F26,IFERROR(VLOOKUP(CostRemaining[[#This Row],[Cost]],Upgrades[],MATCH("C"&amp;CostRemaining[#Headers],Upgrades[#Headers],0),FALSE),0)*MAX(0,SUM('Construction Dashboard'!$G26:M26)),0)</f>
        <v>0</v>
      </c>
      <c r="M15" s="72">
        <f>IF(VALUE(CostRemaining[#Headers])&lt;='Construction Dashboard'!$F26,IFERROR(VLOOKUP(CostRemaining[[#This Row],[Cost]],Upgrades[],MATCH("C"&amp;CostRemaining[#Headers],Upgrades[#Headers],0),FALSE),0)*MAX(0,SUM('Construction Dashboard'!$G26:N26)),0)</f>
        <v>700000</v>
      </c>
      <c r="N15" s="72">
        <f>IF(VALUE(CostRemaining[#Headers])&lt;='Construction Dashboard'!$F26,IFERROR(VLOOKUP(CostRemaining[[#This Row],[Cost]],Upgrades[],MATCH("C"&amp;CostRemaining[#Headers],Upgrades[#Headers],0),FALSE),0)*MAX(0,SUM('Construction Dashboard'!$G26:O26)),0)</f>
        <v>4500000</v>
      </c>
      <c r="O15" s="72">
        <f>IF(VALUE(CostRemaining[#Headers])&lt;='Construction Dashboard'!$F26,IFERROR(VLOOKUP(CostRemaining[[#This Row],[Cost]],Upgrades[],MATCH("C"&amp;CostRemaining[#Headers],Upgrades[#Headers],0),FALSE),0)*MAX(0,SUM('Construction Dashboard'!$G26:P26)),0)</f>
        <v>0</v>
      </c>
      <c r="P15" s="72">
        <f>IF(VALUE(CostRemaining[#Headers])&lt;='Construction Dashboard'!$F26,IFERROR(VLOOKUP(CostRemaining[[#This Row],[Cost]],Upgrades[],MATCH("C"&amp;CostRemaining[#Headers],Upgrades[#Headers],0),FALSE),0)*MAX(0,SUM('Construction Dashboard'!$G26:Q26)),0)</f>
        <v>0</v>
      </c>
      <c r="Q15" s="72">
        <f>IF(VALUE(CostRemaining[#Headers])&lt;='Construction Dashboard'!$F26,IFERROR(VLOOKUP(CostRemaining[[#This Row],[Cost]],Upgrades[],MATCH("C"&amp;CostRemaining[#Headers],Upgrades[#Headers],0),FALSE),0)*MAX(0,SUM('Construction Dashboard'!$G26:R26)),0)</f>
        <v>0</v>
      </c>
      <c r="R15" s="72">
        <f>IF(CostRemaining[[#This Row],[MatchStr]]="IGNORE",0,SUM(CostRemaining[[#This Row],[1]:[12]]))</f>
        <v>5200000</v>
      </c>
    </row>
    <row r="16" spans="1:27">
      <c r="A16" s="26" t="s">
        <v>20</v>
      </c>
      <c r="B16" s="73" t="str">
        <f>VLOOKUP(CostRemaining[[#This Row],[Cost]],Upgrades[],2,FALSE)</f>
        <v>Building</v>
      </c>
      <c r="C16" s="73" t="str">
        <f>VLOOKUP(CostRemaining[[#This Row],[Cost]],Upgrades[],3,FALSE)</f>
        <v>Elixir</v>
      </c>
      <c r="D16" s="172" t="str">
        <f>IF((IFERROR(MATCH(CostRemaining[[#This Row],[Cost]],'Construction Dashboard'!$P$19:$S$19,0),0)+IFERROR(MATCH(CostRemaining[[#This Row],[Cost]],'Construction Dashboard'!$P$20:$S$20,0),0))&gt;0,"IGNORE",CostRemaining[Kind]&amp;"-"&amp;CostRemaining[Resource])</f>
        <v>Building-Elixir</v>
      </c>
      <c r="E16" s="71" t="str">
        <f>IFERROR(VLOOKUP(CostRemaining[[#This Row],[Cost]],Upgrades[],MATCH("C"&amp;MATCH(TRUE,INDEX(CostRemaining[[#This Row],[1]:[12]]&lt;&gt;0,),0),Upgrades[#Headers],0),FALSE),"")</f>
        <v/>
      </c>
      <c r="F16" s="72">
        <f>IF(VALUE(CostRemaining[#Headers])&lt;='Construction Dashboard'!$F27,IFERROR(VLOOKUP(CostRemaining[[#This Row],[Cost]],Upgrades[],MATCH("C"&amp;CostRemaining[#Headers],Upgrades[#Headers],0),FALSE),0)*MAX(0,SUM('Construction Dashboard'!$G27:G27)),0)</f>
        <v>0</v>
      </c>
      <c r="G16" s="72">
        <f>IF(VALUE(CostRemaining[#Headers])&lt;='Construction Dashboard'!$F27,IFERROR(VLOOKUP(CostRemaining[[#This Row],[Cost]],Upgrades[],MATCH("C"&amp;CostRemaining[#Headers],Upgrades[#Headers],0),FALSE),0)*MAX(0,SUM('Construction Dashboard'!$G27:H27)),0)</f>
        <v>0</v>
      </c>
      <c r="H16" s="72">
        <f>IF(VALUE(CostRemaining[#Headers])&lt;='Construction Dashboard'!$F27,IFERROR(VLOOKUP(CostRemaining[[#This Row],[Cost]],Upgrades[],MATCH("C"&amp;CostRemaining[#Headers],Upgrades[#Headers],0),FALSE),0)*MAX(0,SUM('Construction Dashboard'!$G27:I27)),0)</f>
        <v>0</v>
      </c>
      <c r="I16" s="72">
        <f>IF(VALUE(CostRemaining[#Headers])&lt;='Construction Dashboard'!$F27,IFERROR(VLOOKUP(CostRemaining[[#This Row],[Cost]],Upgrades[],MATCH("C"&amp;CostRemaining[#Headers],Upgrades[#Headers],0),FALSE),0)*MAX(0,SUM('Construction Dashboard'!$G27:J27)),0)</f>
        <v>0</v>
      </c>
      <c r="J16" s="72">
        <f>IF(VALUE(CostRemaining[#Headers])&lt;='Construction Dashboard'!$F27,IFERROR(VLOOKUP(CostRemaining[[#This Row],[Cost]],Upgrades[],MATCH("C"&amp;CostRemaining[#Headers],Upgrades[#Headers],0),FALSE),0)*MAX(0,SUM('Construction Dashboard'!$G27:K27)),0)</f>
        <v>0</v>
      </c>
      <c r="K16" s="72">
        <f>IF(VALUE(CostRemaining[#Headers])&lt;='Construction Dashboard'!$F27,IFERROR(VLOOKUP(CostRemaining[[#This Row],[Cost]],Upgrades[],MATCH("C"&amp;CostRemaining[#Headers],Upgrades[#Headers],0),FALSE),0)*MAX(0,SUM('Construction Dashboard'!$G27:L27)),0)</f>
        <v>0</v>
      </c>
      <c r="L16" s="72">
        <f>IF(VALUE(CostRemaining[#Headers])&lt;='Construction Dashboard'!$F27,IFERROR(VLOOKUP(CostRemaining[[#This Row],[Cost]],Upgrades[],MATCH("C"&amp;CostRemaining[#Headers],Upgrades[#Headers],0),FALSE),0)*MAX(0,SUM('Construction Dashboard'!$G27:M27)),0)</f>
        <v>0</v>
      </c>
      <c r="M16" s="72">
        <f>IF(VALUE(CostRemaining[#Headers])&lt;='Construction Dashboard'!$F27,IFERROR(VLOOKUP(CostRemaining[[#This Row],[Cost]],Upgrades[],MATCH("C"&amp;CostRemaining[#Headers],Upgrades[#Headers],0),FALSE),0)*MAX(0,SUM('Construction Dashboard'!$G27:N27)),0)</f>
        <v>0</v>
      </c>
      <c r="N16" s="72">
        <f>IF(VALUE(CostRemaining[#Headers])&lt;='Construction Dashboard'!$F27,IFERROR(VLOOKUP(CostRemaining[[#This Row],[Cost]],Upgrades[],MATCH("C"&amp;CostRemaining[#Headers],Upgrades[#Headers],0),FALSE),0)*MAX(0,SUM('Construction Dashboard'!$G27:O27)),0)</f>
        <v>0</v>
      </c>
      <c r="O16" s="72">
        <f>IF(VALUE(CostRemaining[#Headers])&lt;='Construction Dashboard'!$F27,IFERROR(VLOOKUP(CostRemaining[[#This Row],[Cost]],Upgrades[],MATCH("C"&amp;CostRemaining[#Headers],Upgrades[#Headers],0),FALSE),0)*MAX(0,SUM('Construction Dashboard'!$G27:P27)),0)</f>
        <v>0</v>
      </c>
      <c r="P16" s="72">
        <f>IF(VALUE(CostRemaining[#Headers])&lt;='Construction Dashboard'!$F27,IFERROR(VLOOKUP(CostRemaining[[#This Row],[Cost]],Upgrades[],MATCH("C"&amp;CostRemaining[#Headers],Upgrades[#Headers],0),FALSE),0)*MAX(0,SUM('Construction Dashboard'!$G27:Q27)),0)</f>
        <v>0</v>
      </c>
      <c r="Q16" s="72">
        <f>IF(VALUE(CostRemaining[#Headers])&lt;='Construction Dashboard'!$F27,IFERROR(VLOOKUP(CostRemaining[[#This Row],[Cost]],Upgrades[],MATCH("C"&amp;CostRemaining[#Headers],Upgrades[#Headers],0),FALSE),0)*MAX(0,SUM('Construction Dashboard'!$G27:R27)),0)</f>
        <v>0</v>
      </c>
      <c r="R16" s="72">
        <f>IF(CostRemaining[[#This Row],[MatchStr]]="IGNORE",0,SUM(CostRemaining[[#This Row],[1]:[12]]))</f>
        <v>0</v>
      </c>
    </row>
    <row r="17" spans="1:18">
      <c r="A17" s="26" t="s">
        <v>15</v>
      </c>
      <c r="B17" s="26" t="str">
        <f>VLOOKUP(CostRemaining[[#This Row],[Cost]],Upgrades[],2,FALSE)</f>
        <v>Building</v>
      </c>
      <c r="C17" s="26" t="str">
        <f>VLOOKUP(CostRemaining[[#This Row],[Cost]],Upgrades[],3,FALSE)</f>
        <v>Elixir</v>
      </c>
      <c r="D17" s="171" t="str">
        <f>IF((IFERROR(MATCH(CostRemaining[[#This Row],[Cost]],'Construction Dashboard'!$P$19:$S$19,0),0)+IFERROR(MATCH(CostRemaining[[#This Row],[Cost]],'Construction Dashboard'!$P$20:$S$20,0),0))&gt;0,"IGNORE",CostRemaining[Kind]&amp;"-"&amp;CostRemaining[Resource])</f>
        <v>Building-Elixir</v>
      </c>
      <c r="E17" s="71" t="str">
        <f>IFERROR(VLOOKUP(CostRemaining[[#This Row],[Cost]],Upgrades[],MATCH("C"&amp;MATCH(TRUE,INDEX(CostRemaining[[#This Row],[1]:[12]]&lt;&gt;0,),0),Upgrades[#Headers],0),FALSE),"")</f>
        <v/>
      </c>
      <c r="F17" s="72">
        <f>IF(VALUE(CostRemaining[#Headers])&lt;='Construction Dashboard'!$F28,IFERROR(VLOOKUP(CostRemaining[[#This Row],[Cost]],Upgrades[],MATCH("C"&amp;CostRemaining[#Headers],Upgrades[#Headers],0),FALSE),0)*MAX(0,SUM('Construction Dashboard'!$G28:G28)),0)</f>
        <v>0</v>
      </c>
      <c r="G17" s="72">
        <f>IF(VALUE(CostRemaining[#Headers])&lt;='Construction Dashboard'!$F28,IFERROR(VLOOKUP(CostRemaining[[#This Row],[Cost]],Upgrades[],MATCH("C"&amp;CostRemaining[#Headers],Upgrades[#Headers],0),FALSE),0)*MAX(0,SUM('Construction Dashboard'!$G28:H28)),0)</f>
        <v>0</v>
      </c>
      <c r="H17" s="72">
        <f>IF(VALUE(CostRemaining[#Headers])&lt;='Construction Dashboard'!$F28,IFERROR(VLOOKUP(CostRemaining[[#This Row],[Cost]],Upgrades[],MATCH("C"&amp;CostRemaining[#Headers],Upgrades[#Headers],0),FALSE),0)*MAX(0,SUM('Construction Dashboard'!$G28:I28)),0)</f>
        <v>0</v>
      </c>
      <c r="I17" s="72">
        <f>IF(VALUE(CostRemaining[#Headers])&lt;='Construction Dashboard'!$F28,IFERROR(VLOOKUP(CostRemaining[[#This Row],[Cost]],Upgrades[],MATCH("C"&amp;CostRemaining[#Headers],Upgrades[#Headers],0),FALSE),0)*MAX(0,SUM('Construction Dashboard'!$G28:J28)),0)</f>
        <v>0</v>
      </c>
      <c r="J17" s="72">
        <f>IF(VALUE(CostRemaining[#Headers])&lt;='Construction Dashboard'!$F28,IFERROR(VLOOKUP(CostRemaining[[#This Row],[Cost]],Upgrades[],MATCH("C"&amp;CostRemaining[#Headers],Upgrades[#Headers],0),FALSE),0)*MAX(0,SUM('Construction Dashboard'!$G28:K28)),0)</f>
        <v>0</v>
      </c>
      <c r="K17" s="72">
        <f>IF(VALUE(CostRemaining[#Headers])&lt;='Construction Dashboard'!$F28,IFERROR(VLOOKUP(CostRemaining[[#This Row],[Cost]],Upgrades[],MATCH("C"&amp;CostRemaining[#Headers],Upgrades[#Headers],0),FALSE),0)*MAX(0,SUM('Construction Dashboard'!$G28:L28)),0)</f>
        <v>0</v>
      </c>
      <c r="L17" s="72">
        <f>IF(VALUE(CostRemaining[#Headers])&lt;='Construction Dashboard'!$F28,IFERROR(VLOOKUP(CostRemaining[[#This Row],[Cost]],Upgrades[],MATCH("C"&amp;CostRemaining[#Headers],Upgrades[#Headers],0),FALSE),0)*MAX(0,SUM('Construction Dashboard'!$G28:M28)),0)</f>
        <v>0</v>
      </c>
      <c r="M17" s="72">
        <f>IF(VALUE(CostRemaining[#Headers])&lt;='Construction Dashboard'!$F28,IFERROR(VLOOKUP(CostRemaining[[#This Row],[Cost]],Upgrades[],MATCH("C"&amp;CostRemaining[#Headers],Upgrades[#Headers],0),FALSE),0)*MAX(0,SUM('Construction Dashboard'!$G28:N28)),0)</f>
        <v>0</v>
      </c>
      <c r="N17" s="72">
        <f>IF(VALUE(CostRemaining[#Headers])&lt;='Construction Dashboard'!$F28,IFERROR(VLOOKUP(CostRemaining[[#This Row],[Cost]],Upgrades[],MATCH("C"&amp;CostRemaining[#Headers],Upgrades[#Headers],0),FALSE),0)*MAX(0,SUM('Construction Dashboard'!$G28:O28)),0)</f>
        <v>0</v>
      </c>
      <c r="O17" s="72">
        <f>IF(VALUE(CostRemaining[#Headers])&lt;='Construction Dashboard'!$F28,IFERROR(VLOOKUP(CostRemaining[[#This Row],[Cost]],Upgrades[],MATCH("C"&amp;CostRemaining[#Headers],Upgrades[#Headers],0),FALSE),0)*MAX(0,SUM('Construction Dashboard'!$G28:P28)),0)</f>
        <v>0</v>
      </c>
      <c r="P17" s="72">
        <f>IF(VALUE(CostRemaining[#Headers])&lt;='Construction Dashboard'!$F28,IFERROR(VLOOKUP(CostRemaining[[#This Row],[Cost]],Upgrades[],MATCH("C"&amp;CostRemaining[#Headers],Upgrades[#Headers],0),FALSE),0)*MAX(0,SUM('Construction Dashboard'!$G28:Q28)),0)</f>
        <v>0</v>
      </c>
      <c r="Q17" s="72">
        <f>IF(VALUE(CostRemaining[#Headers])&lt;='Construction Dashboard'!$F28,IFERROR(VLOOKUP(CostRemaining[[#This Row],[Cost]],Upgrades[],MATCH("C"&amp;CostRemaining[#Headers],Upgrades[#Headers],0),FALSE),0)*MAX(0,SUM('Construction Dashboard'!$G28:R28)),0)</f>
        <v>0</v>
      </c>
      <c r="R17" s="72">
        <f>IF(CostRemaining[[#This Row],[MatchStr]]="IGNORE",0,SUM(CostRemaining[[#This Row],[1]:[12]]))</f>
        <v>0</v>
      </c>
    </row>
    <row r="18" spans="1:18">
      <c r="A18" s="26" t="s">
        <v>16</v>
      </c>
      <c r="B18" s="26" t="str">
        <f>VLOOKUP(CostRemaining[[#This Row],[Cost]],Upgrades[],2,FALSE)</f>
        <v>Building</v>
      </c>
      <c r="C18" s="26" t="str">
        <f>VLOOKUP(CostRemaining[[#This Row],[Cost]],Upgrades[],3,FALSE)</f>
        <v>Gold</v>
      </c>
      <c r="D18" s="171" t="str">
        <f>IF((IFERROR(MATCH(CostRemaining[[#This Row],[Cost]],'Construction Dashboard'!$P$19:$S$19,0),0)+IFERROR(MATCH(CostRemaining[[#This Row],[Cost]],'Construction Dashboard'!$P$20:$S$20,0),0))&gt;0,"IGNORE",CostRemaining[Kind]&amp;"-"&amp;CostRemaining[Resource])</f>
        <v>Building-Gold</v>
      </c>
      <c r="E18" s="71" t="str">
        <f>IFERROR(VLOOKUP(CostRemaining[[#This Row],[Cost]],Upgrades[],MATCH("C"&amp;MATCH(TRUE,INDEX(CostRemaining[[#This Row],[1]:[12]]&lt;&gt;0,),0),Upgrades[#Headers],0),FALSE),"")</f>
        <v/>
      </c>
      <c r="F18" s="72">
        <f>IF(VALUE(CostRemaining[#Headers])&lt;='Construction Dashboard'!$F29,IFERROR(VLOOKUP(CostRemaining[[#This Row],[Cost]],Upgrades[],MATCH("C"&amp;CostRemaining[#Headers],Upgrades[#Headers],0),FALSE),0)*MAX(0,SUM('Construction Dashboard'!$G29:G29)),0)</f>
        <v>0</v>
      </c>
      <c r="G18" s="72">
        <f>IF(VALUE(CostRemaining[#Headers])&lt;='Construction Dashboard'!$F29,IFERROR(VLOOKUP(CostRemaining[[#This Row],[Cost]],Upgrades[],MATCH("C"&amp;CostRemaining[#Headers],Upgrades[#Headers],0),FALSE),0)*MAX(0,SUM('Construction Dashboard'!$G29:H29)),0)</f>
        <v>0</v>
      </c>
      <c r="H18" s="72">
        <f>IF(VALUE(CostRemaining[#Headers])&lt;='Construction Dashboard'!$F29,IFERROR(VLOOKUP(CostRemaining[[#This Row],[Cost]],Upgrades[],MATCH("C"&amp;CostRemaining[#Headers],Upgrades[#Headers],0),FALSE),0)*MAX(0,SUM('Construction Dashboard'!$G29:I29)),0)</f>
        <v>0</v>
      </c>
      <c r="I18" s="72">
        <f>IF(VALUE(CostRemaining[#Headers])&lt;='Construction Dashboard'!$F29,IFERROR(VLOOKUP(CostRemaining[[#This Row],[Cost]],Upgrades[],MATCH("C"&amp;CostRemaining[#Headers],Upgrades[#Headers],0),FALSE),0)*MAX(0,SUM('Construction Dashboard'!$G29:J29)),0)</f>
        <v>0</v>
      </c>
      <c r="J18" s="72">
        <f>IF(VALUE(CostRemaining[#Headers])&lt;='Construction Dashboard'!$F29,IFERROR(VLOOKUP(CostRemaining[[#This Row],[Cost]],Upgrades[],MATCH("C"&amp;CostRemaining[#Headers],Upgrades[#Headers],0),FALSE),0)*MAX(0,SUM('Construction Dashboard'!$G29:K29)),0)</f>
        <v>0</v>
      </c>
      <c r="K18" s="72">
        <f>IF(VALUE(CostRemaining[#Headers])&lt;='Construction Dashboard'!$F29,IFERROR(VLOOKUP(CostRemaining[[#This Row],[Cost]],Upgrades[],MATCH("C"&amp;CostRemaining[#Headers],Upgrades[#Headers],0),FALSE),0)*MAX(0,SUM('Construction Dashboard'!$G29:L29)),0)</f>
        <v>0</v>
      </c>
      <c r="L18" s="72">
        <f>IF(VALUE(CostRemaining[#Headers])&lt;='Construction Dashboard'!$F29,IFERROR(VLOOKUP(CostRemaining[[#This Row],[Cost]],Upgrades[],MATCH("C"&amp;CostRemaining[#Headers],Upgrades[#Headers],0),FALSE),0)*MAX(0,SUM('Construction Dashboard'!$G29:M29)),0)</f>
        <v>0</v>
      </c>
      <c r="M18" s="72">
        <f>IF(VALUE(CostRemaining[#Headers])&lt;='Construction Dashboard'!$F29,IFERROR(VLOOKUP(CostRemaining[[#This Row],[Cost]],Upgrades[],MATCH("C"&amp;CostRemaining[#Headers],Upgrades[#Headers],0),FALSE),0)*MAX(0,SUM('Construction Dashboard'!$G29:N29)),0)</f>
        <v>0</v>
      </c>
      <c r="N18" s="72">
        <f>IF(VALUE(CostRemaining[#Headers])&lt;='Construction Dashboard'!$F29,IFERROR(VLOOKUP(CostRemaining[[#This Row],[Cost]],Upgrades[],MATCH("C"&amp;CostRemaining[#Headers],Upgrades[#Headers],0),FALSE),0)*MAX(0,SUM('Construction Dashboard'!$G29:O29)),0)</f>
        <v>0</v>
      </c>
      <c r="O18" s="72">
        <f>IF(VALUE(CostRemaining[#Headers])&lt;='Construction Dashboard'!$F29,IFERROR(VLOOKUP(CostRemaining[[#This Row],[Cost]],Upgrades[],MATCH("C"&amp;CostRemaining[#Headers],Upgrades[#Headers],0),FALSE),0)*MAX(0,SUM('Construction Dashboard'!$G29:P29)),0)</f>
        <v>0</v>
      </c>
      <c r="P18" s="72">
        <f>IF(VALUE(CostRemaining[#Headers])&lt;='Construction Dashboard'!$F29,IFERROR(VLOOKUP(CostRemaining[[#This Row],[Cost]],Upgrades[],MATCH("C"&amp;CostRemaining[#Headers],Upgrades[#Headers],0),FALSE),0)*MAX(0,SUM('Construction Dashboard'!$G29:Q29)),0)</f>
        <v>0</v>
      </c>
      <c r="Q18" s="72">
        <f>IF(VALUE(CostRemaining[#Headers])&lt;='Construction Dashboard'!$F29,IFERROR(VLOOKUP(CostRemaining[[#This Row],[Cost]],Upgrades[],MATCH("C"&amp;CostRemaining[#Headers],Upgrades[#Headers],0),FALSE),0)*MAX(0,SUM('Construction Dashboard'!$G29:R29)),0)</f>
        <v>0</v>
      </c>
      <c r="R18" s="72">
        <f>IF(CostRemaining[[#This Row],[MatchStr]]="IGNORE",0,SUM(CostRemaining[[#This Row],[1]:[12]]))</f>
        <v>0</v>
      </c>
    </row>
    <row r="19" spans="1:18">
      <c r="A19" s="26" t="s">
        <v>17</v>
      </c>
      <c r="B19" s="26" t="str">
        <f>VLOOKUP(CostRemaining[[#This Row],[Cost]],Upgrades[],2,FALSE)</f>
        <v>Building</v>
      </c>
      <c r="C19" s="26" t="str">
        <f>VLOOKUP(CostRemaining[[#This Row],[Cost]],Upgrades[],3,FALSE)</f>
        <v>Elixir</v>
      </c>
      <c r="D19" s="171" t="str">
        <f>IF((IFERROR(MATCH(CostRemaining[[#This Row],[Cost]],'Construction Dashboard'!$P$19:$S$19,0),0)+IFERROR(MATCH(CostRemaining[[#This Row],[Cost]],'Construction Dashboard'!$P$20:$S$20,0),0))&gt;0,"IGNORE",CostRemaining[Kind]&amp;"-"&amp;CostRemaining[Resource])</f>
        <v>Building-Elixir</v>
      </c>
      <c r="E19" s="71" t="str">
        <f>IFERROR(VLOOKUP(CostRemaining[[#This Row],[Cost]],Upgrades[],MATCH("C"&amp;MATCH(TRUE,INDEX(CostRemaining[[#This Row],[1]:[12]]&lt;&gt;0,),0),Upgrades[#Headers],0),FALSE),"")</f>
        <v/>
      </c>
      <c r="F19" s="72">
        <f>IF(VALUE(CostRemaining[#Headers])&lt;='Construction Dashboard'!$F30,IFERROR(VLOOKUP(CostRemaining[[#This Row],[Cost]],Upgrades[],MATCH("C"&amp;CostRemaining[#Headers],Upgrades[#Headers],0),FALSE),0)*MAX(0,SUM('Construction Dashboard'!$G30:G30)),0)</f>
        <v>0</v>
      </c>
      <c r="G19" s="72">
        <f>IF(VALUE(CostRemaining[#Headers])&lt;='Construction Dashboard'!$F30,IFERROR(VLOOKUP(CostRemaining[[#This Row],[Cost]],Upgrades[],MATCH("C"&amp;CostRemaining[#Headers],Upgrades[#Headers],0),FALSE),0)*MAX(0,SUM('Construction Dashboard'!$G30:H30)),0)</f>
        <v>0</v>
      </c>
      <c r="H19" s="72">
        <f>IF(VALUE(CostRemaining[#Headers])&lt;='Construction Dashboard'!$F30,IFERROR(VLOOKUP(CostRemaining[[#This Row],[Cost]],Upgrades[],MATCH("C"&amp;CostRemaining[#Headers],Upgrades[#Headers],0),FALSE),0)*MAX(0,SUM('Construction Dashboard'!$G30:I30)),0)</f>
        <v>0</v>
      </c>
      <c r="I19" s="72">
        <f>IF(VALUE(CostRemaining[#Headers])&lt;='Construction Dashboard'!$F30,IFERROR(VLOOKUP(CostRemaining[[#This Row],[Cost]],Upgrades[],MATCH("C"&amp;CostRemaining[#Headers],Upgrades[#Headers],0),FALSE),0)*MAX(0,SUM('Construction Dashboard'!$G30:J30)),0)</f>
        <v>0</v>
      </c>
      <c r="J19" s="72">
        <f>IF(VALUE(CostRemaining[#Headers])&lt;='Construction Dashboard'!$F30,IFERROR(VLOOKUP(CostRemaining[[#This Row],[Cost]],Upgrades[],MATCH("C"&amp;CostRemaining[#Headers],Upgrades[#Headers],0),FALSE),0)*MAX(0,SUM('Construction Dashboard'!$G30:K30)),0)</f>
        <v>0</v>
      </c>
      <c r="K19" s="72">
        <f>IF(VALUE(CostRemaining[#Headers])&lt;='Construction Dashboard'!$F30,IFERROR(VLOOKUP(CostRemaining[[#This Row],[Cost]],Upgrades[],MATCH("C"&amp;CostRemaining[#Headers],Upgrades[#Headers],0),FALSE),0)*MAX(0,SUM('Construction Dashboard'!$G30:L30)),0)</f>
        <v>0</v>
      </c>
      <c r="L19" s="72">
        <f>IF(VALUE(CostRemaining[#Headers])&lt;='Construction Dashboard'!$F30,IFERROR(VLOOKUP(CostRemaining[[#This Row],[Cost]],Upgrades[],MATCH("C"&amp;CostRemaining[#Headers],Upgrades[#Headers],0),FALSE),0)*MAX(0,SUM('Construction Dashboard'!$G30:M30)),0)</f>
        <v>0</v>
      </c>
      <c r="M19" s="72">
        <f>IF(VALUE(CostRemaining[#Headers])&lt;='Construction Dashboard'!$F30,IFERROR(VLOOKUP(CostRemaining[[#This Row],[Cost]],Upgrades[],MATCH("C"&amp;CostRemaining[#Headers],Upgrades[#Headers],0),FALSE),0)*MAX(0,SUM('Construction Dashboard'!$G30:N30)),0)</f>
        <v>0</v>
      </c>
      <c r="N19" s="72">
        <f>IF(VALUE(CostRemaining[#Headers])&lt;='Construction Dashboard'!$F30,IFERROR(VLOOKUP(CostRemaining[[#This Row],[Cost]],Upgrades[],MATCH("C"&amp;CostRemaining[#Headers],Upgrades[#Headers],0),FALSE),0)*MAX(0,SUM('Construction Dashboard'!$G30:O30)),0)</f>
        <v>0</v>
      </c>
      <c r="O19" s="72">
        <f>IF(VALUE(CostRemaining[#Headers])&lt;='Construction Dashboard'!$F30,IFERROR(VLOOKUP(CostRemaining[[#This Row],[Cost]],Upgrades[],MATCH("C"&amp;CostRemaining[#Headers],Upgrades[#Headers],0),FALSE),0)*MAX(0,SUM('Construction Dashboard'!$G30:P30)),0)</f>
        <v>0</v>
      </c>
      <c r="P19" s="72">
        <f>IF(VALUE(CostRemaining[#Headers])&lt;='Construction Dashboard'!$F30,IFERROR(VLOOKUP(CostRemaining[[#This Row],[Cost]],Upgrades[],MATCH("C"&amp;CostRemaining[#Headers],Upgrades[#Headers],0),FALSE),0)*MAX(0,SUM('Construction Dashboard'!$G30:Q30)),0)</f>
        <v>0</v>
      </c>
      <c r="Q19" s="72">
        <f>IF(VALUE(CostRemaining[#Headers])&lt;='Construction Dashboard'!$F30,IFERROR(VLOOKUP(CostRemaining[[#This Row],[Cost]],Upgrades[],MATCH("C"&amp;CostRemaining[#Headers],Upgrades[#Headers],0),FALSE),0)*MAX(0,SUM('Construction Dashboard'!$G30:R30)),0)</f>
        <v>0</v>
      </c>
      <c r="R19" s="72">
        <f>IF(CostRemaining[[#This Row],[MatchStr]]="IGNORE",0,SUM(CostRemaining[[#This Row],[1]:[12]]))</f>
        <v>0</v>
      </c>
    </row>
    <row r="20" spans="1:18">
      <c r="A20" s="26" t="s">
        <v>3</v>
      </c>
      <c r="B20" s="26" t="str">
        <f>VLOOKUP(CostRemaining[[#This Row],[Cost]],Upgrades[],2,FALSE)</f>
        <v>Building</v>
      </c>
      <c r="C20" s="26" t="str">
        <f>VLOOKUP(CostRemaining[[#This Row],[Cost]],Upgrades[],3,FALSE)</f>
        <v>Elixir</v>
      </c>
      <c r="D20" s="171" t="str">
        <f>IF((IFERROR(MATCH(CostRemaining[[#This Row],[Cost]],'Construction Dashboard'!$P$19:$S$19,0),0)+IFERROR(MATCH(CostRemaining[[#This Row],[Cost]],'Construction Dashboard'!$P$20:$S$20,0),0))&gt;0,"IGNORE",CostRemaining[Kind]&amp;"-"&amp;CostRemaining[Resource])</f>
        <v>Building-Elixir</v>
      </c>
      <c r="E20" s="71" t="str">
        <f>IFERROR(VLOOKUP(CostRemaining[[#This Row],[Cost]],Upgrades[],MATCH("C"&amp;MATCH(TRUE,INDEX(CostRemaining[[#This Row],[1]:[12]]&lt;&gt;0,),0),Upgrades[#Headers],0),FALSE),"")</f>
        <v/>
      </c>
      <c r="F20" s="72">
        <f>IF(VALUE(CostRemaining[#Headers])&lt;='Construction Dashboard'!$F31,IFERROR(VLOOKUP(CostRemaining[[#This Row],[Cost]],Upgrades[],MATCH("C"&amp;CostRemaining[#Headers],Upgrades[#Headers],0),FALSE),0)*MAX(0,SUM('Construction Dashboard'!$G31:G31)),0)</f>
        <v>0</v>
      </c>
      <c r="G20" s="72">
        <f>IF(VALUE(CostRemaining[#Headers])&lt;='Construction Dashboard'!$F31,IFERROR(VLOOKUP(CostRemaining[[#This Row],[Cost]],Upgrades[],MATCH("C"&amp;CostRemaining[#Headers],Upgrades[#Headers],0),FALSE),0)*MAX(0,SUM('Construction Dashboard'!$G31:H31)),0)</f>
        <v>0</v>
      </c>
      <c r="H20" s="72">
        <f>IF(VALUE(CostRemaining[#Headers])&lt;='Construction Dashboard'!$F31,IFERROR(VLOOKUP(CostRemaining[[#This Row],[Cost]],Upgrades[],MATCH("C"&amp;CostRemaining[#Headers],Upgrades[#Headers],0),FALSE),0)*MAX(0,SUM('Construction Dashboard'!$G31:I31)),0)</f>
        <v>0</v>
      </c>
      <c r="I20" s="72">
        <f>IF(VALUE(CostRemaining[#Headers])&lt;='Construction Dashboard'!$F31,IFERROR(VLOOKUP(CostRemaining[[#This Row],[Cost]],Upgrades[],MATCH("C"&amp;CostRemaining[#Headers],Upgrades[#Headers],0),FALSE),0)*MAX(0,SUM('Construction Dashboard'!$G31:J31)),0)</f>
        <v>0</v>
      </c>
      <c r="J20" s="72">
        <f>IF(VALUE(CostRemaining[#Headers])&lt;='Construction Dashboard'!$F31,IFERROR(VLOOKUP(CostRemaining[[#This Row],[Cost]],Upgrades[],MATCH("C"&amp;CostRemaining[#Headers],Upgrades[#Headers],0),FALSE),0)*MAX(0,SUM('Construction Dashboard'!$G31:K31)),0)</f>
        <v>0</v>
      </c>
      <c r="K20" s="72">
        <f>IF(VALUE(CostRemaining[#Headers])&lt;='Construction Dashboard'!$F31,IFERROR(VLOOKUP(CostRemaining[[#This Row],[Cost]],Upgrades[],MATCH("C"&amp;CostRemaining[#Headers],Upgrades[#Headers],0),FALSE),0)*MAX(0,SUM('Construction Dashboard'!$G31:L31)),0)</f>
        <v>0</v>
      </c>
      <c r="L20" s="72">
        <f>IF(VALUE(CostRemaining[#Headers])&lt;='Construction Dashboard'!$F31,IFERROR(VLOOKUP(CostRemaining[[#This Row],[Cost]],Upgrades[],MATCH("C"&amp;CostRemaining[#Headers],Upgrades[#Headers],0),FALSE),0)*MAX(0,SUM('Construction Dashboard'!$G31:M31)),0)</f>
        <v>0</v>
      </c>
      <c r="M20" s="72">
        <f>IF(VALUE(CostRemaining[#Headers])&lt;='Construction Dashboard'!$F31,IFERROR(VLOOKUP(CostRemaining[[#This Row],[Cost]],Upgrades[],MATCH("C"&amp;CostRemaining[#Headers],Upgrades[#Headers],0),FALSE),0)*MAX(0,SUM('Construction Dashboard'!$G31:N31)),0)</f>
        <v>0</v>
      </c>
      <c r="N20" s="72">
        <f>IF(VALUE(CostRemaining[#Headers])&lt;='Construction Dashboard'!$F31,IFERROR(VLOOKUP(CostRemaining[[#This Row],[Cost]],Upgrades[],MATCH("C"&amp;CostRemaining[#Headers],Upgrades[#Headers],0),FALSE),0)*MAX(0,SUM('Construction Dashboard'!$G31:O31)),0)</f>
        <v>0</v>
      </c>
      <c r="O20" s="72">
        <f>IF(VALUE(CostRemaining[#Headers])&lt;='Construction Dashboard'!$F31,IFERROR(VLOOKUP(CostRemaining[[#This Row],[Cost]],Upgrades[],MATCH("C"&amp;CostRemaining[#Headers],Upgrades[#Headers],0),FALSE),0)*MAX(0,SUM('Construction Dashboard'!$G31:P31)),0)</f>
        <v>0</v>
      </c>
      <c r="P20" s="72">
        <f>IF(VALUE(CostRemaining[#Headers])&lt;='Construction Dashboard'!$F31,IFERROR(VLOOKUP(CostRemaining[[#This Row],[Cost]],Upgrades[],MATCH("C"&amp;CostRemaining[#Headers],Upgrades[#Headers],0),FALSE),0)*MAX(0,SUM('Construction Dashboard'!$G31:Q31)),0)</f>
        <v>0</v>
      </c>
      <c r="Q20" s="72">
        <f>IF(VALUE(CostRemaining[#Headers])&lt;='Construction Dashboard'!$F31,IFERROR(VLOOKUP(CostRemaining[[#This Row],[Cost]],Upgrades[],MATCH("C"&amp;CostRemaining[#Headers],Upgrades[#Headers],0),FALSE),0)*MAX(0,SUM('Construction Dashboard'!$G31:R31)),0)</f>
        <v>0</v>
      </c>
      <c r="R20" s="72">
        <f>IF(CostRemaining[[#This Row],[MatchStr]]="IGNORE",0,SUM(CostRemaining[[#This Row],[1]:[12]]))</f>
        <v>0</v>
      </c>
    </row>
    <row r="21" spans="1:18">
      <c r="A21" s="26" t="s">
        <v>4</v>
      </c>
      <c r="B21" s="26" t="str">
        <f>VLOOKUP(CostRemaining[[#This Row],[Cost]],Upgrades[],2,FALSE)</f>
        <v>Building</v>
      </c>
      <c r="C21" s="26" t="str">
        <f>VLOOKUP(CostRemaining[[#This Row],[Cost]],Upgrades[],3,FALSE)</f>
        <v>Gold</v>
      </c>
      <c r="D21" s="171" t="str">
        <f>IF((IFERROR(MATCH(CostRemaining[[#This Row],[Cost]],'Construction Dashboard'!$P$19:$S$19,0),0)+IFERROR(MATCH(CostRemaining[[#This Row],[Cost]],'Construction Dashboard'!$P$20:$S$20,0),0))&gt;0,"IGNORE",CostRemaining[Kind]&amp;"-"&amp;CostRemaining[Resource])</f>
        <v>Building-Gold</v>
      </c>
      <c r="E21" s="71" t="str">
        <f>IFERROR(VLOOKUP(CostRemaining[[#This Row],[Cost]],Upgrades[],MATCH("C"&amp;MATCH(TRUE,INDEX(CostRemaining[[#This Row],[1]:[12]]&lt;&gt;0,),0),Upgrades[#Headers],0),FALSE),"")</f>
        <v/>
      </c>
      <c r="F21" s="72">
        <f>IF(VALUE(CostRemaining[#Headers])&lt;='Construction Dashboard'!$F32,IFERROR(VLOOKUP(CostRemaining[[#This Row],[Cost]],Upgrades[],MATCH("C"&amp;CostRemaining[#Headers],Upgrades[#Headers],0),FALSE),0)*MAX(0,SUM('Construction Dashboard'!$G32:G32)),0)</f>
        <v>0</v>
      </c>
      <c r="G21" s="72">
        <f>IF(VALUE(CostRemaining[#Headers])&lt;='Construction Dashboard'!$F32,IFERROR(VLOOKUP(CostRemaining[[#This Row],[Cost]],Upgrades[],MATCH("C"&amp;CostRemaining[#Headers],Upgrades[#Headers],0),FALSE),0)*MAX(0,SUM('Construction Dashboard'!$G32:H32)),0)</f>
        <v>0</v>
      </c>
      <c r="H21" s="72">
        <f>IF(VALUE(CostRemaining[#Headers])&lt;='Construction Dashboard'!$F32,IFERROR(VLOOKUP(CostRemaining[[#This Row],[Cost]],Upgrades[],MATCH("C"&amp;CostRemaining[#Headers],Upgrades[#Headers],0),FALSE),0)*MAX(0,SUM('Construction Dashboard'!$G32:I32)),0)</f>
        <v>0</v>
      </c>
      <c r="I21" s="72">
        <f>IF(VALUE(CostRemaining[#Headers])&lt;='Construction Dashboard'!$F32,IFERROR(VLOOKUP(CostRemaining[[#This Row],[Cost]],Upgrades[],MATCH("C"&amp;CostRemaining[#Headers],Upgrades[#Headers],0),FALSE),0)*MAX(0,SUM('Construction Dashboard'!$G32:J32)),0)</f>
        <v>0</v>
      </c>
      <c r="J21" s="72">
        <f>IF(VALUE(CostRemaining[#Headers])&lt;='Construction Dashboard'!$F32,IFERROR(VLOOKUP(CostRemaining[[#This Row],[Cost]],Upgrades[],MATCH("C"&amp;CostRemaining[#Headers],Upgrades[#Headers],0),FALSE),0)*MAX(0,SUM('Construction Dashboard'!$G32:K32)),0)</f>
        <v>0</v>
      </c>
      <c r="K21" s="72">
        <f>IF(VALUE(CostRemaining[#Headers])&lt;='Construction Dashboard'!$F32,IFERROR(VLOOKUP(CostRemaining[[#This Row],[Cost]],Upgrades[],MATCH("C"&amp;CostRemaining[#Headers],Upgrades[#Headers],0),FALSE),0)*MAX(0,SUM('Construction Dashboard'!$G32:L32)),0)</f>
        <v>0</v>
      </c>
      <c r="L21" s="72">
        <f>IF(VALUE(CostRemaining[#Headers])&lt;='Construction Dashboard'!$F32,IFERROR(VLOOKUP(CostRemaining[[#This Row],[Cost]],Upgrades[],MATCH("C"&amp;CostRemaining[#Headers],Upgrades[#Headers],0),FALSE),0)*MAX(0,SUM('Construction Dashboard'!$G32:M32)),0)</f>
        <v>0</v>
      </c>
      <c r="M21" s="72">
        <f>IF(VALUE(CostRemaining[#Headers])&lt;='Construction Dashboard'!$F32,IFERROR(VLOOKUP(CostRemaining[[#This Row],[Cost]],Upgrades[],MATCH("C"&amp;CostRemaining[#Headers],Upgrades[#Headers],0),FALSE),0)*MAX(0,SUM('Construction Dashboard'!$G32:N32)),0)</f>
        <v>0</v>
      </c>
      <c r="N21" s="72">
        <f>IF(VALUE(CostRemaining[#Headers])&lt;='Construction Dashboard'!$F32,IFERROR(VLOOKUP(CostRemaining[[#This Row],[Cost]],Upgrades[],MATCH("C"&amp;CostRemaining[#Headers],Upgrades[#Headers],0),FALSE),0)*MAX(0,SUM('Construction Dashboard'!$G32:O32)),0)</f>
        <v>0</v>
      </c>
      <c r="O21" s="72">
        <f>IF(VALUE(CostRemaining[#Headers])&lt;='Construction Dashboard'!$F32,IFERROR(VLOOKUP(CostRemaining[[#This Row],[Cost]],Upgrades[],MATCH("C"&amp;CostRemaining[#Headers],Upgrades[#Headers],0),FALSE),0)*MAX(0,SUM('Construction Dashboard'!$G32:P32)),0)</f>
        <v>0</v>
      </c>
      <c r="P21" s="72">
        <f>IF(VALUE(CostRemaining[#Headers])&lt;='Construction Dashboard'!$F32,IFERROR(VLOOKUP(CostRemaining[[#This Row],[Cost]],Upgrades[],MATCH("C"&amp;CostRemaining[#Headers],Upgrades[#Headers],0),FALSE),0)*MAX(0,SUM('Construction Dashboard'!$G32:Q32)),0)</f>
        <v>0</v>
      </c>
      <c r="Q21" s="72">
        <f>IF(VALUE(CostRemaining[#Headers])&lt;='Construction Dashboard'!$F32,IFERROR(VLOOKUP(CostRemaining[[#This Row],[Cost]],Upgrades[],MATCH("C"&amp;CostRemaining[#Headers],Upgrades[#Headers],0),FALSE),0)*MAX(0,SUM('Construction Dashboard'!$G32:R32)),0)</f>
        <v>0</v>
      </c>
      <c r="R21" s="72">
        <f>IF(CostRemaining[[#This Row],[MatchStr]]="IGNORE",0,SUM(CostRemaining[[#This Row],[1]:[12]]))</f>
        <v>0</v>
      </c>
    </row>
    <row r="22" spans="1:18">
      <c r="A22" s="26" t="s">
        <v>18</v>
      </c>
      <c r="B22" s="26" t="str">
        <f>VLOOKUP(CostRemaining[[#This Row],[Cost]],Upgrades[],2,FALSE)</f>
        <v>Building</v>
      </c>
      <c r="C22" s="26" t="str">
        <f>VLOOKUP(CostRemaining[[#This Row],[Cost]],Upgrades[],3,FALSE)</f>
        <v>Elixir</v>
      </c>
      <c r="D22" s="171" t="str">
        <f>IF((IFERROR(MATCH(CostRemaining[[#This Row],[Cost]],'Construction Dashboard'!$P$19:$S$19,0),0)+IFERROR(MATCH(CostRemaining[[#This Row],[Cost]],'Construction Dashboard'!$P$20:$S$20,0),0))&gt;0,"IGNORE",CostRemaining[Kind]&amp;"-"&amp;CostRemaining[Resource])</f>
        <v>Building-Elixir</v>
      </c>
      <c r="E22" s="71">
        <f>IFERROR(VLOOKUP(CostRemaining[[#This Row],[Cost]],Upgrades[],MATCH("C"&amp;MATCH(TRUE,INDEX(CostRemaining[[#This Row],[1]:[12]]&lt;&gt;0,),0),Upgrades[#Headers],0),FALSE),"")</f>
        <v>1200000</v>
      </c>
      <c r="F22" s="72">
        <f>IF(VALUE(CostRemaining[#Headers])&lt;='Construction Dashboard'!$F33,IFERROR(VLOOKUP(CostRemaining[[#This Row],[Cost]],Upgrades[],MATCH("C"&amp;CostRemaining[#Headers],Upgrades[#Headers],0),FALSE),0)*MAX(0,SUM('Construction Dashboard'!$G33:G33)),0)</f>
        <v>0</v>
      </c>
      <c r="G22" s="72">
        <f>IF(VALUE(CostRemaining[#Headers])&lt;='Construction Dashboard'!$F33,IFERROR(VLOOKUP(CostRemaining[[#This Row],[Cost]],Upgrades[],MATCH("C"&amp;CostRemaining[#Headers],Upgrades[#Headers],0),FALSE),0)*MAX(0,SUM('Construction Dashboard'!$G33:H33)),0)</f>
        <v>1200000</v>
      </c>
      <c r="H22" s="72">
        <f>IF(VALUE(CostRemaining[#Headers])&lt;='Construction Dashboard'!$F33,IFERROR(VLOOKUP(CostRemaining[[#This Row],[Cost]],Upgrades[],MATCH("C"&amp;CostRemaining[#Headers],Upgrades[#Headers],0),FALSE),0)*MAX(0,SUM('Construction Dashboard'!$G33:I33)),0)</f>
        <v>0</v>
      </c>
      <c r="I22" s="72">
        <f>IF(VALUE(CostRemaining[#Headers])&lt;='Construction Dashboard'!$F33,IFERROR(VLOOKUP(CostRemaining[[#This Row],[Cost]],Upgrades[],MATCH("C"&amp;CostRemaining[#Headers],Upgrades[#Headers],0),FALSE),0)*MAX(0,SUM('Construction Dashboard'!$G33:J33)),0)</f>
        <v>0</v>
      </c>
      <c r="J22" s="72">
        <f>IF(VALUE(CostRemaining[#Headers])&lt;='Construction Dashboard'!$F33,IFERROR(VLOOKUP(CostRemaining[[#This Row],[Cost]],Upgrades[],MATCH("C"&amp;CostRemaining[#Headers],Upgrades[#Headers],0),FALSE),0)*MAX(0,SUM('Construction Dashboard'!$G33:K33)),0)</f>
        <v>0</v>
      </c>
      <c r="K22" s="72">
        <f>IF(VALUE(CostRemaining[#Headers])&lt;='Construction Dashboard'!$F33,IFERROR(VLOOKUP(CostRemaining[[#This Row],[Cost]],Upgrades[],MATCH("C"&amp;CostRemaining[#Headers],Upgrades[#Headers],0),FALSE),0)*MAX(0,SUM('Construction Dashboard'!$G33:L33)),0)</f>
        <v>0</v>
      </c>
      <c r="L22" s="72">
        <f>IF(VALUE(CostRemaining[#Headers])&lt;='Construction Dashboard'!$F33,IFERROR(VLOOKUP(CostRemaining[[#This Row],[Cost]],Upgrades[],MATCH("C"&amp;CostRemaining[#Headers],Upgrades[#Headers],0),FALSE),0)*MAX(0,SUM('Construction Dashboard'!$G33:M33)),0)</f>
        <v>0</v>
      </c>
      <c r="M22" s="72">
        <f>IF(VALUE(CostRemaining[#Headers])&lt;='Construction Dashboard'!$F33,IFERROR(VLOOKUP(CostRemaining[[#This Row],[Cost]],Upgrades[],MATCH("C"&amp;CostRemaining[#Headers],Upgrades[#Headers],0),FALSE),0)*MAX(0,SUM('Construction Dashboard'!$G33:N33)),0)</f>
        <v>0</v>
      </c>
      <c r="N22" s="72">
        <f>IF(VALUE(CostRemaining[#Headers])&lt;='Construction Dashboard'!$F33,IFERROR(VLOOKUP(CostRemaining[[#This Row],[Cost]],Upgrades[],MATCH("C"&amp;CostRemaining[#Headers],Upgrades[#Headers],0),FALSE),0)*MAX(0,SUM('Construction Dashboard'!$G33:O33)),0)</f>
        <v>0</v>
      </c>
      <c r="O22" s="72">
        <f>IF(VALUE(CostRemaining[#Headers])&lt;='Construction Dashboard'!$F33,IFERROR(VLOOKUP(CostRemaining[[#This Row],[Cost]],Upgrades[],MATCH("C"&amp;CostRemaining[#Headers],Upgrades[#Headers],0),FALSE),0)*MAX(0,SUM('Construction Dashboard'!$G33:P33)),0)</f>
        <v>0</v>
      </c>
      <c r="P22" s="72">
        <f>IF(VALUE(CostRemaining[#Headers])&lt;='Construction Dashboard'!$F33,IFERROR(VLOOKUP(CostRemaining[[#This Row],[Cost]],Upgrades[],MATCH("C"&amp;CostRemaining[#Headers],Upgrades[#Headers],0),FALSE),0)*MAX(0,SUM('Construction Dashboard'!$G33:Q33)),0)</f>
        <v>0</v>
      </c>
      <c r="Q22" s="72">
        <f>IF(VALUE(CostRemaining[#Headers])&lt;='Construction Dashboard'!$F33,IFERROR(VLOOKUP(CostRemaining[[#This Row],[Cost]],Upgrades[],MATCH("C"&amp;CostRemaining[#Headers],Upgrades[#Headers],0),FALSE),0)*MAX(0,SUM('Construction Dashboard'!$G33:R33)),0)</f>
        <v>0</v>
      </c>
      <c r="R22" s="72">
        <f>IF(CostRemaining[[#This Row],[MatchStr]]="IGNORE",0,SUM(CostRemaining[[#This Row],[1]:[12]]))</f>
        <v>1200000</v>
      </c>
    </row>
    <row r="23" spans="1:18">
      <c r="A23" s="26" t="s">
        <v>19</v>
      </c>
      <c r="B23" s="26" t="str">
        <f>VLOOKUP(CostRemaining[[#This Row],[Cost]],Upgrades[],2,FALSE)</f>
        <v>Building</v>
      </c>
      <c r="C23" s="26" t="str">
        <f>VLOOKUP(CostRemaining[[#This Row],[Cost]],Upgrades[],3,FALSE)</f>
        <v>Elixir</v>
      </c>
      <c r="D23" s="171" t="str">
        <f>IF((IFERROR(MATCH(CostRemaining[[#This Row],[Cost]],'Construction Dashboard'!$P$19:$S$19,0),0)+IFERROR(MATCH(CostRemaining[[#This Row],[Cost]],'Construction Dashboard'!$P$20:$S$20,0),0))&gt;0,"IGNORE",CostRemaining[Kind]&amp;"-"&amp;CostRemaining[Resource])</f>
        <v>Building-Elixir</v>
      </c>
      <c r="E23" s="71">
        <f>IFERROR(VLOOKUP(CostRemaining[[#This Row],[Cost]],Upgrades[],MATCH("C"&amp;MATCH(TRUE,INDEX(CostRemaining[[#This Row],[1]:[12]]&lt;&gt;0,),0),Upgrades[#Headers],0),FALSE),"")</f>
        <v>1250000</v>
      </c>
      <c r="F23" s="72">
        <f>IF(VALUE(CostRemaining[#Headers])&lt;='Construction Dashboard'!$F34,IFERROR(VLOOKUP(CostRemaining[[#This Row],[Cost]],Upgrades[],MATCH("C"&amp;CostRemaining[#Headers],Upgrades[#Headers],0),FALSE),0)*MAX(0,SUM('Construction Dashboard'!$G34:G34)),0)</f>
        <v>0</v>
      </c>
      <c r="G23" s="72">
        <f>IF(VALUE(CostRemaining[#Headers])&lt;='Construction Dashboard'!$F34,IFERROR(VLOOKUP(CostRemaining[[#This Row],[Cost]],Upgrades[],MATCH("C"&amp;CostRemaining[#Headers],Upgrades[#Headers],0),FALSE),0)*MAX(0,SUM('Construction Dashboard'!$G34:H34)),0)</f>
        <v>1250000</v>
      </c>
      <c r="H23" s="72">
        <f>IF(VALUE(CostRemaining[#Headers])&lt;='Construction Dashboard'!$F34,IFERROR(VLOOKUP(CostRemaining[[#This Row],[Cost]],Upgrades[],MATCH("C"&amp;CostRemaining[#Headers],Upgrades[#Headers],0),FALSE),0)*MAX(0,SUM('Construction Dashboard'!$G34:I34)),0)</f>
        <v>0</v>
      </c>
      <c r="I23" s="72">
        <f>IF(VALUE(CostRemaining[#Headers])&lt;='Construction Dashboard'!$F34,IFERROR(VLOOKUP(CostRemaining[[#This Row],[Cost]],Upgrades[],MATCH("C"&amp;CostRemaining[#Headers],Upgrades[#Headers],0),FALSE),0)*MAX(0,SUM('Construction Dashboard'!$G34:J34)),0)</f>
        <v>0</v>
      </c>
      <c r="J23" s="72">
        <f>IF(VALUE(CostRemaining[#Headers])&lt;='Construction Dashboard'!$F34,IFERROR(VLOOKUP(CostRemaining[[#This Row],[Cost]],Upgrades[],MATCH("C"&amp;CostRemaining[#Headers],Upgrades[#Headers],0),FALSE),0)*MAX(0,SUM('Construction Dashboard'!$G34:K34)),0)</f>
        <v>0</v>
      </c>
      <c r="K23" s="72">
        <f>IF(VALUE(CostRemaining[#Headers])&lt;='Construction Dashboard'!$F34,IFERROR(VLOOKUP(CostRemaining[[#This Row],[Cost]],Upgrades[],MATCH("C"&amp;CostRemaining[#Headers],Upgrades[#Headers],0),FALSE),0)*MAX(0,SUM('Construction Dashboard'!$G34:L34)),0)</f>
        <v>0</v>
      </c>
      <c r="L23" s="72">
        <f>IF(VALUE(CostRemaining[#Headers])&lt;='Construction Dashboard'!$F34,IFERROR(VLOOKUP(CostRemaining[[#This Row],[Cost]],Upgrades[],MATCH("C"&amp;CostRemaining[#Headers],Upgrades[#Headers],0),FALSE),0)*MAX(0,SUM('Construction Dashboard'!$G34:M34)),0)</f>
        <v>0</v>
      </c>
      <c r="M23" s="72">
        <f>IF(VALUE(CostRemaining[#Headers])&lt;='Construction Dashboard'!$F34,IFERROR(VLOOKUP(CostRemaining[[#This Row],[Cost]],Upgrades[],MATCH("C"&amp;CostRemaining[#Headers],Upgrades[#Headers],0),FALSE),0)*MAX(0,SUM('Construction Dashboard'!$G34:N34)),0)</f>
        <v>0</v>
      </c>
      <c r="N23" s="72">
        <f>IF(VALUE(CostRemaining[#Headers])&lt;='Construction Dashboard'!$F34,IFERROR(VLOOKUP(CostRemaining[[#This Row],[Cost]],Upgrades[],MATCH("C"&amp;CostRemaining[#Headers],Upgrades[#Headers],0),FALSE),0)*MAX(0,SUM('Construction Dashboard'!$G34:O34)),0)</f>
        <v>0</v>
      </c>
      <c r="O23" s="72">
        <f>IF(VALUE(CostRemaining[#Headers])&lt;='Construction Dashboard'!$F34,IFERROR(VLOOKUP(CostRemaining[[#This Row],[Cost]],Upgrades[],MATCH("C"&amp;CostRemaining[#Headers],Upgrades[#Headers],0),FALSE),0)*MAX(0,SUM('Construction Dashboard'!$G34:P34)),0)</f>
        <v>0</v>
      </c>
      <c r="P23" s="72">
        <f>IF(VALUE(CostRemaining[#Headers])&lt;='Construction Dashboard'!$F34,IFERROR(VLOOKUP(CostRemaining[[#This Row],[Cost]],Upgrades[],MATCH("C"&amp;CostRemaining[#Headers],Upgrades[#Headers],0),FALSE),0)*MAX(0,SUM('Construction Dashboard'!$G34:Q34)),0)</f>
        <v>0</v>
      </c>
      <c r="Q23" s="72">
        <f>IF(VALUE(CostRemaining[#Headers])&lt;='Construction Dashboard'!$F34,IFERROR(VLOOKUP(CostRemaining[[#This Row],[Cost]],Upgrades[],MATCH("C"&amp;CostRemaining[#Headers],Upgrades[#Headers],0),FALSE),0)*MAX(0,SUM('Construction Dashboard'!$G34:R34)),0)</f>
        <v>0</v>
      </c>
      <c r="R23" s="72">
        <f>IF(CostRemaining[[#This Row],[MatchStr]]="IGNORE",0,SUM(CostRemaining[[#This Row],[1]:[12]]))</f>
        <v>1250000</v>
      </c>
    </row>
    <row r="24" spans="1:18">
      <c r="A24" s="26" t="s">
        <v>22</v>
      </c>
      <c r="B24" s="26" t="str">
        <f>VLOOKUP(CostRemaining[[#This Row],[Cost]],Upgrades[],2,FALSE)</f>
        <v>Building</v>
      </c>
      <c r="C24" s="26" t="str">
        <f>VLOOKUP(CostRemaining[[#This Row],[Cost]],Upgrades[],3,FALSE)</f>
        <v>Elixir</v>
      </c>
      <c r="D24" s="171" t="str">
        <f>IF((IFERROR(MATCH(CostRemaining[[#This Row],[Cost]],'Construction Dashboard'!$P$19:$S$19,0),0)+IFERROR(MATCH(CostRemaining[[#This Row],[Cost]],'Construction Dashboard'!$P$20:$S$20,0),0))&gt;0,"IGNORE",CostRemaining[Kind]&amp;"-"&amp;CostRemaining[Resource])</f>
        <v>Building-Elixir</v>
      </c>
      <c r="E24" s="71" t="str">
        <f>IFERROR(VLOOKUP(CostRemaining[[#This Row],[Cost]],Upgrades[],MATCH("C"&amp;MATCH(TRUE,INDEX(CostRemaining[[#This Row],[1]:[12]]&lt;&gt;0,),0),Upgrades[#Headers],0),FALSE),"")</f>
        <v/>
      </c>
      <c r="F24" s="72">
        <f>IF(VALUE(CostRemaining[#Headers])&lt;='Construction Dashboard'!$F35,IFERROR(VLOOKUP(CostRemaining[[#This Row],[Cost]],Upgrades[],MATCH("C"&amp;CostRemaining[#Headers],Upgrades[#Headers],0),FALSE),0)*MAX(0,SUM('Construction Dashboard'!$G35:G35)),0)</f>
        <v>0</v>
      </c>
      <c r="G24" s="72">
        <f>IF(VALUE(CostRemaining[#Headers])&lt;='Construction Dashboard'!$F35,IFERROR(VLOOKUP(CostRemaining[[#This Row],[Cost]],Upgrades[],MATCH("C"&amp;CostRemaining[#Headers],Upgrades[#Headers],0),FALSE),0)*MAX(0,SUM('Construction Dashboard'!$G35:H35)),0)</f>
        <v>0</v>
      </c>
      <c r="H24" s="72">
        <f>IF(VALUE(CostRemaining[#Headers])&lt;='Construction Dashboard'!$F35,IFERROR(VLOOKUP(CostRemaining[[#This Row],[Cost]],Upgrades[],MATCH("C"&amp;CostRemaining[#Headers],Upgrades[#Headers],0),FALSE),0)*MAX(0,SUM('Construction Dashboard'!$G35:I35)),0)</f>
        <v>0</v>
      </c>
      <c r="I24" s="72">
        <f>IF(VALUE(CostRemaining[#Headers])&lt;='Construction Dashboard'!$F35,IFERROR(VLOOKUP(CostRemaining[[#This Row],[Cost]],Upgrades[],MATCH("C"&amp;CostRemaining[#Headers],Upgrades[#Headers],0),FALSE),0)*MAX(0,SUM('Construction Dashboard'!$G35:J35)),0)</f>
        <v>0</v>
      </c>
      <c r="J24" s="72">
        <f>IF(VALUE(CostRemaining[#Headers])&lt;='Construction Dashboard'!$F35,IFERROR(VLOOKUP(CostRemaining[[#This Row],[Cost]],Upgrades[],MATCH("C"&amp;CostRemaining[#Headers],Upgrades[#Headers],0),FALSE),0)*MAX(0,SUM('Construction Dashboard'!$G35:K35)),0)</f>
        <v>0</v>
      </c>
      <c r="K24" s="72">
        <f>IF(VALUE(CostRemaining[#Headers])&lt;='Construction Dashboard'!$F35,IFERROR(VLOOKUP(CostRemaining[[#This Row],[Cost]],Upgrades[],MATCH("C"&amp;CostRemaining[#Headers],Upgrades[#Headers],0),FALSE),0)*MAX(0,SUM('Construction Dashboard'!$G35:L35)),0)</f>
        <v>0</v>
      </c>
      <c r="L24" s="72">
        <f>IF(VALUE(CostRemaining[#Headers])&lt;='Construction Dashboard'!$F35,IFERROR(VLOOKUP(CostRemaining[[#This Row],[Cost]],Upgrades[],MATCH("C"&amp;CostRemaining[#Headers],Upgrades[#Headers],0),FALSE),0)*MAX(0,SUM('Construction Dashboard'!$G35:M35)),0)</f>
        <v>0</v>
      </c>
      <c r="M24" s="72">
        <f>IF(VALUE(CostRemaining[#Headers])&lt;='Construction Dashboard'!$F35,IFERROR(VLOOKUP(CostRemaining[[#This Row],[Cost]],Upgrades[],MATCH("C"&amp;CostRemaining[#Headers],Upgrades[#Headers],0),FALSE),0)*MAX(0,SUM('Construction Dashboard'!$G35:N35)),0)</f>
        <v>0</v>
      </c>
      <c r="N24" s="72">
        <f>IF(VALUE(CostRemaining[#Headers])&lt;='Construction Dashboard'!$F35,IFERROR(VLOOKUP(CostRemaining[[#This Row],[Cost]],Upgrades[],MATCH("C"&amp;CostRemaining[#Headers],Upgrades[#Headers],0),FALSE),0)*MAX(0,SUM('Construction Dashboard'!$G35:O35)),0)</f>
        <v>0</v>
      </c>
      <c r="O24" s="72">
        <f>IF(VALUE(CostRemaining[#Headers])&lt;='Construction Dashboard'!$F35,IFERROR(VLOOKUP(CostRemaining[[#This Row],[Cost]],Upgrades[],MATCH("C"&amp;CostRemaining[#Headers],Upgrades[#Headers],0),FALSE),0)*MAX(0,SUM('Construction Dashboard'!$G35:P35)),0)</f>
        <v>0</v>
      </c>
      <c r="P24" s="72">
        <f>IF(VALUE(CostRemaining[#Headers])&lt;='Construction Dashboard'!$F35,IFERROR(VLOOKUP(CostRemaining[[#This Row],[Cost]],Upgrades[],MATCH("C"&amp;CostRemaining[#Headers],Upgrades[#Headers],0),FALSE),0)*MAX(0,SUM('Construction Dashboard'!$G35:Q35)),0)</f>
        <v>0</v>
      </c>
      <c r="Q24" s="72">
        <f>IF(VALUE(CostRemaining[#Headers])&lt;='Construction Dashboard'!$F35,IFERROR(VLOOKUP(CostRemaining[[#This Row],[Cost]],Upgrades[],MATCH("C"&amp;CostRemaining[#Headers],Upgrades[#Headers],0),FALSE),0)*MAX(0,SUM('Construction Dashboard'!$G35:R35)),0)</f>
        <v>0</v>
      </c>
      <c r="R24" s="72">
        <f>IF(CostRemaining[[#This Row],[MatchStr]]="IGNORE",0,SUM(CostRemaining[[#This Row],[1]:[12]]))</f>
        <v>0</v>
      </c>
    </row>
    <row r="25" spans="1:18">
      <c r="A25" s="26" t="s">
        <v>5</v>
      </c>
      <c r="B25" s="26" t="str">
        <f>VLOOKUP(CostRemaining[[#This Row],[Cost]],Upgrades[],2,FALSE)</f>
        <v>Building</v>
      </c>
      <c r="C25" s="26" t="str">
        <f>VLOOKUP(CostRemaining[[#This Row],[Cost]],Upgrades[],3,FALSE)</f>
        <v>Gold</v>
      </c>
      <c r="D25" s="171" t="str">
        <f>IF((IFERROR(MATCH(CostRemaining[[#This Row],[Cost]],'Construction Dashboard'!$P$19:$S$19,0),0)+IFERROR(MATCH(CostRemaining[[#This Row],[Cost]],'Construction Dashboard'!$P$20:$S$20,0),0))&gt;0,"IGNORE",CostRemaining[Kind]&amp;"-"&amp;CostRemaining[Resource])</f>
        <v>Building-Gold</v>
      </c>
      <c r="E25" s="71" t="str">
        <f>IFERROR(VLOOKUP(CostRemaining[[#This Row],[Cost]],Upgrades[],MATCH("C"&amp;MATCH(TRUE,INDEX(CostRemaining[[#This Row],[1]:[12]]&lt;&gt;0,),0),Upgrades[#Headers],0),FALSE),"")</f>
        <v/>
      </c>
      <c r="F25" s="72">
        <f>IF(VALUE(CostRemaining[#Headers])&lt;='Construction Dashboard'!$F36,IFERROR(VLOOKUP(CostRemaining[[#This Row],[Cost]],Upgrades[],MATCH("C"&amp;CostRemaining[#Headers],Upgrades[#Headers],0),FALSE),0)*MAX(0,SUM('Construction Dashboard'!$G36:G36)),0)</f>
        <v>0</v>
      </c>
      <c r="G25" s="72">
        <f>IF(VALUE(CostRemaining[#Headers])&lt;='Construction Dashboard'!$F36,IFERROR(VLOOKUP(CostRemaining[[#This Row],[Cost]],Upgrades[],MATCH("C"&amp;CostRemaining[#Headers],Upgrades[#Headers],0),FALSE),0)*MAX(0,SUM('Construction Dashboard'!$G36:H36)),0)</f>
        <v>0</v>
      </c>
      <c r="H25" s="72">
        <f>IF(VALUE(CostRemaining[#Headers])&lt;='Construction Dashboard'!$F36,IFERROR(VLOOKUP(CostRemaining[[#This Row],[Cost]],Upgrades[],MATCH("C"&amp;CostRemaining[#Headers],Upgrades[#Headers],0),FALSE),0)*MAX(0,SUM('Construction Dashboard'!$G36:I36)),0)</f>
        <v>0</v>
      </c>
      <c r="I25" s="72">
        <f>IF(VALUE(CostRemaining[#Headers])&lt;='Construction Dashboard'!$F36,IFERROR(VLOOKUP(CostRemaining[[#This Row],[Cost]],Upgrades[],MATCH("C"&amp;CostRemaining[#Headers],Upgrades[#Headers],0),FALSE),0)*MAX(0,SUM('Construction Dashboard'!$G36:J36)),0)</f>
        <v>0</v>
      </c>
      <c r="J25" s="72">
        <f>IF(VALUE(CostRemaining[#Headers])&lt;='Construction Dashboard'!$F36,IFERROR(VLOOKUP(CostRemaining[[#This Row],[Cost]],Upgrades[],MATCH("C"&amp;CostRemaining[#Headers],Upgrades[#Headers],0),FALSE),0)*MAX(0,SUM('Construction Dashboard'!$G36:K36)),0)</f>
        <v>0</v>
      </c>
      <c r="K25" s="72">
        <f>IF(VALUE(CostRemaining[#Headers])&lt;='Construction Dashboard'!$F36,IFERROR(VLOOKUP(CostRemaining[[#This Row],[Cost]],Upgrades[],MATCH("C"&amp;CostRemaining[#Headers],Upgrades[#Headers],0),FALSE),0)*MAX(0,SUM('Construction Dashboard'!$G36:L36)),0)</f>
        <v>0</v>
      </c>
      <c r="L25" s="72">
        <f>IF(VALUE(CostRemaining[#Headers])&lt;='Construction Dashboard'!$F36,IFERROR(VLOOKUP(CostRemaining[[#This Row],[Cost]],Upgrades[],MATCH("C"&amp;CostRemaining[#Headers],Upgrades[#Headers],0),FALSE),0)*MAX(0,SUM('Construction Dashboard'!$G36:M36)),0)</f>
        <v>0</v>
      </c>
      <c r="M25" s="72">
        <f>IF(VALUE(CostRemaining[#Headers])&lt;='Construction Dashboard'!$F36,IFERROR(VLOOKUP(CostRemaining[[#This Row],[Cost]],Upgrades[],MATCH("C"&amp;CostRemaining[#Headers],Upgrades[#Headers],0),FALSE),0)*MAX(0,SUM('Construction Dashboard'!$G36:N36)),0)</f>
        <v>0</v>
      </c>
      <c r="N25" s="72">
        <f>IF(VALUE(CostRemaining[#Headers])&lt;='Construction Dashboard'!$F36,IFERROR(VLOOKUP(CostRemaining[[#This Row],[Cost]],Upgrades[],MATCH("C"&amp;CostRemaining[#Headers],Upgrades[#Headers],0),FALSE),0)*MAX(0,SUM('Construction Dashboard'!$G36:O36)),0)</f>
        <v>0</v>
      </c>
      <c r="O25" s="72">
        <f>IF(VALUE(CostRemaining[#Headers])&lt;='Construction Dashboard'!$F36,IFERROR(VLOOKUP(CostRemaining[[#This Row],[Cost]],Upgrades[],MATCH("C"&amp;CostRemaining[#Headers],Upgrades[#Headers],0),FALSE),0)*MAX(0,SUM('Construction Dashboard'!$G36:P36)),0)</f>
        <v>0</v>
      </c>
      <c r="P25" s="72">
        <f>IF(VALUE(CostRemaining[#Headers])&lt;='Construction Dashboard'!$F36,IFERROR(VLOOKUP(CostRemaining[[#This Row],[Cost]],Upgrades[],MATCH("C"&amp;CostRemaining[#Headers],Upgrades[#Headers],0),FALSE),0)*MAX(0,SUM('Construction Dashboard'!$G36:Q36)),0)</f>
        <v>0</v>
      </c>
      <c r="Q25" s="72">
        <f>IF(VALUE(CostRemaining[#Headers])&lt;='Construction Dashboard'!$F36,IFERROR(VLOOKUP(CostRemaining[[#This Row],[Cost]],Upgrades[],MATCH("C"&amp;CostRemaining[#Headers],Upgrades[#Headers],0),FALSE),0)*MAX(0,SUM('Construction Dashboard'!$G36:R36)),0)</f>
        <v>0</v>
      </c>
      <c r="R25" s="72">
        <f>IF(CostRemaining[[#This Row],[MatchStr]]="IGNORE",0,SUM(CostRemaining[[#This Row],[1]:[12]]))</f>
        <v>0</v>
      </c>
    </row>
    <row r="26" spans="1:18">
      <c r="A26" s="26" t="s">
        <v>6</v>
      </c>
      <c r="B26" s="26" t="str">
        <f>VLOOKUP(CostRemaining[[#This Row],[Cost]],Upgrades[],2,FALSE)</f>
        <v>Building</v>
      </c>
      <c r="C26" s="26" t="str">
        <f>VLOOKUP(CostRemaining[[#This Row],[Cost]],Upgrades[],3,FALSE)</f>
        <v>Gold</v>
      </c>
      <c r="D26" s="171" t="str">
        <f>IF((IFERROR(MATCH(CostRemaining[[#This Row],[Cost]],'Construction Dashboard'!$P$19:$S$19,0),0)+IFERROR(MATCH(CostRemaining[[#This Row],[Cost]],'Construction Dashboard'!$P$20:$S$20,0),0))&gt;0,"IGNORE",CostRemaining[Kind]&amp;"-"&amp;CostRemaining[Resource])</f>
        <v>Building-Gold</v>
      </c>
      <c r="E26" s="71" t="str">
        <f>IFERROR(VLOOKUP(CostRemaining[[#This Row],[Cost]],Upgrades[],MATCH("C"&amp;MATCH(TRUE,INDEX(CostRemaining[[#This Row],[1]:[12]]&lt;&gt;0,),0),Upgrades[#Headers],0),FALSE),"")</f>
        <v/>
      </c>
      <c r="F26" s="72">
        <f>IF(VALUE(CostRemaining[#Headers])&lt;='Construction Dashboard'!$F37,IFERROR(VLOOKUP(CostRemaining[[#This Row],[Cost]],Upgrades[],MATCH("C"&amp;CostRemaining[#Headers],Upgrades[#Headers],0),FALSE),0)*MAX(0,SUM('Construction Dashboard'!$G37:G37)),0)</f>
        <v>0</v>
      </c>
      <c r="G26" s="72">
        <f>IF(VALUE(CostRemaining[#Headers])&lt;='Construction Dashboard'!$F37,IFERROR(VLOOKUP(CostRemaining[[#This Row],[Cost]],Upgrades[],MATCH("C"&amp;CostRemaining[#Headers],Upgrades[#Headers],0),FALSE),0)*MAX(0,SUM('Construction Dashboard'!$G37:H37)),0)</f>
        <v>0</v>
      </c>
      <c r="H26" s="72">
        <f>IF(VALUE(CostRemaining[#Headers])&lt;='Construction Dashboard'!$F37,IFERROR(VLOOKUP(CostRemaining[[#This Row],[Cost]],Upgrades[],MATCH("C"&amp;CostRemaining[#Headers],Upgrades[#Headers],0),FALSE),0)*MAX(0,SUM('Construction Dashboard'!$G37:I37)),0)</f>
        <v>0</v>
      </c>
      <c r="I26" s="72">
        <f>IF(VALUE(CostRemaining[#Headers])&lt;='Construction Dashboard'!$F37,IFERROR(VLOOKUP(CostRemaining[[#This Row],[Cost]],Upgrades[],MATCH("C"&amp;CostRemaining[#Headers],Upgrades[#Headers],0),FALSE),0)*MAX(0,SUM('Construction Dashboard'!$G37:J37)),0)</f>
        <v>0</v>
      </c>
      <c r="J26" s="72">
        <f>IF(VALUE(CostRemaining[#Headers])&lt;='Construction Dashboard'!$F37,IFERROR(VLOOKUP(CostRemaining[[#This Row],[Cost]],Upgrades[],MATCH("C"&amp;CostRemaining[#Headers],Upgrades[#Headers],0),FALSE),0)*MAX(0,SUM('Construction Dashboard'!$G37:K37)),0)</f>
        <v>0</v>
      </c>
      <c r="K26" s="72">
        <f>IF(VALUE(CostRemaining[#Headers])&lt;='Construction Dashboard'!$F37,IFERROR(VLOOKUP(CostRemaining[[#This Row],[Cost]],Upgrades[],MATCH("C"&amp;CostRemaining[#Headers],Upgrades[#Headers],0),FALSE),0)*MAX(0,SUM('Construction Dashboard'!$G37:L37)),0)</f>
        <v>0</v>
      </c>
      <c r="L26" s="72">
        <f>IF(VALUE(CostRemaining[#Headers])&lt;='Construction Dashboard'!$F37,IFERROR(VLOOKUP(CostRemaining[[#This Row],[Cost]],Upgrades[],MATCH("C"&amp;CostRemaining[#Headers],Upgrades[#Headers],0),FALSE),0)*MAX(0,SUM('Construction Dashboard'!$G37:M37)),0)</f>
        <v>0</v>
      </c>
      <c r="M26" s="72">
        <f>IF(VALUE(CostRemaining[#Headers])&lt;='Construction Dashboard'!$F37,IFERROR(VLOOKUP(CostRemaining[[#This Row],[Cost]],Upgrades[],MATCH("C"&amp;CostRemaining[#Headers],Upgrades[#Headers],0),FALSE),0)*MAX(0,SUM('Construction Dashboard'!$G37:N37)),0)</f>
        <v>0</v>
      </c>
      <c r="N26" s="72">
        <f>IF(VALUE(CostRemaining[#Headers])&lt;='Construction Dashboard'!$F37,IFERROR(VLOOKUP(CostRemaining[[#This Row],[Cost]],Upgrades[],MATCH("C"&amp;CostRemaining[#Headers],Upgrades[#Headers],0),FALSE),0)*MAX(0,SUM('Construction Dashboard'!$G37:O37)),0)</f>
        <v>0</v>
      </c>
      <c r="O26" s="72">
        <f>IF(VALUE(CostRemaining[#Headers])&lt;='Construction Dashboard'!$F37,IFERROR(VLOOKUP(CostRemaining[[#This Row],[Cost]],Upgrades[],MATCH("C"&amp;CostRemaining[#Headers],Upgrades[#Headers],0),FALSE),0)*MAX(0,SUM('Construction Dashboard'!$G37:P37)),0)</f>
        <v>0</v>
      </c>
      <c r="P26" s="72">
        <f>IF(VALUE(CostRemaining[#Headers])&lt;='Construction Dashboard'!$F37,IFERROR(VLOOKUP(CostRemaining[[#This Row],[Cost]],Upgrades[],MATCH("C"&amp;CostRemaining[#Headers],Upgrades[#Headers],0),FALSE),0)*MAX(0,SUM('Construction Dashboard'!$G37:Q37)),0)</f>
        <v>0</v>
      </c>
      <c r="Q26" s="72">
        <f>IF(VALUE(CostRemaining[#Headers])&lt;='Construction Dashboard'!$F37,IFERROR(VLOOKUP(CostRemaining[[#This Row],[Cost]],Upgrades[],MATCH("C"&amp;CostRemaining[#Headers],Upgrades[#Headers],0),FALSE),0)*MAX(0,SUM('Construction Dashboard'!$G37:R37)),0)</f>
        <v>0</v>
      </c>
      <c r="R26" s="72">
        <f>IF(CostRemaining[[#This Row],[MatchStr]]="IGNORE",0,SUM(CostRemaining[[#This Row],[1]:[12]]))</f>
        <v>0</v>
      </c>
    </row>
    <row r="27" spans="1:18">
      <c r="A27" s="26" t="s">
        <v>23</v>
      </c>
      <c r="B27" s="26" t="str">
        <f>VLOOKUP(CostRemaining[[#This Row],[Cost]],Upgrades[],2,FALSE)</f>
        <v>Building</v>
      </c>
      <c r="C27" s="26" t="str">
        <f>VLOOKUP(CostRemaining[[#This Row],[Cost]],Upgrades[],3,FALSE)</f>
        <v>Gold</v>
      </c>
      <c r="D27" s="171" t="str">
        <f>IF((IFERROR(MATCH(CostRemaining[[#This Row],[Cost]],'Construction Dashboard'!$P$19:$S$19,0),0)+IFERROR(MATCH(CostRemaining[[#This Row],[Cost]],'Construction Dashboard'!$P$20:$S$20,0),0))&gt;0,"IGNORE",CostRemaining[Kind]&amp;"-"&amp;CostRemaining[Resource])</f>
        <v>Building-Gold</v>
      </c>
      <c r="E27" s="71" t="str">
        <f>IFERROR(VLOOKUP(CostRemaining[[#This Row],[Cost]],Upgrades[],MATCH("C"&amp;MATCH(TRUE,INDEX(CostRemaining[[#This Row],[1]:[12]]&lt;&gt;0,),0),Upgrades[#Headers],0),FALSE),"")</f>
        <v/>
      </c>
      <c r="F27" s="72">
        <f>IF(VALUE(CostRemaining[#Headers])&lt;='Construction Dashboard'!$F38,IFERROR(VLOOKUP(CostRemaining[[#This Row],[Cost]],Upgrades[],MATCH("C"&amp;CostRemaining[#Headers],Upgrades[#Headers],0),FALSE),0)*MAX(0,SUM('Construction Dashboard'!$G38:G38)),0)</f>
        <v>0</v>
      </c>
      <c r="G27" s="72">
        <f>IF(VALUE(CostRemaining[#Headers])&lt;='Construction Dashboard'!$F38,IFERROR(VLOOKUP(CostRemaining[[#This Row],[Cost]],Upgrades[],MATCH("C"&amp;CostRemaining[#Headers],Upgrades[#Headers],0),FALSE),0)*MAX(0,SUM('Construction Dashboard'!$G38:H38)),0)</f>
        <v>0</v>
      </c>
      <c r="H27" s="72">
        <f>IF(VALUE(CostRemaining[#Headers])&lt;='Construction Dashboard'!$F38,IFERROR(VLOOKUP(CostRemaining[[#This Row],[Cost]],Upgrades[],MATCH("C"&amp;CostRemaining[#Headers],Upgrades[#Headers],0),FALSE),0)*MAX(0,SUM('Construction Dashboard'!$G38:I38)),0)</f>
        <v>0</v>
      </c>
      <c r="I27" s="72">
        <f>IF(VALUE(CostRemaining[#Headers])&lt;='Construction Dashboard'!$F38,IFERROR(VLOOKUP(CostRemaining[[#This Row],[Cost]],Upgrades[],MATCH("C"&amp;CostRemaining[#Headers],Upgrades[#Headers],0),FALSE),0)*MAX(0,SUM('Construction Dashboard'!$G38:J38)),0)</f>
        <v>0</v>
      </c>
      <c r="J27" s="72">
        <f>IF(VALUE(CostRemaining[#Headers])&lt;='Construction Dashboard'!$F38,IFERROR(VLOOKUP(CostRemaining[[#This Row],[Cost]],Upgrades[],MATCH("C"&amp;CostRemaining[#Headers],Upgrades[#Headers],0),FALSE),0)*MAX(0,SUM('Construction Dashboard'!$G38:K38)),0)</f>
        <v>0</v>
      </c>
      <c r="K27" s="72">
        <f>IF(VALUE(CostRemaining[#Headers])&lt;='Construction Dashboard'!$F38,IFERROR(VLOOKUP(CostRemaining[[#This Row],[Cost]],Upgrades[],MATCH("C"&amp;CostRemaining[#Headers],Upgrades[#Headers],0),FALSE),0)*MAX(0,SUM('Construction Dashboard'!$G38:L38)),0)</f>
        <v>0</v>
      </c>
      <c r="L27" s="72">
        <f>IF(VALUE(CostRemaining[#Headers])&lt;='Construction Dashboard'!$F38,IFERROR(VLOOKUP(CostRemaining[[#This Row],[Cost]],Upgrades[],MATCH("C"&amp;CostRemaining[#Headers],Upgrades[#Headers],0),FALSE),0)*MAX(0,SUM('Construction Dashboard'!$G38:M38)),0)</f>
        <v>0</v>
      </c>
      <c r="M27" s="72">
        <f>IF(VALUE(CostRemaining[#Headers])&lt;='Construction Dashboard'!$F38,IFERROR(VLOOKUP(CostRemaining[[#This Row],[Cost]],Upgrades[],MATCH("C"&amp;CostRemaining[#Headers],Upgrades[#Headers],0),FALSE),0)*MAX(0,SUM('Construction Dashboard'!$G38:N38)),0)</f>
        <v>0</v>
      </c>
      <c r="N27" s="72">
        <f>IF(VALUE(CostRemaining[#Headers])&lt;='Construction Dashboard'!$F38,IFERROR(VLOOKUP(CostRemaining[[#This Row],[Cost]],Upgrades[],MATCH("C"&amp;CostRemaining[#Headers],Upgrades[#Headers],0),FALSE),0)*MAX(0,SUM('Construction Dashboard'!$G38:O38)),0)</f>
        <v>0</v>
      </c>
      <c r="O27" s="72">
        <f>IF(VALUE(CostRemaining[#Headers])&lt;='Construction Dashboard'!$F38,IFERROR(VLOOKUP(CostRemaining[[#This Row],[Cost]],Upgrades[],MATCH("C"&amp;CostRemaining[#Headers],Upgrades[#Headers],0),FALSE),0)*MAX(0,SUM('Construction Dashboard'!$G38:P38)),0)</f>
        <v>0</v>
      </c>
      <c r="P27" s="72">
        <f>IF(VALUE(CostRemaining[#Headers])&lt;='Construction Dashboard'!$F38,IFERROR(VLOOKUP(CostRemaining[[#This Row],[Cost]],Upgrades[],MATCH("C"&amp;CostRemaining[#Headers],Upgrades[#Headers],0),FALSE),0)*MAX(0,SUM('Construction Dashboard'!$G38:Q38)),0)</f>
        <v>0</v>
      </c>
      <c r="Q27" s="72">
        <f>IF(VALUE(CostRemaining[#Headers])&lt;='Construction Dashboard'!$F38,IFERROR(VLOOKUP(CostRemaining[[#This Row],[Cost]],Upgrades[],MATCH("C"&amp;CostRemaining[#Headers],Upgrades[#Headers],0),FALSE),0)*MAX(0,SUM('Construction Dashboard'!$G38:R38)),0)</f>
        <v>0</v>
      </c>
      <c r="R27" s="72">
        <f>IF(CostRemaining[[#This Row],[MatchStr]]="IGNORE",0,SUM(CostRemaining[[#This Row],[1]:[12]]))</f>
        <v>0</v>
      </c>
    </row>
    <row r="28" spans="1:18">
      <c r="A28" s="26" t="s">
        <v>24</v>
      </c>
      <c r="B28" s="26" t="str">
        <f>VLOOKUP(CostRemaining[[#This Row],[Cost]],Upgrades[],2,FALSE)</f>
        <v>Wall</v>
      </c>
      <c r="C28" s="26" t="str">
        <f>VLOOKUP(CostRemaining[[#This Row],[Cost]],Upgrades[],3,FALSE)</f>
        <v>Gold</v>
      </c>
      <c r="D28" s="171" t="str">
        <f>IF((IFERROR(MATCH(CostRemaining[[#This Row],[Cost]],'Construction Dashboard'!$P$19:$S$19,0),0)+IFERROR(MATCH(CostRemaining[[#This Row],[Cost]],'Construction Dashboard'!$P$20:$S$20,0),0))&gt;0,"IGNORE",CostRemaining[Kind]&amp;"-"&amp;CostRemaining[Resource])</f>
        <v>Wall-Gold</v>
      </c>
      <c r="E28" s="71">
        <f>IFERROR(VLOOKUP(CostRemaining[[#This Row],[Cost]],Upgrades[],MATCH("C"&amp;MATCH(TRUE,INDEX(CostRemaining[[#This Row],[1]:[12]]&lt;&gt;0,),0),Upgrades[#Headers],0),FALSE),"")</f>
        <v>75000</v>
      </c>
      <c r="F28" s="72">
        <f>IF(VALUE(CostRemaining[#Headers])&lt;='Construction Dashboard'!$F39,IFERROR(VLOOKUP(CostRemaining[[#This Row],[Cost]],Upgrades[],MATCH("C"&amp;CostRemaining[#Headers],Upgrades[#Headers],0),FALSE),0)*MAX(0,SUM('Construction Dashboard'!$G39:G39)),0)</f>
        <v>0</v>
      </c>
      <c r="G28" s="72">
        <f>IF(VALUE(CostRemaining[#Headers])&lt;='Construction Dashboard'!$F39,IFERROR(VLOOKUP(CostRemaining[[#This Row],[Cost]],Upgrades[],MATCH("C"&amp;CostRemaining[#Headers],Upgrades[#Headers],0),FALSE),0)*MAX(0,SUM('Construction Dashboard'!$G39:H39)),0)</f>
        <v>0</v>
      </c>
      <c r="H28" s="72">
        <f>IF(VALUE(CostRemaining[#Headers])&lt;='Construction Dashboard'!$F39,IFERROR(VLOOKUP(CostRemaining[[#This Row],[Cost]],Upgrades[],MATCH("C"&amp;CostRemaining[#Headers],Upgrades[#Headers],0),FALSE),0)*MAX(0,SUM('Construction Dashboard'!$G39:I39)),0)</f>
        <v>0</v>
      </c>
      <c r="I28" s="72">
        <f>IF(VALUE(CostRemaining[#Headers])&lt;='Construction Dashboard'!$F39,IFERROR(VLOOKUP(CostRemaining[[#This Row],[Cost]],Upgrades[],MATCH("C"&amp;CostRemaining[#Headers],Upgrades[#Headers],0),FALSE),0)*MAX(0,SUM('Construction Dashboard'!$G39:J39)),0)</f>
        <v>0</v>
      </c>
      <c r="J28" s="72">
        <f>IF(VALUE(CostRemaining[#Headers])&lt;='Construction Dashboard'!$F39,IFERROR(VLOOKUP(CostRemaining[[#This Row],[Cost]],Upgrades[],MATCH("C"&amp;CostRemaining[#Headers],Upgrades[#Headers],0),FALSE),0)*MAX(0,SUM('Construction Dashboard'!$G39:K39)),0)</f>
        <v>0</v>
      </c>
      <c r="K28" s="72">
        <f>IF(VALUE(CostRemaining[#Headers])&lt;='Construction Dashboard'!$F39,IFERROR(VLOOKUP(CostRemaining[[#This Row],[Cost]],Upgrades[],MATCH("C"&amp;CostRemaining[#Headers],Upgrades[#Headers],0),FALSE),0)*MAX(0,SUM('Construction Dashboard'!$G39:L39)),0)</f>
        <v>8925000</v>
      </c>
      <c r="L28" s="72">
        <f>IF(VALUE(CostRemaining[#Headers])&lt;='Construction Dashboard'!$F39,IFERROR(VLOOKUP(CostRemaining[[#This Row],[Cost]],Upgrades[],MATCH("C"&amp;CostRemaining[#Headers],Upgrades[#Headers],0),FALSE),0)*MAX(0,SUM('Construction Dashboard'!$G39:M39)),0)</f>
        <v>34800000</v>
      </c>
      <c r="M28" s="72">
        <f>IF(VALUE(CostRemaining[#Headers])&lt;='Construction Dashboard'!$F39,IFERROR(VLOOKUP(CostRemaining[[#This Row],[Cost]],Upgrades[],MATCH("C"&amp;CostRemaining[#Headers],Upgrades[#Headers],0),FALSE),0)*MAX(0,SUM('Construction Dashboard'!$G39:N39)),0)</f>
        <v>0</v>
      </c>
      <c r="N28" s="72">
        <f>IF(VALUE(CostRemaining[#Headers])&lt;='Construction Dashboard'!$F39,IFERROR(VLOOKUP(CostRemaining[[#This Row],[Cost]],Upgrades[],MATCH("C"&amp;CostRemaining[#Headers],Upgrades[#Headers],0),FALSE),0)*MAX(0,SUM('Construction Dashboard'!$G39:O39)),0)</f>
        <v>0</v>
      </c>
      <c r="O28" s="72">
        <f>IF(VALUE(CostRemaining[#Headers])&lt;='Construction Dashboard'!$F39,IFERROR(VLOOKUP(CostRemaining[[#This Row],[Cost]],Upgrades[],MATCH("C"&amp;CostRemaining[#Headers],Upgrades[#Headers],0),FALSE),0)*MAX(0,SUM('Construction Dashboard'!$G39:P39)),0)</f>
        <v>0</v>
      </c>
      <c r="P28" s="72">
        <f>IF(VALUE(CostRemaining[#Headers])&lt;='Construction Dashboard'!$F39,IFERROR(VLOOKUP(CostRemaining[[#This Row],[Cost]],Upgrades[],MATCH("C"&amp;CostRemaining[#Headers],Upgrades[#Headers],0),FALSE),0)*MAX(0,SUM('Construction Dashboard'!$G39:Q39)),0)</f>
        <v>0</v>
      </c>
      <c r="Q28" s="72">
        <f>IF(VALUE(CostRemaining[#Headers])&lt;='Construction Dashboard'!$F39,IFERROR(VLOOKUP(CostRemaining[[#This Row],[Cost]],Upgrades[],MATCH("C"&amp;CostRemaining[#Headers],Upgrades[#Headers],0),FALSE),0)*MAX(0,SUM('Construction Dashboard'!$G39:R39)),0)</f>
        <v>0</v>
      </c>
      <c r="R28" s="72">
        <f>IF(CostRemaining[[#This Row],[MatchStr]]="IGNORE",0,SUM(CostRemaining[[#This Row],[1]:[12]]))</f>
        <v>43725000</v>
      </c>
    </row>
    <row r="29" spans="1:18">
      <c r="A29" s="26" t="s">
        <v>7</v>
      </c>
      <c r="B29" s="26" t="str">
        <f>VLOOKUP(CostRemaining[[#This Row],[Cost]],Upgrades[],2,FALSE)</f>
        <v>Building</v>
      </c>
      <c r="C29" s="26" t="str">
        <f>VLOOKUP(CostRemaining[[#This Row],[Cost]],Upgrades[],3,FALSE)</f>
        <v>Gold</v>
      </c>
      <c r="D29" s="171" t="str">
        <f>IF((IFERROR(MATCH(CostRemaining[[#This Row],[Cost]],'Construction Dashboard'!$P$19:$S$19,0),0)+IFERROR(MATCH(CostRemaining[[#This Row],[Cost]],'Construction Dashboard'!$P$20:$S$20,0),0))&gt;0,"IGNORE",CostRemaining[Kind]&amp;"-"&amp;CostRemaining[Resource])</f>
        <v>Building-Gold</v>
      </c>
      <c r="E29" s="71" t="str">
        <f>IFERROR(VLOOKUP(CostRemaining[[#This Row],[Cost]],Upgrades[],MATCH("C"&amp;MATCH(TRUE,INDEX(CostRemaining[[#This Row],[1]:[12]]&lt;&gt;0,),0),Upgrades[#Headers],0),FALSE),"")</f>
        <v/>
      </c>
      <c r="F29" s="72">
        <f>IF(VALUE(CostRemaining[#Headers])&lt;='Construction Dashboard'!$F40,IFERROR(VLOOKUP(CostRemaining[[#This Row],[Cost]],Upgrades[],MATCH("C"&amp;CostRemaining[#Headers],Upgrades[#Headers],0),FALSE),0)*MAX(0,SUM('Construction Dashboard'!$G40:G40)),0)</f>
        <v>0</v>
      </c>
      <c r="G29" s="72">
        <f>IF(VALUE(CostRemaining[#Headers])&lt;='Construction Dashboard'!$F40,IFERROR(VLOOKUP(CostRemaining[[#This Row],[Cost]],Upgrades[],MATCH("C"&amp;CostRemaining[#Headers],Upgrades[#Headers],0),FALSE),0)*MAX(0,SUM('Construction Dashboard'!$G40:H40)),0)</f>
        <v>0</v>
      </c>
      <c r="H29" s="72">
        <f>IF(VALUE(CostRemaining[#Headers])&lt;='Construction Dashboard'!$F40,IFERROR(VLOOKUP(CostRemaining[[#This Row],[Cost]],Upgrades[],MATCH("C"&amp;CostRemaining[#Headers],Upgrades[#Headers],0),FALSE),0)*MAX(0,SUM('Construction Dashboard'!$G40:I40)),0)</f>
        <v>0</v>
      </c>
      <c r="I29" s="72">
        <f>IF(VALUE(CostRemaining[#Headers])&lt;='Construction Dashboard'!$F40,IFERROR(VLOOKUP(CostRemaining[[#This Row],[Cost]],Upgrades[],MATCH("C"&amp;CostRemaining[#Headers],Upgrades[#Headers],0),FALSE),0)*MAX(0,SUM('Construction Dashboard'!$G40:J40)),0)</f>
        <v>0</v>
      </c>
      <c r="J29" s="72">
        <f>IF(VALUE(CostRemaining[#Headers])&lt;='Construction Dashboard'!$F40,IFERROR(VLOOKUP(CostRemaining[[#This Row],[Cost]],Upgrades[],MATCH("C"&amp;CostRemaining[#Headers],Upgrades[#Headers],0),FALSE),0)*MAX(0,SUM('Construction Dashboard'!$G40:K40)),0)</f>
        <v>0</v>
      </c>
      <c r="K29" s="72">
        <f>IF(VALUE(CostRemaining[#Headers])&lt;='Construction Dashboard'!$F40,IFERROR(VLOOKUP(CostRemaining[[#This Row],[Cost]],Upgrades[],MATCH("C"&amp;CostRemaining[#Headers],Upgrades[#Headers],0),FALSE),0)*MAX(0,SUM('Construction Dashboard'!$G40:L40)),0)</f>
        <v>0</v>
      </c>
      <c r="L29" s="72">
        <f>IF(VALUE(CostRemaining[#Headers])&lt;='Construction Dashboard'!$F40,IFERROR(VLOOKUP(CostRemaining[[#This Row],[Cost]],Upgrades[],MATCH("C"&amp;CostRemaining[#Headers],Upgrades[#Headers],0),FALSE),0)*MAX(0,SUM('Construction Dashboard'!$G40:M40)),0)</f>
        <v>0</v>
      </c>
      <c r="M29" s="72">
        <f>IF(VALUE(CostRemaining[#Headers])&lt;='Construction Dashboard'!$F40,IFERROR(VLOOKUP(CostRemaining[[#This Row],[Cost]],Upgrades[],MATCH("C"&amp;CostRemaining[#Headers],Upgrades[#Headers],0),FALSE),0)*MAX(0,SUM('Construction Dashboard'!$G40:N40)),0)</f>
        <v>0</v>
      </c>
      <c r="N29" s="72">
        <f>IF(VALUE(CostRemaining[#Headers])&lt;='Construction Dashboard'!$F40,IFERROR(VLOOKUP(CostRemaining[[#This Row],[Cost]],Upgrades[],MATCH("C"&amp;CostRemaining[#Headers],Upgrades[#Headers],0),FALSE),0)*MAX(0,SUM('Construction Dashboard'!$G40:O40)),0)</f>
        <v>0</v>
      </c>
      <c r="O29" s="72">
        <f>IF(VALUE(CostRemaining[#Headers])&lt;='Construction Dashboard'!$F40,IFERROR(VLOOKUP(CostRemaining[[#This Row],[Cost]],Upgrades[],MATCH("C"&amp;CostRemaining[#Headers],Upgrades[#Headers],0),FALSE),0)*MAX(0,SUM('Construction Dashboard'!$G40:P40)),0)</f>
        <v>0</v>
      </c>
      <c r="P29" s="72">
        <f>IF(VALUE(CostRemaining[#Headers])&lt;='Construction Dashboard'!$F40,IFERROR(VLOOKUP(CostRemaining[[#This Row],[Cost]],Upgrades[],MATCH("C"&amp;CostRemaining[#Headers],Upgrades[#Headers],0),FALSE),0)*MAX(0,SUM('Construction Dashboard'!$G40:Q40)),0)</f>
        <v>0</v>
      </c>
      <c r="Q29" s="72">
        <f>IF(VALUE(CostRemaining[#Headers])&lt;='Construction Dashboard'!$F40,IFERROR(VLOOKUP(CostRemaining[[#This Row],[Cost]],Upgrades[],MATCH("C"&amp;CostRemaining[#Headers],Upgrades[#Headers],0),FALSE),0)*MAX(0,SUM('Construction Dashboard'!$G40:R40)),0)</f>
        <v>0</v>
      </c>
      <c r="R29" s="72">
        <f>IF(CostRemaining[[#This Row],[MatchStr]]="IGNORE",0,SUM(CostRemaining[[#This Row],[1]:[12]]))</f>
        <v>0</v>
      </c>
    </row>
    <row r="30" spans="1:18">
      <c r="A30" s="26" t="s">
        <v>8</v>
      </c>
      <c r="B30" s="26" t="str">
        <f>VLOOKUP(CostRemaining[[#This Row],[Cost]],Upgrades[],2,FALSE)</f>
        <v>Building</v>
      </c>
      <c r="C30" s="26" t="str">
        <f>VLOOKUP(CostRemaining[[#This Row],[Cost]],Upgrades[],3,FALSE)</f>
        <v>Gold</v>
      </c>
      <c r="D30" s="171" t="str">
        <f>IF((IFERROR(MATCH(CostRemaining[[#This Row],[Cost]],'Construction Dashboard'!$P$19:$S$19,0),0)+IFERROR(MATCH(CostRemaining[[#This Row],[Cost]],'Construction Dashboard'!$P$20:$S$20,0),0))&gt;0,"IGNORE",CostRemaining[Kind]&amp;"-"&amp;CostRemaining[Resource])</f>
        <v>Building-Gold</v>
      </c>
      <c r="E30" s="71" t="str">
        <f>IFERROR(VLOOKUP(CostRemaining[[#This Row],[Cost]],Upgrades[],MATCH("C"&amp;MATCH(TRUE,INDEX(CostRemaining[[#This Row],[1]:[12]]&lt;&gt;0,),0),Upgrades[#Headers],0),FALSE),"")</f>
        <v/>
      </c>
      <c r="F30" s="72">
        <f>IF(VALUE(CostRemaining[#Headers])&lt;='Construction Dashboard'!$F41,IFERROR(VLOOKUP(CostRemaining[[#This Row],[Cost]],Upgrades[],MATCH("C"&amp;CostRemaining[#Headers],Upgrades[#Headers],0),FALSE),0)*MAX(0,SUM('Construction Dashboard'!$G41:G41)),0)</f>
        <v>0</v>
      </c>
      <c r="G30" s="72">
        <f>IF(VALUE(CostRemaining[#Headers])&lt;='Construction Dashboard'!$F41,IFERROR(VLOOKUP(CostRemaining[[#This Row],[Cost]],Upgrades[],MATCH("C"&amp;CostRemaining[#Headers],Upgrades[#Headers],0),FALSE),0)*MAX(0,SUM('Construction Dashboard'!$G41:H41)),0)</f>
        <v>0</v>
      </c>
      <c r="H30" s="72">
        <f>IF(VALUE(CostRemaining[#Headers])&lt;='Construction Dashboard'!$F41,IFERROR(VLOOKUP(CostRemaining[[#This Row],[Cost]],Upgrades[],MATCH("C"&amp;CostRemaining[#Headers],Upgrades[#Headers],0),FALSE),0)*MAX(0,SUM('Construction Dashboard'!$G41:I41)),0)</f>
        <v>0</v>
      </c>
      <c r="I30" s="72">
        <f>IF(VALUE(CostRemaining[#Headers])&lt;='Construction Dashboard'!$F41,IFERROR(VLOOKUP(CostRemaining[[#This Row],[Cost]],Upgrades[],MATCH("C"&amp;CostRemaining[#Headers],Upgrades[#Headers],0),FALSE),0)*MAX(0,SUM('Construction Dashboard'!$G41:J41)),0)</f>
        <v>0</v>
      </c>
      <c r="J30" s="72">
        <f>IF(VALUE(CostRemaining[#Headers])&lt;='Construction Dashboard'!$F41,IFERROR(VLOOKUP(CostRemaining[[#This Row],[Cost]],Upgrades[],MATCH("C"&amp;CostRemaining[#Headers],Upgrades[#Headers],0),FALSE),0)*MAX(0,SUM('Construction Dashboard'!$G41:K41)),0)</f>
        <v>0</v>
      </c>
      <c r="K30" s="72">
        <f>IF(VALUE(CostRemaining[#Headers])&lt;='Construction Dashboard'!$F41,IFERROR(VLOOKUP(CostRemaining[[#This Row],[Cost]],Upgrades[],MATCH("C"&amp;CostRemaining[#Headers],Upgrades[#Headers],0),FALSE),0)*MAX(0,SUM('Construction Dashboard'!$G41:L41)),0)</f>
        <v>0</v>
      </c>
      <c r="L30" s="72">
        <f>IF(VALUE(CostRemaining[#Headers])&lt;='Construction Dashboard'!$F41,IFERROR(VLOOKUP(CostRemaining[[#This Row],[Cost]],Upgrades[],MATCH("C"&amp;CostRemaining[#Headers],Upgrades[#Headers],0),FALSE),0)*MAX(0,SUM('Construction Dashboard'!$G41:M41)),0)</f>
        <v>0</v>
      </c>
      <c r="M30" s="72">
        <f>IF(VALUE(CostRemaining[#Headers])&lt;='Construction Dashboard'!$F41,IFERROR(VLOOKUP(CostRemaining[[#This Row],[Cost]],Upgrades[],MATCH("C"&amp;CostRemaining[#Headers],Upgrades[#Headers],0),FALSE),0)*MAX(0,SUM('Construction Dashboard'!$G41:N41)),0)</f>
        <v>0</v>
      </c>
      <c r="N30" s="72">
        <f>IF(VALUE(CostRemaining[#Headers])&lt;='Construction Dashboard'!$F41,IFERROR(VLOOKUP(CostRemaining[[#This Row],[Cost]],Upgrades[],MATCH("C"&amp;CostRemaining[#Headers],Upgrades[#Headers],0),FALSE),0)*MAX(0,SUM('Construction Dashboard'!$G41:O41)),0)</f>
        <v>0</v>
      </c>
      <c r="O30" s="72">
        <f>IF(VALUE(CostRemaining[#Headers])&lt;='Construction Dashboard'!$F41,IFERROR(VLOOKUP(CostRemaining[[#This Row],[Cost]],Upgrades[],MATCH("C"&amp;CostRemaining[#Headers],Upgrades[#Headers],0),FALSE),0)*MAX(0,SUM('Construction Dashboard'!$G41:P41)),0)</f>
        <v>0</v>
      </c>
      <c r="P30" s="72">
        <f>IF(VALUE(CostRemaining[#Headers])&lt;='Construction Dashboard'!$F41,IFERROR(VLOOKUP(CostRemaining[[#This Row],[Cost]],Upgrades[],MATCH("C"&amp;CostRemaining[#Headers],Upgrades[#Headers],0),FALSE),0)*MAX(0,SUM('Construction Dashboard'!$G41:Q41)),0)</f>
        <v>0</v>
      </c>
      <c r="Q30" s="72">
        <f>IF(VALUE(CostRemaining[#Headers])&lt;='Construction Dashboard'!$F41,IFERROR(VLOOKUP(CostRemaining[[#This Row],[Cost]],Upgrades[],MATCH("C"&amp;CostRemaining[#Headers],Upgrades[#Headers],0),FALSE),0)*MAX(0,SUM('Construction Dashboard'!$G41:R41)),0)</f>
        <v>0</v>
      </c>
      <c r="R30" s="72">
        <f>IF(CostRemaining[[#This Row],[MatchStr]]="IGNORE",0,SUM(CostRemaining[[#This Row],[1]:[12]]))</f>
        <v>0</v>
      </c>
    </row>
    <row r="31" spans="1:18">
      <c r="A31" s="26" t="s">
        <v>25</v>
      </c>
      <c r="B31" s="26" t="str">
        <f>VLOOKUP(CostRemaining[[#This Row],[Cost]],Upgrades[],2,FALSE)</f>
        <v>Building</v>
      </c>
      <c r="C31" s="26" t="str">
        <f>VLOOKUP(CostRemaining[[#This Row],[Cost]],Upgrades[],3,FALSE)</f>
        <v>Gold</v>
      </c>
      <c r="D31" s="171" t="str">
        <f>IF((IFERROR(MATCH(CostRemaining[[#This Row],[Cost]],'Construction Dashboard'!$P$19:$S$19,0),0)+IFERROR(MATCH(CostRemaining[[#This Row],[Cost]],'Construction Dashboard'!$P$20:$S$20,0),0))&gt;0,"IGNORE",CostRemaining[Kind]&amp;"-"&amp;CostRemaining[Resource])</f>
        <v>Building-Gold</v>
      </c>
      <c r="E31" s="71">
        <f>IFERROR(VLOOKUP(CostRemaining[[#This Row],[Cost]],Upgrades[],MATCH("C"&amp;MATCH(TRUE,INDEX(CostRemaining[[#This Row],[1]:[12]]&lt;&gt;0,),0),Upgrades[#Headers],0),FALSE),"")</f>
        <v>1080000</v>
      </c>
      <c r="F31" s="72">
        <f>IF(VALUE(CostRemaining[#Headers])&lt;='Construction Dashboard'!$F42,IFERROR(VLOOKUP(CostRemaining[[#This Row],[Cost]],Upgrades[],MATCH("C"&amp;CostRemaining[#Headers],Upgrades[#Headers],0),FALSE),0)*MAX(0,SUM('Construction Dashboard'!$G42:G42)),0)</f>
        <v>0</v>
      </c>
      <c r="G31" s="72">
        <f>IF(VALUE(CostRemaining[#Headers])&lt;='Construction Dashboard'!$F42,IFERROR(VLOOKUP(CostRemaining[[#This Row],[Cost]],Upgrades[],MATCH("C"&amp;CostRemaining[#Headers],Upgrades[#Headers],0),FALSE),0)*MAX(0,SUM('Construction Dashboard'!$G42:H42)),0)</f>
        <v>0</v>
      </c>
      <c r="H31" s="72">
        <f>IF(VALUE(CostRemaining[#Headers])&lt;='Construction Dashboard'!$F42,IFERROR(VLOOKUP(CostRemaining[[#This Row],[Cost]],Upgrades[],MATCH("C"&amp;CostRemaining[#Headers],Upgrades[#Headers],0),FALSE),0)*MAX(0,SUM('Construction Dashboard'!$G42:I42)),0)</f>
        <v>0</v>
      </c>
      <c r="I31" s="72">
        <f>IF(VALUE(CostRemaining[#Headers])&lt;='Construction Dashboard'!$F42,IFERROR(VLOOKUP(CostRemaining[[#This Row],[Cost]],Upgrades[],MATCH("C"&amp;CostRemaining[#Headers],Upgrades[#Headers],0),FALSE),0)*MAX(0,SUM('Construction Dashboard'!$G42:J42)),0)</f>
        <v>0</v>
      </c>
      <c r="J31" s="72">
        <f>IF(VALUE(CostRemaining[#Headers])&lt;='Construction Dashboard'!$F42,IFERROR(VLOOKUP(CostRemaining[[#This Row],[Cost]],Upgrades[],MATCH("C"&amp;CostRemaining[#Headers],Upgrades[#Headers],0),FALSE),0)*MAX(0,SUM('Construction Dashboard'!$G42:K42)),0)</f>
        <v>1080000</v>
      </c>
      <c r="K31" s="72">
        <f>IF(VALUE(CostRemaining[#Headers])&lt;='Construction Dashboard'!$F42,IFERROR(VLOOKUP(CostRemaining[[#This Row],[Cost]],Upgrades[],MATCH("C"&amp;CostRemaining[#Headers],Upgrades[#Headers],0),FALSE),0)*MAX(0,SUM('Construction Dashboard'!$G42:L42)),0)</f>
        <v>0</v>
      </c>
      <c r="L31" s="72">
        <f>IF(VALUE(CostRemaining[#Headers])&lt;='Construction Dashboard'!$F42,IFERROR(VLOOKUP(CostRemaining[[#This Row],[Cost]],Upgrades[],MATCH("C"&amp;CostRemaining[#Headers],Upgrades[#Headers],0),FALSE),0)*MAX(0,SUM('Construction Dashboard'!$G42:M42)),0)</f>
        <v>0</v>
      </c>
      <c r="M31" s="72">
        <f>IF(VALUE(CostRemaining[#Headers])&lt;='Construction Dashboard'!$F42,IFERROR(VLOOKUP(CostRemaining[[#This Row],[Cost]],Upgrades[],MATCH("C"&amp;CostRemaining[#Headers],Upgrades[#Headers],0),FALSE),0)*MAX(0,SUM('Construction Dashboard'!$G42:N42)),0)</f>
        <v>0</v>
      </c>
      <c r="N31" s="72">
        <f>IF(VALUE(CostRemaining[#Headers])&lt;='Construction Dashboard'!$F42,IFERROR(VLOOKUP(CostRemaining[[#This Row],[Cost]],Upgrades[],MATCH("C"&amp;CostRemaining[#Headers],Upgrades[#Headers],0),FALSE),0)*MAX(0,SUM('Construction Dashboard'!$G42:O42)),0)</f>
        <v>0</v>
      </c>
      <c r="O31" s="72">
        <f>IF(VALUE(CostRemaining[#Headers])&lt;='Construction Dashboard'!$F42,IFERROR(VLOOKUP(CostRemaining[[#This Row],[Cost]],Upgrades[],MATCH("C"&amp;CostRemaining[#Headers],Upgrades[#Headers],0),FALSE),0)*MAX(0,SUM('Construction Dashboard'!$G42:P42)),0)</f>
        <v>0</v>
      </c>
      <c r="P31" s="72">
        <f>IF(VALUE(CostRemaining[#Headers])&lt;='Construction Dashboard'!$F42,IFERROR(VLOOKUP(CostRemaining[[#This Row],[Cost]],Upgrades[],MATCH("C"&amp;CostRemaining[#Headers],Upgrades[#Headers],0),FALSE),0)*MAX(0,SUM('Construction Dashboard'!$G42:Q42)),0)</f>
        <v>0</v>
      </c>
      <c r="Q31" s="72">
        <f>IF(VALUE(CostRemaining[#Headers])&lt;='Construction Dashboard'!$F42,IFERROR(VLOOKUP(CostRemaining[[#This Row],[Cost]],Upgrades[],MATCH("C"&amp;CostRemaining[#Headers],Upgrades[#Headers],0),FALSE),0)*MAX(0,SUM('Construction Dashboard'!$G42:R42)),0)</f>
        <v>0</v>
      </c>
      <c r="R31" s="72">
        <f>IF(CostRemaining[[#This Row],[MatchStr]]="IGNORE",0,SUM(CostRemaining[[#This Row],[1]:[12]]))</f>
        <v>1080000</v>
      </c>
    </row>
    <row r="32" spans="1:18">
      <c r="A32" s="26" t="s">
        <v>26</v>
      </c>
      <c r="B32" s="26" t="str">
        <f>VLOOKUP(CostRemaining[[#This Row],[Cost]],Upgrades[],2,FALSE)</f>
        <v>Building</v>
      </c>
      <c r="C32" s="26" t="str">
        <f>VLOOKUP(CostRemaining[[#This Row],[Cost]],Upgrades[],3,FALSE)</f>
        <v>Gold</v>
      </c>
      <c r="D32" s="171" t="str">
        <f>IF((IFERROR(MATCH(CostRemaining[[#This Row],[Cost]],'Construction Dashboard'!$P$19:$S$19,0),0)+IFERROR(MATCH(CostRemaining[[#This Row],[Cost]],'Construction Dashboard'!$P$20:$S$20,0),0))&gt;0,"IGNORE",CostRemaining[Kind]&amp;"-"&amp;CostRemaining[Resource])</f>
        <v>Building-Gold</v>
      </c>
      <c r="E32" s="71" t="str">
        <f>IFERROR(VLOOKUP(CostRemaining[[#This Row],[Cost]],Upgrades[],MATCH("C"&amp;MATCH(TRUE,INDEX(CostRemaining[[#This Row],[1]:[12]]&lt;&gt;0,),0),Upgrades[#Headers],0),FALSE),"")</f>
        <v/>
      </c>
      <c r="F32" s="72">
        <f>IF(VALUE(CostRemaining[#Headers])&lt;='Construction Dashboard'!$F43,IFERROR(VLOOKUP(CostRemaining[[#This Row],[Cost]],Upgrades[],MATCH("C"&amp;CostRemaining[#Headers],Upgrades[#Headers],0),FALSE),0)*MAX(0,SUM('Construction Dashboard'!$G43:G43)),0)</f>
        <v>0</v>
      </c>
      <c r="G32" s="72">
        <f>IF(VALUE(CostRemaining[#Headers])&lt;='Construction Dashboard'!$F43,IFERROR(VLOOKUP(CostRemaining[[#This Row],[Cost]],Upgrades[],MATCH("C"&amp;CostRemaining[#Headers],Upgrades[#Headers],0),FALSE),0)*MAX(0,SUM('Construction Dashboard'!$G43:H43)),0)</f>
        <v>0</v>
      </c>
      <c r="H32" s="72">
        <f>IF(VALUE(CostRemaining[#Headers])&lt;='Construction Dashboard'!$F43,IFERROR(VLOOKUP(CostRemaining[[#This Row],[Cost]],Upgrades[],MATCH("C"&amp;CostRemaining[#Headers],Upgrades[#Headers],0),FALSE),0)*MAX(0,SUM('Construction Dashboard'!$G43:I43)),0)</f>
        <v>0</v>
      </c>
      <c r="I32" s="72">
        <f>IF(VALUE(CostRemaining[#Headers])&lt;='Construction Dashboard'!$F43,IFERROR(VLOOKUP(CostRemaining[[#This Row],[Cost]],Upgrades[],MATCH("C"&amp;CostRemaining[#Headers],Upgrades[#Headers],0),FALSE),0)*MAX(0,SUM('Construction Dashboard'!$G43:J43)),0)</f>
        <v>0</v>
      </c>
      <c r="J32" s="72">
        <f>IF(VALUE(CostRemaining[#Headers])&lt;='Construction Dashboard'!$F43,IFERROR(VLOOKUP(CostRemaining[[#This Row],[Cost]],Upgrades[],MATCH("C"&amp;CostRemaining[#Headers],Upgrades[#Headers],0),FALSE),0)*MAX(0,SUM('Construction Dashboard'!$G43:K43)),0)</f>
        <v>0</v>
      </c>
      <c r="K32" s="72">
        <f>IF(VALUE(CostRemaining[#Headers])&lt;='Construction Dashboard'!$F43,IFERROR(VLOOKUP(CostRemaining[[#This Row],[Cost]],Upgrades[],MATCH("C"&amp;CostRemaining[#Headers],Upgrades[#Headers],0),FALSE),0)*MAX(0,SUM('Construction Dashboard'!$G43:L43)),0)</f>
        <v>0</v>
      </c>
      <c r="L32" s="72">
        <f>IF(VALUE(CostRemaining[#Headers])&lt;='Construction Dashboard'!$F43,IFERROR(VLOOKUP(CostRemaining[[#This Row],[Cost]],Upgrades[],MATCH("C"&amp;CostRemaining[#Headers],Upgrades[#Headers],0),FALSE),0)*MAX(0,SUM('Construction Dashboard'!$G43:M43)),0)</f>
        <v>0</v>
      </c>
      <c r="M32" s="72">
        <f>IF(VALUE(CostRemaining[#Headers])&lt;='Construction Dashboard'!$F43,IFERROR(VLOOKUP(CostRemaining[[#This Row],[Cost]],Upgrades[],MATCH("C"&amp;CostRemaining[#Headers],Upgrades[#Headers],0),FALSE),0)*MAX(0,SUM('Construction Dashboard'!$G43:N43)),0)</f>
        <v>0</v>
      </c>
      <c r="N32" s="72">
        <f>IF(VALUE(CostRemaining[#Headers])&lt;='Construction Dashboard'!$F43,IFERROR(VLOOKUP(CostRemaining[[#This Row],[Cost]],Upgrades[],MATCH("C"&amp;CostRemaining[#Headers],Upgrades[#Headers],0),FALSE),0)*MAX(0,SUM('Construction Dashboard'!$G43:O43)),0)</f>
        <v>0</v>
      </c>
      <c r="O32" s="72">
        <f>IF(VALUE(CostRemaining[#Headers])&lt;='Construction Dashboard'!$F43,IFERROR(VLOOKUP(CostRemaining[[#This Row],[Cost]],Upgrades[],MATCH("C"&amp;CostRemaining[#Headers],Upgrades[#Headers],0),FALSE),0)*MAX(0,SUM('Construction Dashboard'!$G43:P43)),0)</f>
        <v>0</v>
      </c>
      <c r="P32" s="72">
        <f>IF(VALUE(CostRemaining[#Headers])&lt;='Construction Dashboard'!$F43,IFERROR(VLOOKUP(CostRemaining[[#This Row],[Cost]],Upgrades[],MATCH("C"&amp;CostRemaining[#Headers],Upgrades[#Headers],0),FALSE),0)*MAX(0,SUM('Construction Dashboard'!$G43:Q43)),0)</f>
        <v>0</v>
      </c>
      <c r="Q32" s="72">
        <f>IF(VALUE(CostRemaining[#Headers])&lt;='Construction Dashboard'!$F43,IFERROR(VLOOKUP(CostRemaining[[#This Row],[Cost]],Upgrades[],MATCH("C"&amp;CostRemaining[#Headers],Upgrades[#Headers],0),FALSE),0)*MAX(0,SUM('Construction Dashboard'!$G43:R43)),0)</f>
        <v>0</v>
      </c>
      <c r="R32" s="72">
        <f>IF(CostRemaining[[#This Row],[MatchStr]]="IGNORE",0,SUM(CostRemaining[[#This Row],[1]:[12]]))</f>
        <v>0</v>
      </c>
    </row>
    <row r="33" spans="1:18">
      <c r="A33" s="26" t="s">
        <v>27</v>
      </c>
      <c r="B33" s="26" t="str">
        <f>VLOOKUP(CostRemaining[[#This Row],[Cost]],Upgrades[],2,FALSE)</f>
        <v>Building</v>
      </c>
      <c r="C33" s="26" t="str">
        <f>VLOOKUP(CostRemaining[[#This Row],[Cost]],Upgrades[],3,FALSE)</f>
        <v>Gold</v>
      </c>
      <c r="D33" s="171" t="str">
        <f>IF((IFERROR(MATCH(CostRemaining[[#This Row],[Cost]],'Construction Dashboard'!$P$19:$S$19,0),0)+IFERROR(MATCH(CostRemaining[[#This Row],[Cost]],'Construction Dashboard'!$P$20:$S$20,0),0))&gt;0,"IGNORE",CostRemaining[Kind]&amp;"-"&amp;CostRemaining[Resource])</f>
        <v>Building-Gold</v>
      </c>
      <c r="E33" s="71" t="str">
        <f>IFERROR(VLOOKUP(CostRemaining[[#This Row],[Cost]],Upgrades[],MATCH("C"&amp;MATCH(TRUE,INDEX(CostRemaining[[#This Row],[1]:[12]]&lt;&gt;0,),0),Upgrades[#Headers],0),FALSE),"")</f>
        <v/>
      </c>
      <c r="F33" s="72">
        <f>IF(VALUE(CostRemaining[#Headers])&lt;='Construction Dashboard'!$F44,IFERROR(VLOOKUP(CostRemaining[[#This Row],[Cost]],Upgrades[],MATCH("C"&amp;CostRemaining[#Headers],Upgrades[#Headers],0),FALSE),0)*MAX(0,SUM('Construction Dashboard'!$G44:G44)),0)</f>
        <v>0</v>
      </c>
      <c r="G33" s="72">
        <f>IF(VALUE(CostRemaining[#Headers])&lt;='Construction Dashboard'!$F44,IFERROR(VLOOKUP(CostRemaining[[#This Row],[Cost]],Upgrades[],MATCH("C"&amp;CostRemaining[#Headers],Upgrades[#Headers],0),FALSE),0)*MAX(0,SUM('Construction Dashboard'!$G44:H44)),0)</f>
        <v>0</v>
      </c>
      <c r="H33" s="72">
        <f>IF(VALUE(CostRemaining[#Headers])&lt;='Construction Dashboard'!$F44,IFERROR(VLOOKUP(CostRemaining[[#This Row],[Cost]],Upgrades[],MATCH("C"&amp;CostRemaining[#Headers],Upgrades[#Headers],0),FALSE),0)*MAX(0,SUM('Construction Dashboard'!$G44:I44)),0)</f>
        <v>0</v>
      </c>
      <c r="I33" s="72">
        <f>IF(VALUE(CostRemaining[#Headers])&lt;='Construction Dashboard'!$F44,IFERROR(VLOOKUP(CostRemaining[[#This Row],[Cost]],Upgrades[],MATCH("C"&amp;CostRemaining[#Headers],Upgrades[#Headers],0),FALSE),0)*MAX(0,SUM('Construction Dashboard'!$G44:J44)),0)</f>
        <v>0</v>
      </c>
      <c r="J33" s="72">
        <f>IF(VALUE(CostRemaining[#Headers])&lt;='Construction Dashboard'!$F44,IFERROR(VLOOKUP(CostRemaining[[#This Row],[Cost]],Upgrades[],MATCH("C"&amp;CostRemaining[#Headers],Upgrades[#Headers],0),FALSE),0)*MAX(0,SUM('Construction Dashboard'!$G44:K44)),0)</f>
        <v>0</v>
      </c>
      <c r="K33" s="72">
        <f>IF(VALUE(CostRemaining[#Headers])&lt;='Construction Dashboard'!$F44,IFERROR(VLOOKUP(CostRemaining[[#This Row],[Cost]],Upgrades[],MATCH("C"&amp;CostRemaining[#Headers],Upgrades[#Headers],0),FALSE),0)*MAX(0,SUM('Construction Dashboard'!$G44:L44)),0)</f>
        <v>0</v>
      </c>
      <c r="L33" s="72">
        <f>IF(VALUE(CostRemaining[#Headers])&lt;='Construction Dashboard'!$F44,IFERROR(VLOOKUP(CostRemaining[[#This Row],[Cost]],Upgrades[],MATCH("C"&amp;CostRemaining[#Headers],Upgrades[#Headers],0),FALSE),0)*MAX(0,SUM('Construction Dashboard'!$G44:M44)),0)</f>
        <v>0</v>
      </c>
      <c r="M33" s="72">
        <f>IF(VALUE(CostRemaining[#Headers])&lt;='Construction Dashboard'!$F44,IFERROR(VLOOKUP(CostRemaining[[#This Row],[Cost]],Upgrades[],MATCH("C"&amp;CostRemaining[#Headers],Upgrades[#Headers],0),FALSE),0)*MAX(0,SUM('Construction Dashboard'!$G44:N44)),0)</f>
        <v>0</v>
      </c>
      <c r="N33" s="72">
        <f>IF(VALUE(CostRemaining[#Headers])&lt;='Construction Dashboard'!$F44,IFERROR(VLOOKUP(CostRemaining[[#This Row],[Cost]],Upgrades[],MATCH("C"&amp;CostRemaining[#Headers],Upgrades[#Headers],0),FALSE),0)*MAX(0,SUM('Construction Dashboard'!$G44:O44)),0)</f>
        <v>0</v>
      </c>
      <c r="O33" s="72">
        <f>IF(VALUE(CostRemaining[#Headers])&lt;='Construction Dashboard'!$F44,IFERROR(VLOOKUP(CostRemaining[[#This Row],[Cost]],Upgrades[],MATCH("C"&amp;CostRemaining[#Headers],Upgrades[#Headers],0),FALSE),0)*MAX(0,SUM('Construction Dashboard'!$G44:P44)),0)</f>
        <v>0</v>
      </c>
      <c r="P33" s="72">
        <f>IF(VALUE(CostRemaining[#Headers])&lt;='Construction Dashboard'!$F44,IFERROR(VLOOKUP(CostRemaining[[#This Row],[Cost]],Upgrades[],MATCH("C"&amp;CostRemaining[#Headers],Upgrades[#Headers],0),FALSE),0)*MAX(0,SUM('Construction Dashboard'!$G44:Q44)),0)</f>
        <v>0</v>
      </c>
      <c r="Q33" s="72">
        <f>IF(VALUE(CostRemaining[#Headers])&lt;='Construction Dashboard'!$F44,IFERROR(VLOOKUP(CostRemaining[[#This Row],[Cost]],Upgrades[],MATCH("C"&amp;CostRemaining[#Headers],Upgrades[#Headers],0),FALSE),0)*MAX(0,SUM('Construction Dashboard'!$G44:R44)),0)</f>
        <v>0</v>
      </c>
      <c r="R33" s="72">
        <f>IF(CostRemaining[[#This Row],[MatchStr]]="IGNORE",0,SUM(CostRemaining[[#This Row],[1]:[12]]))</f>
        <v>0</v>
      </c>
    </row>
    <row r="34" spans="1:18">
      <c r="A34" s="26" t="s">
        <v>9</v>
      </c>
      <c r="B34" s="26" t="str">
        <f>VLOOKUP(CostRemaining[[#This Row],[Cost]],Upgrades[],2,FALSE)</f>
        <v>Building</v>
      </c>
      <c r="C34" s="26" t="str">
        <f>VLOOKUP(CostRemaining[[#This Row],[Cost]],Upgrades[],3,FALSE)</f>
        <v>Gold</v>
      </c>
      <c r="D34" s="171" t="str">
        <f>IF((IFERROR(MATCH(CostRemaining[[#This Row],[Cost]],'Construction Dashboard'!$P$19:$S$19,0),0)+IFERROR(MATCH(CostRemaining[[#This Row],[Cost]],'Construction Dashboard'!$P$20:$S$20,0),0))&gt;0,"IGNORE",CostRemaining[Kind]&amp;"-"&amp;CostRemaining[Resource])</f>
        <v>Building-Gold</v>
      </c>
      <c r="E34" s="71" t="str">
        <f>IFERROR(VLOOKUP(CostRemaining[[#This Row],[Cost]],Upgrades[],MATCH("C"&amp;MATCH(TRUE,INDEX(CostRemaining[[#This Row],[1]:[12]]&lt;&gt;0,),0),Upgrades[#Headers],0),FALSE),"")</f>
        <v/>
      </c>
      <c r="F34" s="72">
        <f>IF(VALUE(CostRemaining[#Headers])&lt;='Construction Dashboard'!$F45,IFERROR(VLOOKUP(CostRemaining[[#This Row],[Cost]],Upgrades[],MATCH("C"&amp;CostRemaining[#Headers],Upgrades[#Headers],0),FALSE),0)*MAX(0,SUM('Construction Dashboard'!$G45:G45)),0)</f>
        <v>0</v>
      </c>
      <c r="G34" s="72">
        <f>IF(VALUE(CostRemaining[#Headers])&lt;='Construction Dashboard'!$F45,IFERROR(VLOOKUP(CostRemaining[[#This Row],[Cost]],Upgrades[],MATCH("C"&amp;CostRemaining[#Headers],Upgrades[#Headers],0),FALSE),0)*MAX(0,SUM('Construction Dashboard'!$G45:H45)),0)</f>
        <v>0</v>
      </c>
      <c r="H34" s="72">
        <f>IF(VALUE(CostRemaining[#Headers])&lt;='Construction Dashboard'!$F45,IFERROR(VLOOKUP(CostRemaining[[#This Row],[Cost]],Upgrades[],MATCH("C"&amp;CostRemaining[#Headers],Upgrades[#Headers],0),FALSE),0)*MAX(0,SUM('Construction Dashboard'!$G45:I45)),0)</f>
        <v>0</v>
      </c>
      <c r="I34" s="72">
        <f>IF(VALUE(CostRemaining[#Headers])&lt;='Construction Dashboard'!$F45,IFERROR(VLOOKUP(CostRemaining[[#This Row],[Cost]],Upgrades[],MATCH("C"&amp;CostRemaining[#Headers],Upgrades[#Headers],0),FALSE),0)*MAX(0,SUM('Construction Dashboard'!$G45:J45)),0)</f>
        <v>0</v>
      </c>
      <c r="J34" s="72">
        <f>IF(VALUE(CostRemaining[#Headers])&lt;='Construction Dashboard'!$F45,IFERROR(VLOOKUP(CostRemaining[[#This Row],[Cost]],Upgrades[],MATCH("C"&amp;CostRemaining[#Headers],Upgrades[#Headers],0),FALSE),0)*MAX(0,SUM('Construction Dashboard'!$G45:K45)),0)</f>
        <v>0</v>
      </c>
      <c r="K34" s="72">
        <f>IF(VALUE(CostRemaining[#Headers])&lt;='Construction Dashboard'!$F45,IFERROR(VLOOKUP(CostRemaining[[#This Row],[Cost]],Upgrades[],MATCH("C"&amp;CostRemaining[#Headers],Upgrades[#Headers],0),FALSE),0)*MAX(0,SUM('Construction Dashboard'!$G45:L45)),0)</f>
        <v>0</v>
      </c>
      <c r="L34" s="72">
        <f>IF(VALUE(CostRemaining[#Headers])&lt;='Construction Dashboard'!$F45,IFERROR(VLOOKUP(CostRemaining[[#This Row],[Cost]],Upgrades[],MATCH("C"&amp;CostRemaining[#Headers],Upgrades[#Headers],0),FALSE),0)*MAX(0,SUM('Construction Dashboard'!$G45:M45)),0)</f>
        <v>0</v>
      </c>
      <c r="M34" s="72">
        <f>IF(VALUE(CostRemaining[#Headers])&lt;='Construction Dashboard'!$F45,IFERROR(VLOOKUP(CostRemaining[[#This Row],[Cost]],Upgrades[],MATCH("C"&amp;CostRemaining[#Headers],Upgrades[#Headers],0),FALSE),0)*MAX(0,SUM('Construction Dashboard'!$G45:N45)),0)</f>
        <v>0</v>
      </c>
      <c r="N34" s="72">
        <f>IF(VALUE(CostRemaining[#Headers])&lt;='Construction Dashboard'!$F45,IFERROR(VLOOKUP(CostRemaining[[#This Row],[Cost]],Upgrades[],MATCH("C"&amp;CostRemaining[#Headers],Upgrades[#Headers],0),FALSE),0)*MAX(0,SUM('Construction Dashboard'!$G45:O45)),0)</f>
        <v>0</v>
      </c>
      <c r="O34" s="72">
        <f>IF(VALUE(CostRemaining[#Headers])&lt;='Construction Dashboard'!$F45,IFERROR(VLOOKUP(CostRemaining[[#This Row],[Cost]],Upgrades[],MATCH("C"&amp;CostRemaining[#Headers],Upgrades[#Headers],0),FALSE),0)*MAX(0,SUM('Construction Dashboard'!$G45:P45)),0)</f>
        <v>0</v>
      </c>
      <c r="P34" s="72">
        <f>IF(VALUE(CostRemaining[#Headers])&lt;='Construction Dashboard'!$F45,IFERROR(VLOOKUP(CostRemaining[[#This Row],[Cost]],Upgrades[],MATCH("C"&amp;CostRemaining[#Headers],Upgrades[#Headers],0),FALSE),0)*MAX(0,SUM('Construction Dashboard'!$G45:Q45)),0)</f>
        <v>0</v>
      </c>
      <c r="Q34" s="72">
        <f>IF(VALUE(CostRemaining[#Headers])&lt;='Construction Dashboard'!$F45,IFERROR(VLOOKUP(CostRemaining[[#This Row],[Cost]],Upgrades[],MATCH("C"&amp;CostRemaining[#Headers],Upgrades[#Headers],0),FALSE),0)*MAX(0,SUM('Construction Dashboard'!$G45:R45)),0)</f>
        <v>0</v>
      </c>
      <c r="R34" s="72">
        <f>IF(CostRemaining[[#This Row],[MatchStr]]="IGNORE",0,SUM(CostRemaining[[#This Row],[1]:[12]]))</f>
        <v>0</v>
      </c>
    </row>
    <row r="35" spans="1:18">
      <c r="A35" s="26" t="s">
        <v>10</v>
      </c>
      <c r="B35" s="26" t="str">
        <f>VLOOKUP(CostRemaining[[#This Row],[Cost]],Upgrades[],2,FALSE)</f>
        <v>Building</v>
      </c>
      <c r="C35" s="26" t="str">
        <f>VLOOKUP(CostRemaining[[#This Row],[Cost]],Upgrades[],3,FALSE)</f>
        <v>Gold</v>
      </c>
      <c r="D35" s="171" t="str">
        <f>IF((IFERROR(MATCH(CostRemaining[[#This Row],[Cost]],'Construction Dashboard'!$P$19:$S$19,0),0)+IFERROR(MATCH(CostRemaining[[#This Row],[Cost]],'Construction Dashboard'!$P$20:$S$20,0),0))&gt;0,"IGNORE",CostRemaining[Kind]&amp;"-"&amp;CostRemaining[Resource])</f>
        <v>Building-Gold</v>
      </c>
      <c r="E35" s="71" t="str">
        <f>IFERROR(VLOOKUP(CostRemaining[[#This Row],[Cost]],Upgrades[],MATCH("C"&amp;MATCH(TRUE,INDEX(CostRemaining[[#This Row],[1]:[12]]&lt;&gt;0,),0),Upgrades[#Headers],0),FALSE),"")</f>
        <v/>
      </c>
      <c r="F35" s="72">
        <f>IF(VALUE(CostRemaining[#Headers])&lt;='Construction Dashboard'!$F46,IFERROR(VLOOKUP(CostRemaining[[#This Row],[Cost]],Upgrades[],MATCH("C"&amp;CostRemaining[#Headers],Upgrades[#Headers],0),FALSE),0)*MAX(0,SUM('Construction Dashboard'!$G46:G46)),0)</f>
        <v>0</v>
      </c>
      <c r="G35" s="72">
        <f>IF(VALUE(CostRemaining[#Headers])&lt;='Construction Dashboard'!$F46,IFERROR(VLOOKUP(CostRemaining[[#This Row],[Cost]],Upgrades[],MATCH("C"&amp;CostRemaining[#Headers],Upgrades[#Headers],0),FALSE),0)*MAX(0,SUM('Construction Dashboard'!$G46:H46)),0)</f>
        <v>0</v>
      </c>
      <c r="H35" s="72">
        <f>IF(VALUE(CostRemaining[#Headers])&lt;='Construction Dashboard'!$F46,IFERROR(VLOOKUP(CostRemaining[[#This Row],[Cost]],Upgrades[],MATCH("C"&amp;CostRemaining[#Headers],Upgrades[#Headers],0),FALSE),0)*MAX(0,SUM('Construction Dashboard'!$G46:I46)),0)</f>
        <v>0</v>
      </c>
      <c r="I35" s="72">
        <f>IF(VALUE(CostRemaining[#Headers])&lt;='Construction Dashboard'!$F46,IFERROR(VLOOKUP(CostRemaining[[#This Row],[Cost]],Upgrades[],MATCH("C"&amp;CostRemaining[#Headers],Upgrades[#Headers],0),FALSE),0)*MAX(0,SUM('Construction Dashboard'!$G46:J46)),0)</f>
        <v>0</v>
      </c>
      <c r="J35" s="72">
        <f>IF(VALUE(CostRemaining[#Headers])&lt;='Construction Dashboard'!$F46,IFERROR(VLOOKUP(CostRemaining[[#This Row],[Cost]],Upgrades[],MATCH("C"&amp;CostRemaining[#Headers],Upgrades[#Headers],0),FALSE),0)*MAX(0,SUM('Construction Dashboard'!$G46:K46)),0)</f>
        <v>0</v>
      </c>
      <c r="K35" s="72">
        <f>IF(VALUE(CostRemaining[#Headers])&lt;='Construction Dashboard'!$F46,IFERROR(VLOOKUP(CostRemaining[[#This Row],[Cost]],Upgrades[],MATCH("C"&amp;CostRemaining[#Headers],Upgrades[#Headers],0),FALSE),0)*MAX(0,SUM('Construction Dashboard'!$G46:L46)),0)</f>
        <v>0</v>
      </c>
      <c r="L35" s="72">
        <f>IF(VALUE(CostRemaining[#Headers])&lt;='Construction Dashboard'!$F46,IFERROR(VLOOKUP(CostRemaining[[#This Row],[Cost]],Upgrades[],MATCH("C"&amp;CostRemaining[#Headers],Upgrades[#Headers],0),FALSE),0)*MAX(0,SUM('Construction Dashboard'!$G46:M46)),0)</f>
        <v>0</v>
      </c>
      <c r="M35" s="72">
        <f>IF(VALUE(CostRemaining[#Headers])&lt;='Construction Dashboard'!$F46,IFERROR(VLOOKUP(CostRemaining[[#This Row],[Cost]],Upgrades[],MATCH("C"&amp;CostRemaining[#Headers],Upgrades[#Headers],0),FALSE),0)*MAX(0,SUM('Construction Dashboard'!$G46:N46)),0)</f>
        <v>0</v>
      </c>
      <c r="N35" s="72">
        <f>IF(VALUE(CostRemaining[#Headers])&lt;='Construction Dashboard'!$F46,IFERROR(VLOOKUP(CostRemaining[[#This Row],[Cost]],Upgrades[],MATCH("C"&amp;CostRemaining[#Headers],Upgrades[#Headers],0),FALSE),0)*MAX(0,SUM('Construction Dashboard'!$G46:O46)),0)</f>
        <v>0</v>
      </c>
      <c r="O35" s="72">
        <f>IF(VALUE(CostRemaining[#Headers])&lt;='Construction Dashboard'!$F46,IFERROR(VLOOKUP(CostRemaining[[#This Row],[Cost]],Upgrades[],MATCH("C"&amp;CostRemaining[#Headers],Upgrades[#Headers],0),FALSE),0)*MAX(0,SUM('Construction Dashboard'!$G46:P46)),0)</f>
        <v>0</v>
      </c>
      <c r="P35" s="72">
        <f>IF(VALUE(CostRemaining[#Headers])&lt;='Construction Dashboard'!$F46,IFERROR(VLOOKUP(CostRemaining[[#This Row],[Cost]],Upgrades[],MATCH("C"&amp;CostRemaining[#Headers],Upgrades[#Headers],0),FALSE),0)*MAX(0,SUM('Construction Dashboard'!$G46:Q46)),0)</f>
        <v>0</v>
      </c>
      <c r="Q35" s="72">
        <f>IF(VALUE(CostRemaining[#Headers])&lt;='Construction Dashboard'!$F46,IFERROR(VLOOKUP(CostRemaining[[#This Row],[Cost]],Upgrades[],MATCH("C"&amp;CostRemaining[#Headers],Upgrades[#Headers],0),FALSE),0)*MAX(0,SUM('Construction Dashboard'!$G46:R46)),0)</f>
        <v>0</v>
      </c>
      <c r="R35" s="72">
        <f>IF(CostRemaining[[#This Row],[MatchStr]]="IGNORE",0,SUM(CostRemaining[[#This Row],[1]:[12]]))</f>
        <v>0</v>
      </c>
    </row>
    <row r="36" spans="1:18">
      <c r="A36" s="26" t="s">
        <v>28</v>
      </c>
      <c r="B36" s="26" t="str">
        <f>VLOOKUP(CostRemaining[[#This Row],[Cost]],Upgrades[],2,FALSE)</f>
        <v>Building</v>
      </c>
      <c r="C36" s="26" t="str">
        <f>VLOOKUP(CostRemaining[[#This Row],[Cost]],Upgrades[],3,FALSE)</f>
        <v>Gold</v>
      </c>
      <c r="D36" s="171" t="str">
        <f>IF((IFERROR(MATCH(CostRemaining[[#This Row],[Cost]],'Construction Dashboard'!$P$19:$S$19,0),0)+IFERROR(MATCH(CostRemaining[[#This Row],[Cost]],'Construction Dashboard'!$P$20:$S$20,0),0))&gt;0,"IGNORE",CostRemaining[Kind]&amp;"-"&amp;CostRemaining[Resource])</f>
        <v>Building-Gold</v>
      </c>
      <c r="E36" s="71" t="str">
        <f>IFERROR(VLOOKUP(CostRemaining[[#This Row],[Cost]],Upgrades[],MATCH("C"&amp;MATCH(TRUE,INDEX(CostRemaining[[#This Row],[1]:[12]]&lt;&gt;0,),0),Upgrades[#Headers],0),FALSE),"")</f>
        <v/>
      </c>
      <c r="F36" s="72">
        <f>IF(VALUE(CostRemaining[#Headers])&lt;='Construction Dashboard'!$F47,IFERROR(VLOOKUP(CostRemaining[[#This Row],[Cost]],Upgrades[],MATCH("C"&amp;CostRemaining[#Headers],Upgrades[#Headers],0),FALSE),0)*MAX(0,SUM('Construction Dashboard'!$G47:G47)),0)</f>
        <v>0</v>
      </c>
      <c r="G36" s="72">
        <f>IF(VALUE(CostRemaining[#Headers])&lt;='Construction Dashboard'!$F47,IFERROR(VLOOKUP(CostRemaining[[#This Row],[Cost]],Upgrades[],MATCH("C"&amp;CostRemaining[#Headers],Upgrades[#Headers],0),FALSE),0)*MAX(0,SUM('Construction Dashboard'!$G47:H47)),0)</f>
        <v>0</v>
      </c>
      <c r="H36" s="72">
        <f>IF(VALUE(CostRemaining[#Headers])&lt;='Construction Dashboard'!$F47,IFERROR(VLOOKUP(CostRemaining[[#This Row],[Cost]],Upgrades[],MATCH("C"&amp;CostRemaining[#Headers],Upgrades[#Headers],0),FALSE),0)*MAX(0,SUM('Construction Dashboard'!$G47:I47)),0)</f>
        <v>0</v>
      </c>
      <c r="I36" s="72">
        <f>IF(VALUE(CostRemaining[#Headers])&lt;='Construction Dashboard'!$F47,IFERROR(VLOOKUP(CostRemaining[[#This Row],[Cost]],Upgrades[],MATCH("C"&amp;CostRemaining[#Headers],Upgrades[#Headers],0),FALSE),0)*MAX(0,SUM('Construction Dashboard'!$G47:J47)),0)</f>
        <v>0</v>
      </c>
      <c r="J36" s="72">
        <f>IF(VALUE(CostRemaining[#Headers])&lt;='Construction Dashboard'!$F47,IFERROR(VLOOKUP(CostRemaining[[#This Row],[Cost]],Upgrades[],MATCH("C"&amp;CostRemaining[#Headers],Upgrades[#Headers],0),FALSE),0)*MAX(0,SUM('Construction Dashboard'!$G47:K47)),0)</f>
        <v>0</v>
      </c>
      <c r="K36" s="72">
        <f>IF(VALUE(CostRemaining[#Headers])&lt;='Construction Dashboard'!$F47,IFERROR(VLOOKUP(CostRemaining[[#This Row],[Cost]],Upgrades[],MATCH("C"&amp;CostRemaining[#Headers],Upgrades[#Headers],0),FALSE),0)*MAX(0,SUM('Construction Dashboard'!$G47:L47)),0)</f>
        <v>0</v>
      </c>
      <c r="L36" s="72">
        <f>IF(VALUE(CostRemaining[#Headers])&lt;='Construction Dashboard'!$F47,IFERROR(VLOOKUP(CostRemaining[[#This Row],[Cost]],Upgrades[],MATCH("C"&amp;CostRemaining[#Headers],Upgrades[#Headers],0),FALSE),0)*MAX(0,SUM('Construction Dashboard'!$G47:M47)),0)</f>
        <v>0</v>
      </c>
      <c r="M36" s="72">
        <f>IF(VALUE(CostRemaining[#Headers])&lt;='Construction Dashboard'!$F47,IFERROR(VLOOKUP(CostRemaining[[#This Row],[Cost]],Upgrades[],MATCH("C"&amp;CostRemaining[#Headers],Upgrades[#Headers],0),FALSE),0)*MAX(0,SUM('Construction Dashboard'!$G47:N47)),0)</f>
        <v>0</v>
      </c>
      <c r="N36" s="72">
        <f>IF(VALUE(CostRemaining[#Headers])&lt;='Construction Dashboard'!$F47,IFERROR(VLOOKUP(CostRemaining[[#This Row],[Cost]],Upgrades[],MATCH("C"&amp;CostRemaining[#Headers],Upgrades[#Headers],0),FALSE),0)*MAX(0,SUM('Construction Dashboard'!$G47:O47)),0)</f>
        <v>0</v>
      </c>
      <c r="O36" s="72">
        <f>IF(VALUE(CostRemaining[#Headers])&lt;='Construction Dashboard'!$F47,IFERROR(VLOOKUP(CostRemaining[[#This Row],[Cost]],Upgrades[],MATCH("C"&amp;CostRemaining[#Headers],Upgrades[#Headers],0),FALSE),0)*MAX(0,SUM('Construction Dashboard'!$G47:P47)),0)</f>
        <v>0</v>
      </c>
      <c r="P36" s="72">
        <f>IF(VALUE(CostRemaining[#Headers])&lt;='Construction Dashboard'!$F47,IFERROR(VLOOKUP(CostRemaining[[#This Row],[Cost]],Upgrades[],MATCH("C"&amp;CostRemaining[#Headers],Upgrades[#Headers],0),FALSE),0)*MAX(0,SUM('Construction Dashboard'!$G47:Q47)),0)</f>
        <v>0</v>
      </c>
      <c r="Q36" s="72">
        <f>IF(VALUE(CostRemaining[#Headers])&lt;='Construction Dashboard'!$F47,IFERROR(VLOOKUP(CostRemaining[[#This Row],[Cost]],Upgrades[],MATCH("C"&amp;CostRemaining[#Headers],Upgrades[#Headers],0),FALSE),0)*MAX(0,SUM('Construction Dashboard'!$G47:R47)),0)</f>
        <v>0</v>
      </c>
      <c r="R36" s="72">
        <f>IF(CostRemaining[[#This Row],[MatchStr]]="IGNORE",0,SUM(CostRemaining[[#This Row],[1]:[12]]))</f>
        <v>0</v>
      </c>
    </row>
    <row r="37" spans="1:18">
      <c r="A37" s="26" t="s">
        <v>11</v>
      </c>
      <c r="B37" s="26" t="str">
        <f>VLOOKUP(CostRemaining[[#This Row],[Cost]],Upgrades[],2,FALSE)</f>
        <v>Building</v>
      </c>
      <c r="C37" s="26" t="str">
        <f>VLOOKUP(CostRemaining[[#This Row],[Cost]],Upgrades[],3,FALSE)</f>
        <v>Gold</v>
      </c>
      <c r="D37" s="171" t="str">
        <f>IF((IFERROR(MATCH(CostRemaining[[#This Row],[Cost]],'Construction Dashboard'!$P$19:$S$19,0),0)+IFERROR(MATCH(CostRemaining[[#This Row],[Cost]],'Construction Dashboard'!$P$20:$S$20,0),0))&gt;0,"IGNORE",CostRemaining[Kind]&amp;"-"&amp;CostRemaining[Resource])</f>
        <v>Building-Gold</v>
      </c>
      <c r="E37" s="71" t="str">
        <f>IFERROR(VLOOKUP(CostRemaining[[#This Row],[Cost]],Upgrades[],MATCH("C"&amp;MATCH(TRUE,INDEX(CostRemaining[[#This Row],[1]:[12]]&lt;&gt;0,),0),Upgrades[#Headers],0),FALSE),"")</f>
        <v/>
      </c>
      <c r="F37" s="72">
        <f>IF(VALUE(CostRemaining[#Headers])&lt;='Construction Dashboard'!$F48,IFERROR(VLOOKUP(CostRemaining[[#This Row],[Cost]],Upgrades[],MATCH("C"&amp;CostRemaining[#Headers],Upgrades[#Headers],0),FALSE),0)*MAX(0,SUM('Construction Dashboard'!$G48:G48)),0)</f>
        <v>0</v>
      </c>
      <c r="G37" s="72">
        <f>IF(VALUE(CostRemaining[#Headers])&lt;='Construction Dashboard'!$F48,IFERROR(VLOOKUP(CostRemaining[[#This Row],[Cost]],Upgrades[],MATCH("C"&amp;CostRemaining[#Headers],Upgrades[#Headers],0),FALSE),0)*MAX(0,SUM('Construction Dashboard'!$G48:H48)),0)</f>
        <v>0</v>
      </c>
      <c r="H37" s="72">
        <f>IF(VALUE(CostRemaining[#Headers])&lt;='Construction Dashboard'!$F48,IFERROR(VLOOKUP(CostRemaining[[#This Row],[Cost]],Upgrades[],MATCH("C"&amp;CostRemaining[#Headers],Upgrades[#Headers],0),FALSE),0)*MAX(0,SUM('Construction Dashboard'!$G48:I48)),0)</f>
        <v>0</v>
      </c>
      <c r="I37" s="72">
        <f>IF(VALUE(CostRemaining[#Headers])&lt;='Construction Dashboard'!$F48,IFERROR(VLOOKUP(CostRemaining[[#This Row],[Cost]],Upgrades[],MATCH("C"&amp;CostRemaining[#Headers],Upgrades[#Headers],0),FALSE),0)*MAX(0,SUM('Construction Dashboard'!$G48:J48)),0)</f>
        <v>0</v>
      </c>
      <c r="J37" s="72">
        <f>IF(VALUE(CostRemaining[#Headers])&lt;='Construction Dashboard'!$F48,IFERROR(VLOOKUP(CostRemaining[[#This Row],[Cost]],Upgrades[],MATCH("C"&amp;CostRemaining[#Headers],Upgrades[#Headers],0),FALSE),0)*MAX(0,SUM('Construction Dashboard'!$G48:K48)),0)</f>
        <v>0</v>
      </c>
      <c r="K37" s="72">
        <f>IF(VALUE(CostRemaining[#Headers])&lt;='Construction Dashboard'!$F48,IFERROR(VLOOKUP(CostRemaining[[#This Row],[Cost]],Upgrades[],MATCH("C"&amp;CostRemaining[#Headers],Upgrades[#Headers],0),FALSE),0)*MAX(0,SUM('Construction Dashboard'!$G48:L48)),0)</f>
        <v>0</v>
      </c>
      <c r="L37" s="72">
        <f>IF(VALUE(CostRemaining[#Headers])&lt;='Construction Dashboard'!$F48,IFERROR(VLOOKUP(CostRemaining[[#This Row],[Cost]],Upgrades[],MATCH("C"&amp;CostRemaining[#Headers],Upgrades[#Headers],0),FALSE),0)*MAX(0,SUM('Construction Dashboard'!$G48:M48)),0)</f>
        <v>0</v>
      </c>
      <c r="M37" s="72">
        <f>IF(VALUE(CostRemaining[#Headers])&lt;='Construction Dashboard'!$F48,IFERROR(VLOOKUP(CostRemaining[[#This Row],[Cost]],Upgrades[],MATCH("C"&amp;CostRemaining[#Headers],Upgrades[#Headers],0),FALSE),0)*MAX(0,SUM('Construction Dashboard'!$G48:N48)),0)</f>
        <v>0</v>
      </c>
      <c r="N37" s="72">
        <f>IF(VALUE(CostRemaining[#Headers])&lt;='Construction Dashboard'!$F48,IFERROR(VLOOKUP(CostRemaining[[#This Row],[Cost]],Upgrades[],MATCH("C"&amp;CostRemaining[#Headers],Upgrades[#Headers],0),FALSE),0)*MAX(0,SUM('Construction Dashboard'!$G48:O48)),0)</f>
        <v>0</v>
      </c>
      <c r="O37" s="72">
        <f>IF(VALUE(CostRemaining[#Headers])&lt;='Construction Dashboard'!$F48,IFERROR(VLOOKUP(CostRemaining[[#This Row],[Cost]],Upgrades[],MATCH("C"&amp;CostRemaining[#Headers],Upgrades[#Headers],0),FALSE),0)*MAX(0,SUM('Construction Dashboard'!$G48:P48)),0)</f>
        <v>0</v>
      </c>
      <c r="P37" s="72">
        <f>IF(VALUE(CostRemaining[#Headers])&lt;='Construction Dashboard'!$F48,IFERROR(VLOOKUP(CostRemaining[[#This Row],[Cost]],Upgrades[],MATCH("C"&amp;CostRemaining[#Headers],Upgrades[#Headers],0),FALSE),0)*MAX(0,SUM('Construction Dashboard'!$G48:Q48)),0)</f>
        <v>0</v>
      </c>
      <c r="Q37" s="72">
        <f>IF(VALUE(CostRemaining[#Headers])&lt;='Construction Dashboard'!$F48,IFERROR(VLOOKUP(CostRemaining[[#This Row],[Cost]],Upgrades[],MATCH("C"&amp;CostRemaining[#Headers],Upgrades[#Headers],0),FALSE),0)*MAX(0,SUM('Construction Dashboard'!$G48:R48)),0)</f>
        <v>0</v>
      </c>
      <c r="R37" s="72">
        <f>IF(CostRemaining[[#This Row],[MatchStr]]="IGNORE",0,SUM(CostRemaining[[#This Row],[1]:[12]]))</f>
        <v>0</v>
      </c>
    </row>
    <row r="38" spans="1:18">
      <c r="A38" s="26" t="s">
        <v>12</v>
      </c>
      <c r="B38" s="26" t="str">
        <f>VLOOKUP(CostRemaining[[#This Row],[Cost]],Upgrades[],2,FALSE)</f>
        <v>Building</v>
      </c>
      <c r="C38" s="26" t="str">
        <f>VLOOKUP(CostRemaining[[#This Row],[Cost]],Upgrades[],3,FALSE)</f>
        <v>Gold</v>
      </c>
      <c r="D38" s="171" t="str">
        <f>IF((IFERROR(MATCH(CostRemaining[[#This Row],[Cost]],'Construction Dashboard'!$P$19:$S$19,0),0)+IFERROR(MATCH(CostRemaining[[#This Row],[Cost]],'Construction Dashboard'!$P$20:$S$20,0),0))&gt;0,"IGNORE",CostRemaining[Kind]&amp;"-"&amp;CostRemaining[Resource])</f>
        <v>Building-Gold</v>
      </c>
      <c r="E38" s="71" t="str">
        <f>IFERROR(VLOOKUP(CostRemaining[[#This Row],[Cost]],Upgrades[],MATCH("C"&amp;MATCH(TRUE,INDEX(CostRemaining[[#This Row],[1]:[12]]&lt;&gt;0,),0),Upgrades[#Headers],0),FALSE),"")</f>
        <v/>
      </c>
      <c r="F38" s="72">
        <f>IF(VALUE(CostRemaining[#Headers])&lt;='Construction Dashboard'!$F49,IFERROR(VLOOKUP(CostRemaining[[#This Row],[Cost]],Upgrades[],MATCH("C"&amp;CostRemaining[#Headers],Upgrades[#Headers],0),FALSE),0)*MAX(0,SUM('Construction Dashboard'!$G49:G49)),0)</f>
        <v>0</v>
      </c>
      <c r="G38" s="72">
        <f>IF(VALUE(CostRemaining[#Headers])&lt;='Construction Dashboard'!$F49,IFERROR(VLOOKUP(CostRemaining[[#This Row],[Cost]],Upgrades[],MATCH("C"&amp;CostRemaining[#Headers],Upgrades[#Headers],0),FALSE),0)*MAX(0,SUM('Construction Dashboard'!$G49:H49)),0)</f>
        <v>0</v>
      </c>
      <c r="H38" s="72">
        <f>IF(VALUE(CostRemaining[#Headers])&lt;='Construction Dashboard'!$F49,IFERROR(VLOOKUP(CostRemaining[[#This Row],[Cost]],Upgrades[],MATCH("C"&amp;CostRemaining[#Headers],Upgrades[#Headers],0),FALSE),0)*MAX(0,SUM('Construction Dashboard'!$G49:I49)),0)</f>
        <v>0</v>
      </c>
      <c r="I38" s="72">
        <f>IF(VALUE(CostRemaining[#Headers])&lt;='Construction Dashboard'!$F49,IFERROR(VLOOKUP(CostRemaining[[#This Row],[Cost]],Upgrades[],MATCH("C"&amp;CostRemaining[#Headers],Upgrades[#Headers],0),FALSE),0)*MAX(0,SUM('Construction Dashboard'!$G49:J49)),0)</f>
        <v>0</v>
      </c>
      <c r="J38" s="72">
        <f>IF(VALUE(CostRemaining[#Headers])&lt;='Construction Dashboard'!$F49,IFERROR(VLOOKUP(CostRemaining[[#This Row],[Cost]],Upgrades[],MATCH("C"&amp;CostRemaining[#Headers],Upgrades[#Headers],0),FALSE),0)*MAX(0,SUM('Construction Dashboard'!$G49:K49)),0)</f>
        <v>0</v>
      </c>
      <c r="K38" s="72">
        <f>IF(VALUE(CostRemaining[#Headers])&lt;='Construction Dashboard'!$F49,IFERROR(VLOOKUP(CostRemaining[[#This Row],[Cost]],Upgrades[],MATCH("C"&amp;CostRemaining[#Headers],Upgrades[#Headers],0),FALSE),0)*MAX(0,SUM('Construction Dashboard'!$G49:L49)),0)</f>
        <v>0</v>
      </c>
      <c r="L38" s="72">
        <f>IF(VALUE(CostRemaining[#Headers])&lt;='Construction Dashboard'!$F49,IFERROR(VLOOKUP(CostRemaining[[#This Row],[Cost]],Upgrades[],MATCH("C"&amp;CostRemaining[#Headers],Upgrades[#Headers],0),FALSE),0)*MAX(0,SUM('Construction Dashboard'!$G49:M49)),0)</f>
        <v>0</v>
      </c>
      <c r="M38" s="72">
        <f>IF(VALUE(CostRemaining[#Headers])&lt;='Construction Dashboard'!$F49,IFERROR(VLOOKUP(CostRemaining[[#This Row],[Cost]],Upgrades[],MATCH("C"&amp;CostRemaining[#Headers],Upgrades[#Headers],0),FALSE),0)*MAX(0,SUM('Construction Dashboard'!$G49:N49)),0)</f>
        <v>0</v>
      </c>
      <c r="N38" s="72">
        <f>IF(VALUE(CostRemaining[#Headers])&lt;='Construction Dashboard'!$F49,IFERROR(VLOOKUP(CostRemaining[[#This Row],[Cost]],Upgrades[],MATCH("C"&amp;CostRemaining[#Headers],Upgrades[#Headers],0),FALSE),0)*MAX(0,SUM('Construction Dashboard'!$G49:O49)),0)</f>
        <v>0</v>
      </c>
      <c r="O38" s="72">
        <f>IF(VALUE(CostRemaining[#Headers])&lt;='Construction Dashboard'!$F49,IFERROR(VLOOKUP(CostRemaining[[#This Row],[Cost]],Upgrades[],MATCH("C"&amp;CostRemaining[#Headers],Upgrades[#Headers],0),FALSE),0)*MAX(0,SUM('Construction Dashboard'!$G49:P49)),0)</f>
        <v>0</v>
      </c>
      <c r="P38" s="72">
        <f>IF(VALUE(CostRemaining[#Headers])&lt;='Construction Dashboard'!$F49,IFERROR(VLOOKUP(CostRemaining[[#This Row],[Cost]],Upgrades[],MATCH("C"&amp;CostRemaining[#Headers],Upgrades[#Headers],0),FALSE),0)*MAX(0,SUM('Construction Dashboard'!$G49:Q49)),0)</f>
        <v>0</v>
      </c>
      <c r="Q38" s="72">
        <f>IF(VALUE(CostRemaining[#Headers])&lt;='Construction Dashboard'!$F49,IFERROR(VLOOKUP(CostRemaining[[#This Row],[Cost]],Upgrades[],MATCH("C"&amp;CostRemaining[#Headers],Upgrades[#Headers],0),FALSE),0)*MAX(0,SUM('Construction Dashboard'!$G49:R49)),0)</f>
        <v>0</v>
      </c>
      <c r="R38" s="72">
        <f>IF(CostRemaining[[#This Row],[MatchStr]]="IGNORE",0,SUM(CostRemaining[[#This Row],[1]:[12]]))</f>
        <v>0</v>
      </c>
    </row>
    <row r="39" spans="1:18">
      <c r="A39" s="26" t="s">
        <v>29</v>
      </c>
      <c r="B39" s="26" t="str">
        <f>VLOOKUP(CostRemaining[[#This Row],[Cost]],Upgrades[],2,FALSE)</f>
        <v>Building</v>
      </c>
      <c r="C39" s="26" t="str">
        <f>VLOOKUP(CostRemaining[[#This Row],[Cost]],Upgrades[],3,FALSE)</f>
        <v>Gold</v>
      </c>
      <c r="D39" s="171" t="str">
        <f>IF((IFERROR(MATCH(CostRemaining[[#This Row],[Cost]],'Construction Dashboard'!$P$19:$S$19,0),0)+IFERROR(MATCH(CostRemaining[[#This Row],[Cost]],'Construction Dashboard'!$P$20:$S$20,0),0))&gt;0,"IGNORE",CostRemaining[Kind]&amp;"-"&amp;CostRemaining[Resource])</f>
        <v>Building-Gold</v>
      </c>
      <c r="E39" s="71" t="str">
        <f>IFERROR(VLOOKUP(CostRemaining[[#This Row],[Cost]],Upgrades[],MATCH("C"&amp;MATCH(TRUE,INDEX(CostRemaining[[#This Row],[1]:[12]]&lt;&gt;0,),0),Upgrades[#Headers],0),FALSE),"")</f>
        <v/>
      </c>
      <c r="F39" s="72">
        <f>IF(VALUE(CostRemaining[#Headers])&lt;='Construction Dashboard'!$F50,IFERROR(VLOOKUP(CostRemaining[[#This Row],[Cost]],Upgrades[],MATCH("C"&amp;CostRemaining[#Headers],Upgrades[#Headers],0),FALSE),0)*MAX(0,SUM('Construction Dashboard'!$G50:G50)),0)</f>
        <v>0</v>
      </c>
      <c r="G39" s="72">
        <f>IF(VALUE(CostRemaining[#Headers])&lt;='Construction Dashboard'!$F50,IFERROR(VLOOKUP(CostRemaining[[#This Row],[Cost]],Upgrades[],MATCH("C"&amp;CostRemaining[#Headers],Upgrades[#Headers],0),FALSE),0)*MAX(0,SUM('Construction Dashboard'!$G50:H50)),0)</f>
        <v>0</v>
      </c>
      <c r="H39" s="72">
        <f>IF(VALUE(CostRemaining[#Headers])&lt;='Construction Dashboard'!$F50,IFERROR(VLOOKUP(CostRemaining[[#This Row],[Cost]],Upgrades[],MATCH("C"&amp;CostRemaining[#Headers],Upgrades[#Headers],0),FALSE),0)*MAX(0,SUM('Construction Dashboard'!$G50:I50)),0)</f>
        <v>0</v>
      </c>
      <c r="I39" s="72">
        <f>IF(VALUE(CostRemaining[#Headers])&lt;='Construction Dashboard'!$F50,IFERROR(VLOOKUP(CostRemaining[[#This Row],[Cost]],Upgrades[],MATCH("C"&amp;CostRemaining[#Headers],Upgrades[#Headers],0),FALSE),0)*MAX(0,SUM('Construction Dashboard'!$G50:J50)),0)</f>
        <v>0</v>
      </c>
      <c r="J39" s="72">
        <f>IF(VALUE(CostRemaining[#Headers])&lt;='Construction Dashboard'!$F50,IFERROR(VLOOKUP(CostRemaining[[#This Row],[Cost]],Upgrades[],MATCH("C"&amp;CostRemaining[#Headers],Upgrades[#Headers],0),FALSE),0)*MAX(0,SUM('Construction Dashboard'!$G50:K50)),0)</f>
        <v>0</v>
      </c>
      <c r="K39" s="72">
        <f>IF(VALUE(CostRemaining[#Headers])&lt;='Construction Dashboard'!$F50,IFERROR(VLOOKUP(CostRemaining[[#This Row],[Cost]],Upgrades[],MATCH("C"&amp;CostRemaining[#Headers],Upgrades[#Headers],0),FALSE),0)*MAX(0,SUM('Construction Dashboard'!$G50:L50)),0)</f>
        <v>0</v>
      </c>
      <c r="L39" s="72">
        <f>IF(VALUE(CostRemaining[#Headers])&lt;='Construction Dashboard'!$F50,IFERROR(VLOOKUP(CostRemaining[[#This Row],[Cost]],Upgrades[],MATCH("C"&amp;CostRemaining[#Headers],Upgrades[#Headers],0),FALSE),0)*MAX(0,SUM('Construction Dashboard'!$G50:M50)),0)</f>
        <v>0</v>
      </c>
      <c r="M39" s="72">
        <f>IF(VALUE(CostRemaining[#Headers])&lt;='Construction Dashboard'!$F50,IFERROR(VLOOKUP(CostRemaining[[#This Row],[Cost]],Upgrades[],MATCH("C"&amp;CostRemaining[#Headers],Upgrades[#Headers],0),FALSE),0)*MAX(0,SUM('Construction Dashboard'!$G50:N50)),0)</f>
        <v>0</v>
      </c>
      <c r="N39" s="72">
        <f>IF(VALUE(CostRemaining[#Headers])&lt;='Construction Dashboard'!$F50,IFERROR(VLOOKUP(CostRemaining[[#This Row],[Cost]],Upgrades[],MATCH("C"&amp;CostRemaining[#Headers],Upgrades[#Headers],0),FALSE),0)*MAX(0,SUM('Construction Dashboard'!$G50:O50)),0)</f>
        <v>0</v>
      </c>
      <c r="O39" s="72">
        <f>IF(VALUE(CostRemaining[#Headers])&lt;='Construction Dashboard'!$F50,IFERROR(VLOOKUP(CostRemaining[[#This Row],[Cost]],Upgrades[],MATCH("C"&amp;CostRemaining[#Headers],Upgrades[#Headers],0),FALSE),0)*MAX(0,SUM('Construction Dashboard'!$G50:P50)),0)</f>
        <v>0</v>
      </c>
      <c r="P39" s="72">
        <f>IF(VALUE(CostRemaining[#Headers])&lt;='Construction Dashboard'!$F50,IFERROR(VLOOKUP(CostRemaining[[#This Row],[Cost]],Upgrades[],MATCH("C"&amp;CostRemaining[#Headers],Upgrades[#Headers],0),FALSE),0)*MAX(0,SUM('Construction Dashboard'!$G50:Q50)),0)</f>
        <v>0</v>
      </c>
      <c r="Q39" s="72">
        <f>IF(VALUE(CostRemaining[#Headers])&lt;='Construction Dashboard'!$F50,IFERROR(VLOOKUP(CostRemaining[[#This Row],[Cost]],Upgrades[],MATCH("C"&amp;CostRemaining[#Headers],Upgrades[#Headers],0),FALSE),0)*MAX(0,SUM('Construction Dashboard'!$G50:R50)),0)</f>
        <v>0</v>
      </c>
      <c r="R39" s="72">
        <f>IF(CostRemaining[[#This Row],[MatchStr]]="IGNORE",0,SUM(CostRemaining[[#This Row],[1]:[12]]))</f>
        <v>0</v>
      </c>
    </row>
    <row r="40" spans="1:18">
      <c r="A40" s="26" t="s">
        <v>106</v>
      </c>
      <c r="B40" s="73" t="str">
        <f>VLOOKUP(CostRemaining[[#This Row],[Cost]],Upgrades[],2,FALSE)</f>
        <v>Building</v>
      </c>
      <c r="C40" s="73" t="str">
        <f>VLOOKUP(CostRemaining[[#This Row],[Cost]],Upgrades[],3,FALSE)</f>
        <v>Dark Elixir</v>
      </c>
      <c r="D40" s="172" t="str">
        <f>IF((IFERROR(MATCH(CostRemaining[[#This Row],[Cost]],'Construction Dashboard'!$P$19:$S$19,0),0)+IFERROR(MATCH(CostRemaining[[#This Row],[Cost]],'Construction Dashboard'!$P$20:$S$20,0),0))&gt;0,"IGNORE",CostRemaining[Kind]&amp;"-"&amp;CostRemaining[Resource])</f>
        <v>Building-Dark Elixir</v>
      </c>
      <c r="E40" s="71" t="str">
        <f>IFERROR(VLOOKUP(CostRemaining[[#This Row],[Cost]],Upgrades[],MATCH("C"&amp;MATCH(TRUE,INDEX(CostRemaining[[#This Row],[1]:[12]]&lt;&gt;0,),0),Upgrades[#Headers],0),FALSE),"")</f>
        <v/>
      </c>
      <c r="F40" s="72">
        <f>IF(VALUE(CostRemaining[#Headers])&lt;='Construction Dashboard'!$F51,IFERROR(VLOOKUP(CostRemaining[[#This Row],[Cost]],Upgrades[],MATCH("C"&amp;CostRemaining[#Headers],Upgrades[#Headers],0),FALSE),0)*MAX(0,SUM('Construction Dashboard'!$G51:G51)),0)</f>
        <v>0</v>
      </c>
      <c r="G40" s="72">
        <f>IF(VALUE(CostRemaining[#Headers])&lt;='Construction Dashboard'!$F51,IFERROR(VLOOKUP(CostRemaining[[#This Row],[Cost]],Upgrades[],MATCH("C"&amp;CostRemaining[#Headers],Upgrades[#Headers],0),FALSE),0)*MAX(0,SUM('Construction Dashboard'!$G51:H51)),0)</f>
        <v>0</v>
      </c>
      <c r="H40" s="72">
        <f>IF(VALUE(CostRemaining[#Headers])&lt;='Construction Dashboard'!$F51,IFERROR(VLOOKUP(CostRemaining[[#This Row],[Cost]],Upgrades[],MATCH("C"&amp;CostRemaining[#Headers],Upgrades[#Headers],0),FALSE),0)*MAX(0,SUM('Construction Dashboard'!$G51:I51)),0)</f>
        <v>0</v>
      </c>
      <c r="I40" s="72">
        <f>IF(VALUE(CostRemaining[#Headers])&lt;='Construction Dashboard'!$F51,IFERROR(VLOOKUP(CostRemaining[[#This Row],[Cost]],Upgrades[],MATCH("C"&amp;CostRemaining[#Headers],Upgrades[#Headers],0),FALSE),0)*MAX(0,SUM('Construction Dashboard'!$G51:J51)),0)</f>
        <v>0</v>
      </c>
      <c r="J40" s="72">
        <f>IF(VALUE(CostRemaining[#Headers])&lt;='Construction Dashboard'!$F51,IFERROR(VLOOKUP(CostRemaining[[#This Row],[Cost]],Upgrades[],MATCH("C"&amp;CostRemaining[#Headers],Upgrades[#Headers],0),FALSE),0)*MAX(0,SUM('Construction Dashboard'!$G51:K51)),0)</f>
        <v>0</v>
      </c>
      <c r="K40" s="72">
        <f>IF(VALUE(CostRemaining[#Headers])&lt;='Construction Dashboard'!$F51,IFERROR(VLOOKUP(CostRemaining[[#This Row],[Cost]],Upgrades[],MATCH("C"&amp;CostRemaining[#Headers],Upgrades[#Headers],0),FALSE),0)*MAX(0,SUM('Construction Dashboard'!$G51:L51)),0)</f>
        <v>0</v>
      </c>
      <c r="L40" s="72">
        <f>IF(VALUE(CostRemaining[#Headers])&lt;='Construction Dashboard'!$F51,IFERROR(VLOOKUP(CostRemaining[[#This Row],[Cost]],Upgrades[],MATCH("C"&amp;CostRemaining[#Headers],Upgrades[#Headers],0),FALSE),0)*MAX(0,SUM('Construction Dashboard'!$G51:M51)),0)</f>
        <v>0</v>
      </c>
      <c r="M40" s="72">
        <f>IF(VALUE(CostRemaining[#Headers])&lt;='Construction Dashboard'!$F51,IFERROR(VLOOKUP(CostRemaining[[#This Row],[Cost]],Upgrades[],MATCH("C"&amp;CostRemaining[#Headers],Upgrades[#Headers],0),FALSE),0)*MAX(0,SUM('Construction Dashboard'!$G51:N51)),0)</f>
        <v>0</v>
      </c>
      <c r="N40" s="72">
        <f>IF(VALUE(CostRemaining[#Headers])&lt;='Construction Dashboard'!$F51,IFERROR(VLOOKUP(CostRemaining[[#This Row],[Cost]],Upgrades[],MATCH("C"&amp;CostRemaining[#Headers],Upgrades[#Headers],0),FALSE),0)*MAX(0,SUM('Construction Dashboard'!$G51:O51)),0)</f>
        <v>0</v>
      </c>
      <c r="O40" s="72">
        <f>IF(VALUE(CostRemaining[#Headers])&lt;='Construction Dashboard'!$F51,IFERROR(VLOOKUP(CostRemaining[[#This Row],[Cost]],Upgrades[],MATCH("C"&amp;CostRemaining[#Headers],Upgrades[#Headers],0),FALSE),0)*MAX(0,SUM('Construction Dashboard'!$G51:P51)),0)</f>
        <v>0</v>
      </c>
      <c r="P40" s="72">
        <f>IF(VALUE(CostRemaining[#Headers])&lt;='Construction Dashboard'!$F51,IFERROR(VLOOKUP(CostRemaining[[#This Row],[Cost]],Upgrades[],MATCH("C"&amp;CostRemaining[#Headers],Upgrades[#Headers],0),FALSE),0)*MAX(0,SUM('Construction Dashboard'!$G51:Q51)),0)</f>
        <v>0</v>
      </c>
      <c r="Q40" s="72">
        <f>IF(VALUE(CostRemaining[#Headers])&lt;='Construction Dashboard'!$F51,IFERROR(VLOOKUP(CostRemaining[[#This Row],[Cost]],Upgrades[],MATCH("C"&amp;CostRemaining[#Headers],Upgrades[#Headers],0),FALSE),0)*MAX(0,SUM('Construction Dashboard'!$G51:R51)),0)</f>
        <v>0</v>
      </c>
      <c r="R40" s="72">
        <f>IF(CostRemaining[[#This Row],[MatchStr]]="IGNORE",0,SUM(CostRemaining[[#This Row],[1]:[12]]))</f>
        <v>0</v>
      </c>
    </row>
    <row r="41" spans="1:18">
      <c r="A41" s="26" t="s">
        <v>107</v>
      </c>
      <c r="B41" s="73" t="str">
        <f>VLOOKUP(CostRemaining[[#This Row],[Cost]],Upgrades[],2,FALSE)</f>
        <v>Building</v>
      </c>
      <c r="C41" s="73" t="str">
        <f>VLOOKUP(CostRemaining[[#This Row],[Cost]],Upgrades[],3,FALSE)</f>
        <v>Dark Elixir</v>
      </c>
      <c r="D41" s="172" t="str">
        <f>IF((IFERROR(MATCH(CostRemaining[[#This Row],[Cost]],'Construction Dashboard'!$P$19:$S$19,0),0)+IFERROR(MATCH(CostRemaining[[#This Row],[Cost]],'Construction Dashboard'!$P$20:$S$20,0),0))&gt;0,"IGNORE",CostRemaining[Kind]&amp;"-"&amp;CostRemaining[Resource])</f>
        <v>Building-Dark Elixir</v>
      </c>
      <c r="E41" s="71" t="str">
        <f>IFERROR(VLOOKUP(CostRemaining[[#This Row],[Cost]],Upgrades[],MATCH("C"&amp;MATCH(TRUE,INDEX(CostRemaining[[#This Row],[1]:[12]]&lt;&gt;0,),0),Upgrades[#Headers],0),FALSE),"")</f>
        <v/>
      </c>
      <c r="F41" s="72">
        <f>IF(VALUE(CostRemaining[#Headers])&lt;='Construction Dashboard'!$F52,IFERROR(VLOOKUP(CostRemaining[[#This Row],[Cost]],Upgrades[],MATCH("C"&amp;CostRemaining[#Headers],Upgrades[#Headers],0),FALSE),0)*MAX(0,SUM('Construction Dashboard'!$G52:G52)),0)</f>
        <v>0</v>
      </c>
      <c r="G41" s="72">
        <f>IF(VALUE(CostRemaining[#Headers])&lt;='Construction Dashboard'!$F52,IFERROR(VLOOKUP(CostRemaining[[#This Row],[Cost]],Upgrades[],MATCH("C"&amp;CostRemaining[#Headers],Upgrades[#Headers],0),FALSE),0)*MAX(0,SUM('Construction Dashboard'!$G52:H52)),0)</f>
        <v>0</v>
      </c>
      <c r="H41" s="72">
        <f>IF(VALUE(CostRemaining[#Headers])&lt;='Construction Dashboard'!$F52,IFERROR(VLOOKUP(CostRemaining[[#This Row],[Cost]],Upgrades[],MATCH("C"&amp;CostRemaining[#Headers],Upgrades[#Headers],0),FALSE),0)*MAX(0,SUM('Construction Dashboard'!$G52:I52)),0)</f>
        <v>0</v>
      </c>
      <c r="I41" s="72">
        <f>IF(VALUE(CostRemaining[#Headers])&lt;='Construction Dashboard'!$F52,IFERROR(VLOOKUP(CostRemaining[[#This Row],[Cost]],Upgrades[],MATCH("C"&amp;CostRemaining[#Headers],Upgrades[#Headers],0),FALSE),0)*MAX(0,SUM('Construction Dashboard'!$G52:J52)),0)</f>
        <v>0</v>
      </c>
      <c r="J41" s="72">
        <f>IF(VALUE(CostRemaining[#Headers])&lt;='Construction Dashboard'!$F52,IFERROR(VLOOKUP(CostRemaining[[#This Row],[Cost]],Upgrades[],MATCH("C"&amp;CostRemaining[#Headers],Upgrades[#Headers],0),FALSE),0)*MAX(0,SUM('Construction Dashboard'!$G52:K52)),0)</f>
        <v>0</v>
      </c>
      <c r="K41" s="72">
        <f>IF(VALUE(CostRemaining[#Headers])&lt;='Construction Dashboard'!$F52,IFERROR(VLOOKUP(CostRemaining[[#This Row],[Cost]],Upgrades[],MATCH("C"&amp;CostRemaining[#Headers],Upgrades[#Headers],0),FALSE),0)*MAX(0,SUM('Construction Dashboard'!$G52:L52)),0)</f>
        <v>0</v>
      </c>
      <c r="L41" s="72">
        <f>IF(VALUE(CostRemaining[#Headers])&lt;='Construction Dashboard'!$F52,IFERROR(VLOOKUP(CostRemaining[[#This Row],[Cost]],Upgrades[],MATCH("C"&amp;CostRemaining[#Headers],Upgrades[#Headers],0),FALSE),0)*MAX(0,SUM('Construction Dashboard'!$G52:M52)),0)</f>
        <v>0</v>
      </c>
      <c r="M41" s="72">
        <f>IF(VALUE(CostRemaining[#Headers])&lt;='Construction Dashboard'!$F52,IFERROR(VLOOKUP(CostRemaining[[#This Row],[Cost]],Upgrades[],MATCH("C"&amp;CostRemaining[#Headers],Upgrades[#Headers],0),FALSE),0)*MAX(0,SUM('Construction Dashboard'!$G52:N52)),0)</f>
        <v>0</v>
      </c>
      <c r="N41" s="72">
        <f>IF(VALUE(CostRemaining[#Headers])&lt;='Construction Dashboard'!$F52,IFERROR(VLOOKUP(CostRemaining[[#This Row],[Cost]],Upgrades[],MATCH("C"&amp;CostRemaining[#Headers],Upgrades[#Headers],0),FALSE),0)*MAX(0,SUM('Construction Dashboard'!$G52:O52)),0)</f>
        <v>0</v>
      </c>
      <c r="O41" s="72">
        <f>IF(VALUE(CostRemaining[#Headers])&lt;='Construction Dashboard'!$F52,IFERROR(VLOOKUP(CostRemaining[[#This Row],[Cost]],Upgrades[],MATCH("C"&amp;CostRemaining[#Headers],Upgrades[#Headers],0),FALSE),0)*MAX(0,SUM('Construction Dashboard'!$G52:P52)),0)</f>
        <v>0</v>
      </c>
      <c r="P41" s="72">
        <f>IF(VALUE(CostRemaining[#Headers])&lt;='Construction Dashboard'!$F52,IFERROR(VLOOKUP(CostRemaining[[#This Row],[Cost]],Upgrades[],MATCH("C"&amp;CostRemaining[#Headers],Upgrades[#Headers],0),FALSE),0)*MAX(0,SUM('Construction Dashboard'!$G52:Q52)),0)</f>
        <v>0</v>
      </c>
      <c r="Q41" s="72">
        <f>IF(VALUE(CostRemaining[#Headers])&lt;='Construction Dashboard'!$F52,IFERROR(VLOOKUP(CostRemaining[[#This Row],[Cost]],Upgrades[],MATCH("C"&amp;CostRemaining[#Headers],Upgrades[#Headers],0),FALSE),0)*MAX(0,SUM('Construction Dashboard'!$G52:R52)),0)</f>
        <v>0</v>
      </c>
      <c r="R41" s="72">
        <f>IF(CostRemaining[[#This Row],[MatchStr]]="IGNORE",0,SUM(CostRemaining[[#This Row],[1]:[12]]))</f>
        <v>0</v>
      </c>
    </row>
    <row r="42" spans="1:18">
      <c r="A42" s="26" t="s">
        <v>83</v>
      </c>
      <c r="B42" s="73" t="str">
        <f>VLOOKUP(CostRemaining[[#This Row],[Cost]],Upgrades[],2,FALSE)</f>
        <v>Upgrade</v>
      </c>
      <c r="C42" s="73" t="str">
        <f>VLOOKUP(CostRemaining[[#This Row],[Cost]],Upgrades[],3,FALSE)</f>
        <v>Elixir</v>
      </c>
      <c r="D42" s="172" t="str">
        <f>IF((IFERROR(MATCH(CostRemaining[[#This Row],[Cost]],'Construction Dashboard'!$P$19:$S$19,0),0)+IFERROR(MATCH(CostRemaining[[#This Row],[Cost]],'Construction Dashboard'!$P$20:$S$20,0),0))&gt;0,"IGNORE",CostRemaining[Kind]&amp;"-"&amp;CostRemaining[Resource])</f>
        <v>Upgrade-Elixir</v>
      </c>
      <c r="E42" s="71" t="str">
        <f>IFERROR(VLOOKUP(CostRemaining[[#This Row],[Cost]],Upgrades[],MATCH("C"&amp;MATCH(TRUE,INDEX(CostRemaining[[#This Row],[1]:[12]]&lt;&gt;0,),0),Upgrades[#Headers],0),FALSE),"")</f>
        <v/>
      </c>
      <c r="F42" s="72">
        <f>IF(VALUE(CostRemaining[#Headers])&lt;='Construction Dashboard'!$F53,IFERROR(VLOOKUP(CostRemaining[[#This Row],[Cost]],Upgrades[],MATCH("C"&amp;CostRemaining[#Headers],Upgrades[#Headers],0),FALSE),0)*MAX(0,SUM('Construction Dashboard'!$G53:G53)),0)</f>
        <v>0</v>
      </c>
      <c r="G42" s="72">
        <f>IF(VALUE(CostRemaining[#Headers])&lt;='Construction Dashboard'!$F53,IFERROR(VLOOKUP(CostRemaining[[#This Row],[Cost]],Upgrades[],MATCH("C"&amp;CostRemaining[#Headers],Upgrades[#Headers],0),FALSE),0)*MAX(0,SUM('Construction Dashboard'!$G53:H53)),0)</f>
        <v>0</v>
      </c>
      <c r="H42" s="72">
        <f>IF(VALUE(CostRemaining[#Headers])&lt;='Construction Dashboard'!$F53,IFERROR(VLOOKUP(CostRemaining[[#This Row],[Cost]],Upgrades[],MATCH("C"&amp;CostRemaining[#Headers],Upgrades[#Headers],0),FALSE),0)*MAX(0,SUM('Construction Dashboard'!$G53:I53)),0)</f>
        <v>0</v>
      </c>
      <c r="I42" s="72">
        <f>IF(VALUE(CostRemaining[#Headers])&lt;='Construction Dashboard'!$F53,IFERROR(VLOOKUP(CostRemaining[[#This Row],[Cost]],Upgrades[],MATCH("C"&amp;CostRemaining[#Headers],Upgrades[#Headers],0),FALSE),0)*MAX(0,SUM('Construction Dashboard'!$G53:J53)),0)</f>
        <v>0</v>
      </c>
      <c r="J42" s="72">
        <f>IF(VALUE(CostRemaining[#Headers])&lt;='Construction Dashboard'!$F53,IFERROR(VLOOKUP(CostRemaining[[#This Row],[Cost]],Upgrades[],MATCH("C"&amp;CostRemaining[#Headers],Upgrades[#Headers],0),FALSE),0)*MAX(0,SUM('Construction Dashboard'!$G53:K53)),0)</f>
        <v>0</v>
      </c>
      <c r="K42" s="72">
        <f>IF(VALUE(CostRemaining[#Headers])&lt;='Construction Dashboard'!$F53,IFERROR(VLOOKUP(CostRemaining[[#This Row],[Cost]],Upgrades[],MATCH("C"&amp;CostRemaining[#Headers],Upgrades[#Headers],0),FALSE),0)*MAX(0,SUM('Construction Dashboard'!$G53:L53)),0)</f>
        <v>0</v>
      </c>
      <c r="L42" s="72">
        <f>IF(VALUE(CostRemaining[#Headers])&lt;='Construction Dashboard'!$F53,IFERROR(VLOOKUP(CostRemaining[[#This Row],[Cost]],Upgrades[],MATCH("C"&amp;CostRemaining[#Headers],Upgrades[#Headers],0),FALSE),0)*MAX(0,SUM('Construction Dashboard'!$G53:M53)),0)</f>
        <v>0</v>
      </c>
      <c r="M42" s="72">
        <f>IF(VALUE(CostRemaining[#Headers])&lt;='Construction Dashboard'!$F53,IFERROR(VLOOKUP(CostRemaining[[#This Row],[Cost]],Upgrades[],MATCH("C"&amp;CostRemaining[#Headers],Upgrades[#Headers],0),FALSE),0)*MAX(0,SUM('Construction Dashboard'!$G53:N53)),0)</f>
        <v>0</v>
      </c>
      <c r="N42" s="72">
        <f>IF(VALUE(CostRemaining[#Headers])&lt;='Construction Dashboard'!$F53,IFERROR(VLOOKUP(CostRemaining[[#This Row],[Cost]],Upgrades[],MATCH("C"&amp;CostRemaining[#Headers],Upgrades[#Headers],0),FALSE),0)*MAX(0,SUM('Construction Dashboard'!$G53:O53)),0)</f>
        <v>0</v>
      </c>
      <c r="O42" s="72">
        <f>IF(VALUE(CostRemaining[#Headers])&lt;='Construction Dashboard'!$F53,IFERROR(VLOOKUP(CostRemaining[[#This Row],[Cost]],Upgrades[],MATCH("C"&amp;CostRemaining[#Headers],Upgrades[#Headers],0),FALSE),0)*MAX(0,SUM('Construction Dashboard'!$G53:P53)),0)</f>
        <v>0</v>
      </c>
      <c r="P42" s="72">
        <f>IF(VALUE(CostRemaining[#Headers])&lt;='Construction Dashboard'!$F53,IFERROR(VLOOKUP(CostRemaining[[#This Row],[Cost]],Upgrades[],MATCH("C"&amp;CostRemaining[#Headers],Upgrades[#Headers],0),FALSE),0)*MAX(0,SUM('Construction Dashboard'!$G53:Q53)),0)</f>
        <v>0</v>
      </c>
      <c r="Q42" s="72">
        <f>IF(VALUE(CostRemaining[#Headers])&lt;='Construction Dashboard'!$F53,IFERROR(VLOOKUP(CostRemaining[[#This Row],[Cost]],Upgrades[],MATCH("C"&amp;CostRemaining[#Headers],Upgrades[#Headers],0),FALSE),0)*MAX(0,SUM('Construction Dashboard'!$G53:R53)),0)</f>
        <v>0</v>
      </c>
      <c r="R42" s="72">
        <f>IF(CostRemaining[[#This Row],[MatchStr]]="IGNORE",0,SUM(CostRemaining[[#This Row],[1]:[12]]))</f>
        <v>0</v>
      </c>
    </row>
    <row r="43" spans="1:18">
      <c r="A43" s="26" t="s">
        <v>84</v>
      </c>
      <c r="B43" s="73" t="str">
        <f>VLOOKUP(CostRemaining[[#This Row],[Cost]],Upgrades[],2,FALSE)</f>
        <v>Upgrade</v>
      </c>
      <c r="C43" s="73" t="str">
        <f>VLOOKUP(CostRemaining[[#This Row],[Cost]],Upgrades[],3,FALSE)</f>
        <v>Elixir</v>
      </c>
      <c r="D43" s="172" t="str">
        <f>IF((IFERROR(MATCH(CostRemaining[[#This Row],[Cost]],'Construction Dashboard'!$P$19:$S$19,0),0)+IFERROR(MATCH(CostRemaining[[#This Row],[Cost]],'Construction Dashboard'!$P$20:$S$20,0),0))&gt;0,"IGNORE",CostRemaining[Kind]&amp;"-"&amp;CostRemaining[Resource])</f>
        <v>Upgrade-Elixir</v>
      </c>
      <c r="E43" s="71" t="str">
        <f>IFERROR(VLOOKUP(CostRemaining[[#This Row],[Cost]],Upgrades[],MATCH("C"&amp;MATCH(TRUE,INDEX(CostRemaining[[#This Row],[1]:[12]]&lt;&gt;0,),0),Upgrades[#Headers],0),FALSE),"")</f>
        <v/>
      </c>
      <c r="F43" s="72">
        <f>IF(VALUE(CostRemaining[#Headers])&lt;='Construction Dashboard'!$F54,IFERROR(VLOOKUP(CostRemaining[[#This Row],[Cost]],Upgrades[],MATCH("C"&amp;CostRemaining[#Headers],Upgrades[#Headers],0),FALSE),0)*MAX(0,SUM('Construction Dashboard'!$G54:G54)),0)</f>
        <v>0</v>
      </c>
      <c r="G43" s="72">
        <f>IF(VALUE(CostRemaining[#Headers])&lt;='Construction Dashboard'!$F54,IFERROR(VLOOKUP(CostRemaining[[#This Row],[Cost]],Upgrades[],MATCH("C"&amp;CostRemaining[#Headers],Upgrades[#Headers],0),FALSE),0)*MAX(0,SUM('Construction Dashboard'!$G54:H54)),0)</f>
        <v>0</v>
      </c>
      <c r="H43" s="72">
        <f>IF(VALUE(CostRemaining[#Headers])&lt;='Construction Dashboard'!$F54,IFERROR(VLOOKUP(CostRemaining[[#This Row],[Cost]],Upgrades[],MATCH("C"&amp;CostRemaining[#Headers],Upgrades[#Headers],0),FALSE),0)*MAX(0,SUM('Construction Dashboard'!$G54:I54)),0)</f>
        <v>0</v>
      </c>
      <c r="I43" s="72">
        <f>IF(VALUE(CostRemaining[#Headers])&lt;='Construction Dashboard'!$F54,IFERROR(VLOOKUP(CostRemaining[[#This Row],[Cost]],Upgrades[],MATCH("C"&amp;CostRemaining[#Headers],Upgrades[#Headers],0),FALSE),0)*MAX(0,SUM('Construction Dashboard'!$G54:J54)),0)</f>
        <v>0</v>
      </c>
      <c r="J43" s="72">
        <f>IF(VALUE(CostRemaining[#Headers])&lt;='Construction Dashboard'!$F54,IFERROR(VLOOKUP(CostRemaining[[#This Row],[Cost]],Upgrades[],MATCH("C"&amp;CostRemaining[#Headers],Upgrades[#Headers],0),FALSE),0)*MAX(0,SUM('Construction Dashboard'!$G54:K54)),0)</f>
        <v>0</v>
      </c>
      <c r="K43" s="72">
        <f>IF(VALUE(CostRemaining[#Headers])&lt;='Construction Dashboard'!$F54,IFERROR(VLOOKUP(CostRemaining[[#This Row],[Cost]],Upgrades[],MATCH("C"&amp;CostRemaining[#Headers],Upgrades[#Headers],0),FALSE),0)*MAX(0,SUM('Construction Dashboard'!$G54:L54)),0)</f>
        <v>0</v>
      </c>
      <c r="L43" s="72">
        <f>IF(VALUE(CostRemaining[#Headers])&lt;='Construction Dashboard'!$F54,IFERROR(VLOOKUP(CostRemaining[[#This Row],[Cost]],Upgrades[],MATCH("C"&amp;CostRemaining[#Headers],Upgrades[#Headers],0),FALSE),0)*MAX(0,SUM('Construction Dashboard'!$G54:M54)),0)</f>
        <v>0</v>
      </c>
      <c r="M43" s="72">
        <f>IF(VALUE(CostRemaining[#Headers])&lt;='Construction Dashboard'!$F54,IFERROR(VLOOKUP(CostRemaining[[#This Row],[Cost]],Upgrades[],MATCH("C"&amp;CostRemaining[#Headers],Upgrades[#Headers],0),FALSE),0)*MAX(0,SUM('Construction Dashboard'!$G54:N54)),0)</f>
        <v>0</v>
      </c>
      <c r="N43" s="72">
        <f>IF(VALUE(CostRemaining[#Headers])&lt;='Construction Dashboard'!$F54,IFERROR(VLOOKUP(CostRemaining[[#This Row],[Cost]],Upgrades[],MATCH("C"&amp;CostRemaining[#Headers],Upgrades[#Headers],0),FALSE),0)*MAX(0,SUM('Construction Dashboard'!$G54:O54)),0)</f>
        <v>0</v>
      </c>
      <c r="O43" s="72">
        <f>IF(VALUE(CostRemaining[#Headers])&lt;='Construction Dashboard'!$F54,IFERROR(VLOOKUP(CostRemaining[[#This Row],[Cost]],Upgrades[],MATCH("C"&amp;CostRemaining[#Headers],Upgrades[#Headers],0),FALSE),0)*MAX(0,SUM('Construction Dashboard'!$G54:P54)),0)</f>
        <v>0</v>
      </c>
      <c r="P43" s="72">
        <f>IF(VALUE(CostRemaining[#Headers])&lt;='Construction Dashboard'!$F54,IFERROR(VLOOKUP(CostRemaining[[#This Row],[Cost]],Upgrades[],MATCH("C"&amp;CostRemaining[#Headers],Upgrades[#Headers],0),FALSE),0)*MAX(0,SUM('Construction Dashboard'!$G54:Q54)),0)</f>
        <v>0</v>
      </c>
      <c r="Q43" s="72">
        <f>IF(VALUE(CostRemaining[#Headers])&lt;='Construction Dashboard'!$F54,IFERROR(VLOOKUP(CostRemaining[[#This Row],[Cost]],Upgrades[],MATCH("C"&amp;CostRemaining[#Headers],Upgrades[#Headers],0),FALSE),0)*MAX(0,SUM('Construction Dashboard'!$G54:R54)),0)</f>
        <v>0</v>
      </c>
      <c r="R43" s="72">
        <f>IF(CostRemaining[[#This Row],[MatchStr]]="IGNORE",0,SUM(CostRemaining[[#This Row],[1]:[12]]))</f>
        <v>0</v>
      </c>
    </row>
    <row r="44" spans="1:18">
      <c r="A44" s="26" t="s">
        <v>85</v>
      </c>
      <c r="B44" s="73" t="str">
        <f>VLOOKUP(CostRemaining[[#This Row],[Cost]],Upgrades[],2,FALSE)</f>
        <v>Upgrade</v>
      </c>
      <c r="C44" s="73" t="str">
        <f>VLOOKUP(CostRemaining[[#This Row],[Cost]],Upgrades[],3,FALSE)</f>
        <v>Elixir</v>
      </c>
      <c r="D44" s="172" t="str">
        <f>IF((IFERROR(MATCH(CostRemaining[[#This Row],[Cost]],'Construction Dashboard'!$P$19:$S$19,0),0)+IFERROR(MATCH(CostRemaining[[#This Row],[Cost]],'Construction Dashboard'!$P$20:$S$20,0),0))&gt;0,"IGNORE",CostRemaining[Kind]&amp;"-"&amp;CostRemaining[Resource])</f>
        <v>Upgrade-Elixir</v>
      </c>
      <c r="E44" s="71" t="str">
        <f>IFERROR(VLOOKUP(CostRemaining[[#This Row],[Cost]],Upgrades[],MATCH("C"&amp;MATCH(TRUE,INDEX(CostRemaining[[#This Row],[1]:[12]]&lt;&gt;0,),0),Upgrades[#Headers],0),FALSE),"")</f>
        <v/>
      </c>
      <c r="F44" s="72">
        <f>IF(VALUE(CostRemaining[#Headers])&lt;='Construction Dashboard'!$F55,IFERROR(VLOOKUP(CostRemaining[[#This Row],[Cost]],Upgrades[],MATCH("C"&amp;CostRemaining[#Headers],Upgrades[#Headers],0),FALSE),0)*MAX(0,SUM('Construction Dashboard'!$G55:G55)),0)</f>
        <v>0</v>
      </c>
      <c r="G44" s="72">
        <f>IF(VALUE(CostRemaining[#Headers])&lt;='Construction Dashboard'!$F55,IFERROR(VLOOKUP(CostRemaining[[#This Row],[Cost]],Upgrades[],MATCH("C"&amp;CostRemaining[#Headers],Upgrades[#Headers],0),FALSE),0)*MAX(0,SUM('Construction Dashboard'!$G55:H55)),0)</f>
        <v>0</v>
      </c>
      <c r="H44" s="72">
        <f>IF(VALUE(CostRemaining[#Headers])&lt;='Construction Dashboard'!$F55,IFERROR(VLOOKUP(CostRemaining[[#This Row],[Cost]],Upgrades[],MATCH("C"&amp;CostRemaining[#Headers],Upgrades[#Headers],0),FALSE),0)*MAX(0,SUM('Construction Dashboard'!$G55:I55)),0)</f>
        <v>0</v>
      </c>
      <c r="I44" s="72">
        <f>IF(VALUE(CostRemaining[#Headers])&lt;='Construction Dashboard'!$F55,IFERROR(VLOOKUP(CostRemaining[[#This Row],[Cost]],Upgrades[],MATCH("C"&amp;CostRemaining[#Headers],Upgrades[#Headers],0),FALSE),0)*MAX(0,SUM('Construction Dashboard'!$G55:J55)),0)</f>
        <v>0</v>
      </c>
      <c r="J44" s="72">
        <f>IF(VALUE(CostRemaining[#Headers])&lt;='Construction Dashboard'!$F55,IFERROR(VLOOKUP(CostRemaining[[#This Row],[Cost]],Upgrades[],MATCH("C"&amp;CostRemaining[#Headers],Upgrades[#Headers],0),FALSE),0)*MAX(0,SUM('Construction Dashboard'!$G55:K55)),0)</f>
        <v>0</v>
      </c>
      <c r="K44" s="72">
        <f>IF(VALUE(CostRemaining[#Headers])&lt;='Construction Dashboard'!$F55,IFERROR(VLOOKUP(CostRemaining[[#This Row],[Cost]],Upgrades[],MATCH("C"&amp;CostRemaining[#Headers],Upgrades[#Headers],0),FALSE),0)*MAX(0,SUM('Construction Dashboard'!$G55:L55)),0)</f>
        <v>0</v>
      </c>
      <c r="L44" s="72">
        <f>IF(VALUE(CostRemaining[#Headers])&lt;='Construction Dashboard'!$F55,IFERROR(VLOOKUP(CostRemaining[[#This Row],[Cost]],Upgrades[],MATCH("C"&amp;CostRemaining[#Headers],Upgrades[#Headers],0),FALSE),0)*MAX(0,SUM('Construction Dashboard'!$G55:M55)),0)</f>
        <v>0</v>
      </c>
      <c r="M44" s="72">
        <f>IF(VALUE(CostRemaining[#Headers])&lt;='Construction Dashboard'!$F55,IFERROR(VLOOKUP(CostRemaining[[#This Row],[Cost]],Upgrades[],MATCH("C"&amp;CostRemaining[#Headers],Upgrades[#Headers],0),FALSE),0)*MAX(0,SUM('Construction Dashboard'!$G55:N55)),0)</f>
        <v>0</v>
      </c>
      <c r="N44" s="72">
        <f>IF(VALUE(CostRemaining[#Headers])&lt;='Construction Dashboard'!$F55,IFERROR(VLOOKUP(CostRemaining[[#This Row],[Cost]],Upgrades[],MATCH("C"&amp;CostRemaining[#Headers],Upgrades[#Headers],0),FALSE),0)*MAX(0,SUM('Construction Dashboard'!$G55:O55)),0)</f>
        <v>0</v>
      </c>
      <c r="O44" s="72">
        <f>IF(VALUE(CostRemaining[#Headers])&lt;='Construction Dashboard'!$F55,IFERROR(VLOOKUP(CostRemaining[[#This Row],[Cost]],Upgrades[],MATCH("C"&amp;CostRemaining[#Headers],Upgrades[#Headers],0),FALSE),0)*MAX(0,SUM('Construction Dashboard'!$G55:P55)),0)</f>
        <v>0</v>
      </c>
      <c r="P44" s="72">
        <f>IF(VALUE(CostRemaining[#Headers])&lt;='Construction Dashboard'!$F55,IFERROR(VLOOKUP(CostRemaining[[#This Row],[Cost]],Upgrades[],MATCH("C"&amp;CostRemaining[#Headers],Upgrades[#Headers],0),FALSE),0)*MAX(0,SUM('Construction Dashboard'!$G55:Q55)),0)</f>
        <v>0</v>
      </c>
      <c r="Q44" s="72">
        <f>IF(VALUE(CostRemaining[#Headers])&lt;='Construction Dashboard'!$F55,IFERROR(VLOOKUP(CostRemaining[[#This Row],[Cost]],Upgrades[],MATCH("C"&amp;CostRemaining[#Headers],Upgrades[#Headers],0),FALSE),0)*MAX(0,SUM('Construction Dashboard'!$G55:R55)),0)</f>
        <v>0</v>
      </c>
      <c r="R44" s="72">
        <f>IF(CostRemaining[[#This Row],[MatchStr]]="IGNORE",0,SUM(CostRemaining[[#This Row],[1]:[12]]))</f>
        <v>0</v>
      </c>
    </row>
    <row r="45" spans="1:18">
      <c r="A45" s="26" t="s">
        <v>86</v>
      </c>
      <c r="B45" s="73" t="str">
        <f>VLOOKUP(CostRemaining[[#This Row],[Cost]],Upgrades[],2,FALSE)</f>
        <v>Upgrade</v>
      </c>
      <c r="C45" s="73" t="str">
        <f>VLOOKUP(CostRemaining[[#This Row],[Cost]],Upgrades[],3,FALSE)</f>
        <v>Elixir</v>
      </c>
      <c r="D45" s="172" t="str">
        <f>IF((IFERROR(MATCH(CostRemaining[[#This Row],[Cost]],'Construction Dashboard'!$P$19:$S$19,0),0)+IFERROR(MATCH(CostRemaining[[#This Row],[Cost]],'Construction Dashboard'!$P$20:$S$20,0),0))&gt;0,"IGNORE",CostRemaining[Kind]&amp;"-"&amp;CostRemaining[Resource])</f>
        <v>Upgrade-Elixir</v>
      </c>
      <c r="E45" s="71" t="str">
        <f>IFERROR(VLOOKUP(CostRemaining[[#This Row],[Cost]],Upgrades[],MATCH("C"&amp;MATCH(TRUE,INDEX(CostRemaining[[#This Row],[1]:[12]]&lt;&gt;0,),0),Upgrades[#Headers],0),FALSE),"")</f>
        <v/>
      </c>
      <c r="F45" s="72">
        <f>IF(VALUE(CostRemaining[#Headers])&lt;='Construction Dashboard'!$F56,IFERROR(VLOOKUP(CostRemaining[[#This Row],[Cost]],Upgrades[],MATCH("C"&amp;CostRemaining[#Headers],Upgrades[#Headers],0),FALSE),0)*MAX(0,SUM('Construction Dashboard'!$G56:G56)),0)</f>
        <v>0</v>
      </c>
      <c r="G45" s="72">
        <f>IF(VALUE(CostRemaining[#Headers])&lt;='Construction Dashboard'!$F56,IFERROR(VLOOKUP(CostRemaining[[#This Row],[Cost]],Upgrades[],MATCH("C"&amp;CostRemaining[#Headers],Upgrades[#Headers],0),FALSE),0)*MAX(0,SUM('Construction Dashboard'!$G56:H56)),0)</f>
        <v>0</v>
      </c>
      <c r="H45" s="72">
        <f>IF(VALUE(CostRemaining[#Headers])&lt;='Construction Dashboard'!$F56,IFERROR(VLOOKUP(CostRemaining[[#This Row],[Cost]],Upgrades[],MATCH("C"&amp;CostRemaining[#Headers],Upgrades[#Headers],0),FALSE),0)*MAX(0,SUM('Construction Dashboard'!$G56:I56)),0)</f>
        <v>0</v>
      </c>
      <c r="I45" s="72">
        <f>IF(VALUE(CostRemaining[#Headers])&lt;='Construction Dashboard'!$F56,IFERROR(VLOOKUP(CostRemaining[[#This Row],[Cost]],Upgrades[],MATCH("C"&amp;CostRemaining[#Headers],Upgrades[#Headers],0),FALSE),0)*MAX(0,SUM('Construction Dashboard'!$G56:J56)),0)</f>
        <v>0</v>
      </c>
      <c r="J45" s="72">
        <f>IF(VALUE(CostRemaining[#Headers])&lt;='Construction Dashboard'!$F56,IFERROR(VLOOKUP(CostRemaining[[#This Row],[Cost]],Upgrades[],MATCH("C"&amp;CostRemaining[#Headers],Upgrades[#Headers],0),FALSE),0)*MAX(0,SUM('Construction Dashboard'!$G56:K56)),0)</f>
        <v>0</v>
      </c>
      <c r="K45" s="72">
        <f>IF(VALUE(CostRemaining[#Headers])&lt;='Construction Dashboard'!$F56,IFERROR(VLOOKUP(CostRemaining[[#This Row],[Cost]],Upgrades[],MATCH("C"&amp;CostRemaining[#Headers],Upgrades[#Headers],0),FALSE),0)*MAX(0,SUM('Construction Dashboard'!$G56:L56)),0)</f>
        <v>0</v>
      </c>
      <c r="L45" s="72">
        <f>IF(VALUE(CostRemaining[#Headers])&lt;='Construction Dashboard'!$F56,IFERROR(VLOOKUP(CostRemaining[[#This Row],[Cost]],Upgrades[],MATCH("C"&amp;CostRemaining[#Headers],Upgrades[#Headers],0),FALSE),0)*MAX(0,SUM('Construction Dashboard'!$G56:M56)),0)</f>
        <v>0</v>
      </c>
      <c r="M45" s="72">
        <f>IF(VALUE(CostRemaining[#Headers])&lt;='Construction Dashboard'!$F56,IFERROR(VLOOKUP(CostRemaining[[#This Row],[Cost]],Upgrades[],MATCH("C"&amp;CostRemaining[#Headers],Upgrades[#Headers],0),FALSE),0)*MAX(0,SUM('Construction Dashboard'!$G56:N56)),0)</f>
        <v>0</v>
      </c>
      <c r="N45" s="72">
        <f>IF(VALUE(CostRemaining[#Headers])&lt;='Construction Dashboard'!$F56,IFERROR(VLOOKUP(CostRemaining[[#This Row],[Cost]],Upgrades[],MATCH("C"&amp;CostRemaining[#Headers],Upgrades[#Headers],0),FALSE),0)*MAX(0,SUM('Construction Dashboard'!$G56:O56)),0)</f>
        <v>0</v>
      </c>
      <c r="O45" s="72">
        <f>IF(VALUE(CostRemaining[#Headers])&lt;='Construction Dashboard'!$F56,IFERROR(VLOOKUP(CostRemaining[[#This Row],[Cost]],Upgrades[],MATCH("C"&amp;CostRemaining[#Headers],Upgrades[#Headers],0),FALSE),0)*MAX(0,SUM('Construction Dashboard'!$G56:P56)),0)</f>
        <v>0</v>
      </c>
      <c r="P45" s="72">
        <f>IF(VALUE(CostRemaining[#Headers])&lt;='Construction Dashboard'!$F56,IFERROR(VLOOKUP(CostRemaining[[#This Row],[Cost]],Upgrades[],MATCH("C"&amp;CostRemaining[#Headers],Upgrades[#Headers],0),FALSE),0)*MAX(0,SUM('Construction Dashboard'!$G56:Q56)),0)</f>
        <v>0</v>
      </c>
      <c r="Q45" s="72">
        <f>IF(VALUE(CostRemaining[#Headers])&lt;='Construction Dashboard'!$F56,IFERROR(VLOOKUP(CostRemaining[[#This Row],[Cost]],Upgrades[],MATCH("C"&amp;CostRemaining[#Headers],Upgrades[#Headers],0),FALSE),0)*MAX(0,SUM('Construction Dashboard'!$G56:R56)),0)</f>
        <v>0</v>
      </c>
      <c r="R45" s="72">
        <f>IF(CostRemaining[[#This Row],[MatchStr]]="IGNORE",0,SUM(CostRemaining[[#This Row],[1]:[12]]))</f>
        <v>0</v>
      </c>
    </row>
    <row r="46" spans="1:18">
      <c r="A46" s="26" t="s">
        <v>87</v>
      </c>
      <c r="B46" s="73" t="str">
        <f>VLOOKUP(CostRemaining[[#This Row],[Cost]],Upgrades[],2,FALSE)</f>
        <v>Upgrade</v>
      </c>
      <c r="C46" s="73" t="str">
        <f>VLOOKUP(CostRemaining[[#This Row],[Cost]],Upgrades[],3,FALSE)</f>
        <v>Elixir</v>
      </c>
      <c r="D46" s="172" t="str">
        <f>IF((IFERROR(MATCH(CostRemaining[[#This Row],[Cost]],'Construction Dashboard'!$P$19:$S$19,0),0)+IFERROR(MATCH(CostRemaining[[#This Row],[Cost]],'Construction Dashboard'!$P$20:$S$20,0),0))&gt;0,"IGNORE",CostRemaining[Kind]&amp;"-"&amp;CostRemaining[Resource])</f>
        <v>Upgrade-Elixir</v>
      </c>
      <c r="E46" s="71" t="str">
        <f>IFERROR(VLOOKUP(CostRemaining[[#This Row],[Cost]],Upgrades[],MATCH("C"&amp;MATCH(TRUE,INDEX(CostRemaining[[#This Row],[1]:[12]]&lt;&gt;0,),0),Upgrades[#Headers],0),FALSE),"")</f>
        <v/>
      </c>
      <c r="F46" s="72">
        <f>IF(VALUE(CostRemaining[#Headers])&lt;='Construction Dashboard'!$F57,IFERROR(VLOOKUP(CostRemaining[[#This Row],[Cost]],Upgrades[],MATCH("C"&amp;CostRemaining[#Headers],Upgrades[#Headers],0),FALSE),0)*MAX(0,SUM('Construction Dashboard'!$G57:G57)),0)</f>
        <v>0</v>
      </c>
      <c r="G46" s="72">
        <f>IF(VALUE(CostRemaining[#Headers])&lt;='Construction Dashboard'!$F57,IFERROR(VLOOKUP(CostRemaining[[#This Row],[Cost]],Upgrades[],MATCH("C"&amp;CostRemaining[#Headers],Upgrades[#Headers],0),FALSE),0)*MAX(0,SUM('Construction Dashboard'!$G57:H57)),0)</f>
        <v>0</v>
      </c>
      <c r="H46" s="72">
        <f>IF(VALUE(CostRemaining[#Headers])&lt;='Construction Dashboard'!$F57,IFERROR(VLOOKUP(CostRemaining[[#This Row],[Cost]],Upgrades[],MATCH("C"&amp;CostRemaining[#Headers],Upgrades[#Headers],0),FALSE),0)*MAX(0,SUM('Construction Dashboard'!$G57:I57)),0)</f>
        <v>0</v>
      </c>
      <c r="I46" s="72">
        <f>IF(VALUE(CostRemaining[#Headers])&lt;='Construction Dashboard'!$F57,IFERROR(VLOOKUP(CostRemaining[[#This Row],[Cost]],Upgrades[],MATCH("C"&amp;CostRemaining[#Headers],Upgrades[#Headers],0),FALSE),0)*MAX(0,SUM('Construction Dashboard'!$G57:J57)),0)</f>
        <v>0</v>
      </c>
      <c r="J46" s="72">
        <f>IF(VALUE(CostRemaining[#Headers])&lt;='Construction Dashboard'!$F57,IFERROR(VLOOKUP(CostRemaining[[#This Row],[Cost]],Upgrades[],MATCH("C"&amp;CostRemaining[#Headers],Upgrades[#Headers],0),FALSE),0)*MAX(0,SUM('Construction Dashboard'!$G57:K57)),0)</f>
        <v>0</v>
      </c>
      <c r="K46" s="72">
        <f>IF(VALUE(CostRemaining[#Headers])&lt;='Construction Dashboard'!$F57,IFERROR(VLOOKUP(CostRemaining[[#This Row],[Cost]],Upgrades[],MATCH("C"&amp;CostRemaining[#Headers],Upgrades[#Headers],0),FALSE),0)*MAX(0,SUM('Construction Dashboard'!$G57:L57)),0)</f>
        <v>0</v>
      </c>
      <c r="L46" s="72">
        <f>IF(VALUE(CostRemaining[#Headers])&lt;='Construction Dashboard'!$F57,IFERROR(VLOOKUP(CostRemaining[[#This Row],[Cost]],Upgrades[],MATCH("C"&amp;CostRemaining[#Headers],Upgrades[#Headers],0),FALSE),0)*MAX(0,SUM('Construction Dashboard'!$G57:M57)),0)</f>
        <v>0</v>
      </c>
      <c r="M46" s="72">
        <f>IF(VALUE(CostRemaining[#Headers])&lt;='Construction Dashboard'!$F57,IFERROR(VLOOKUP(CostRemaining[[#This Row],[Cost]],Upgrades[],MATCH("C"&amp;CostRemaining[#Headers],Upgrades[#Headers],0),FALSE),0)*MAX(0,SUM('Construction Dashboard'!$G57:N57)),0)</f>
        <v>0</v>
      </c>
      <c r="N46" s="72">
        <f>IF(VALUE(CostRemaining[#Headers])&lt;='Construction Dashboard'!$F57,IFERROR(VLOOKUP(CostRemaining[[#This Row],[Cost]],Upgrades[],MATCH("C"&amp;CostRemaining[#Headers],Upgrades[#Headers],0),FALSE),0)*MAX(0,SUM('Construction Dashboard'!$G57:O57)),0)</f>
        <v>0</v>
      </c>
      <c r="O46" s="72">
        <f>IF(VALUE(CostRemaining[#Headers])&lt;='Construction Dashboard'!$F57,IFERROR(VLOOKUP(CostRemaining[[#This Row],[Cost]],Upgrades[],MATCH("C"&amp;CostRemaining[#Headers],Upgrades[#Headers],0),FALSE),0)*MAX(0,SUM('Construction Dashboard'!$G57:P57)),0)</f>
        <v>0</v>
      </c>
      <c r="P46" s="72">
        <f>IF(VALUE(CostRemaining[#Headers])&lt;='Construction Dashboard'!$F57,IFERROR(VLOOKUP(CostRemaining[[#This Row],[Cost]],Upgrades[],MATCH("C"&amp;CostRemaining[#Headers],Upgrades[#Headers],0),FALSE),0)*MAX(0,SUM('Construction Dashboard'!$G57:Q57)),0)</f>
        <v>0</v>
      </c>
      <c r="Q46" s="72">
        <f>IF(VALUE(CostRemaining[#Headers])&lt;='Construction Dashboard'!$F57,IFERROR(VLOOKUP(CostRemaining[[#This Row],[Cost]],Upgrades[],MATCH("C"&amp;CostRemaining[#Headers],Upgrades[#Headers],0),FALSE),0)*MAX(0,SUM('Construction Dashboard'!$G57:R57)),0)</f>
        <v>0</v>
      </c>
      <c r="R46" s="72">
        <f>IF(CostRemaining[[#This Row],[MatchStr]]="IGNORE",0,SUM(CostRemaining[[#This Row],[1]:[12]]))</f>
        <v>0</v>
      </c>
    </row>
    <row r="47" spans="1:18">
      <c r="A47" s="26" t="s">
        <v>88</v>
      </c>
      <c r="B47" s="73" t="str">
        <f>VLOOKUP(CostRemaining[[#This Row],[Cost]],Upgrades[],2,FALSE)</f>
        <v>Upgrade</v>
      </c>
      <c r="C47" s="73" t="str">
        <f>VLOOKUP(CostRemaining[[#This Row],[Cost]],Upgrades[],3,FALSE)</f>
        <v>Elixir</v>
      </c>
      <c r="D47" s="172" t="str">
        <f>IF((IFERROR(MATCH(CostRemaining[[#This Row],[Cost]],'Construction Dashboard'!$P$19:$S$19,0),0)+IFERROR(MATCH(CostRemaining[[#This Row],[Cost]],'Construction Dashboard'!$P$20:$S$20,0),0))&gt;0,"IGNORE",CostRemaining[Kind]&amp;"-"&amp;CostRemaining[Resource])</f>
        <v>IGNORE</v>
      </c>
      <c r="E47" s="71">
        <f>IFERROR(VLOOKUP(CostRemaining[[#This Row],[Cost]],Upgrades[],MATCH("C"&amp;MATCH(TRUE,INDEX(CostRemaining[[#This Row],[1]:[12]]&lt;&gt;0,),0),Upgrades[#Headers],0),FALSE),"")</f>
        <v>450000</v>
      </c>
      <c r="F47" s="72">
        <f>IF(VALUE(CostRemaining[#Headers])&lt;='Construction Dashboard'!$F58,IFERROR(VLOOKUP(CostRemaining[[#This Row],[Cost]],Upgrades[],MATCH("C"&amp;CostRemaining[#Headers],Upgrades[#Headers],0),FALSE),0)*MAX(0,SUM('Construction Dashboard'!$G58:G58)),0)</f>
        <v>0</v>
      </c>
      <c r="G47" s="72">
        <f>IF(VALUE(CostRemaining[#Headers])&lt;='Construction Dashboard'!$F58,IFERROR(VLOOKUP(CostRemaining[[#This Row],[Cost]],Upgrades[],MATCH("C"&amp;CostRemaining[#Headers],Upgrades[#Headers],0),FALSE),0)*MAX(0,SUM('Construction Dashboard'!$G58:H58)),0)</f>
        <v>0</v>
      </c>
      <c r="H47" s="72">
        <f>IF(VALUE(CostRemaining[#Headers])&lt;='Construction Dashboard'!$F58,IFERROR(VLOOKUP(CostRemaining[[#This Row],[Cost]],Upgrades[],MATCH("C"&amp;CostRemaining[#Headers],Upgrades[#Headers],0),FALSE),0)*MAX(0,SUM('Construction Dashboard'!$G58:I58)),0)</f>
        <v>450000</v>
      </c>
      <c r="I47" s="72">
        <f>IF(VALUE(CostRemaining[#Headers])&lt;='Construction Dashboard'!$F58,IFERROR(VLOOKUP(CostRemaining[[#This Row],[Cost]],Upgrades[],MATCH("C"&amp;CostRemaining[#Headers],Upgrades[#Headers],0),FALSE),0)*MAX(0,SUM('Construction Dashboard'!$G58:J58)),0)</f>
        <v>1350000</v>
      </c>
      <c r="J47" s="72">
        <f>IF(VALUE(CostRemaining[#Headers])&lt;='Construction Dashboard'!$F58,IFERROR(VLOOKUP(CostRemaining[[#This Row],[Cost]],Upgrades[],MATCH("C"&amp;CostRemaining[#Headers],Upgrades[#Headers],0),FALSE),0)*MAX(0,SUM('Construction Dashboard'!$G58:K58)),0)</f>
        <v>0</v>
      </c>
      <c r="K47" s="72">
        <f>IF(VALUE(CostRemaining[#Headers])&lt;='Construction Dashboard'!$F58,IFERROR(VLOOKUP(CostRemaining[[#This Row],[Cost]],Upgrades[],MATCH("C"&amp;CostRemaining[#Headers],Upgrades[#Headers],0),FALSE),0)*MAX(0,SUM('Construction Dashboard'!$G58:L58)),0)</f>
        <v>0</v>
      </c>
      <c r="L47" s="72">
        <f>IF(VALUE(CostRemaining[#Headers])&lt;='Construction Dashboard'!$F58,IFERROR(VLOOKUP(CostRemaining[[#This Row],[Cost]],Upgrades[],MATCH("C"&amp;CostRemaining[#Headers],Upgrades[#Headers],0),FALSE),0)*MAX(0,SUM('Construction Dashboard'!$G58:M58)),0)</f>
        <v>0</v>
      </c>
      <c r="M47" s="72">
        <f>IF(VALUE(CostRemaining[#Headers])&lt;='Construction Dashboard'!$F58,IFERROR(VLOOKUP(CostRemaining[[#This Row],[Cost]],Upgrades[],MATCH("C"&amp;CostRemaining[#Headers],Upgrades[#Headers],0),FALSE),0)*MAX(0,SUM('Construction Dashboard'!$G58:N58)),0)</f>
        <v>0</v>
      </c>
      <c r="N47" s="72">
        <f>IF(VALUE(CostRemaining[#Headers])&lt;='Construction Dashboard'!$F58,IFERROR(VLOOKUP(CostRemaining[[#This Row],[Cost]],Upgrades[],MATCH("C"&amp;CostRemaining[#Headers],Upgrades[#Headers],0),FALSE),0)*MAX(0,SUM('Construction Dashboard'!$G58:O58)),0)</f>
        <v>0</v>
      </c>
      <c r="O47" s="72">
        <f>IF(VALUE(CostRemaining[#Headers])&lt;='Construction Dashboard'!$F58,IFERROR(VLOOKUP(CostRemaining[[#This Row],[Cost]],Upgrades[],MATCH("C"&amp;CostRemaining[#Headers],Upgrades[#Headers],0),FALSE),0)*MAX(0,SUM('Construction Dashboard'!$G58:P58)),0)</f>
        <v>0</v>
      </c>
      <c r="P47" s="72">
        <f>IF(VALUE(CostRemaining[#Headers])&lt;='Construction Dashboard'!$F58,IFERROR(VLOOKUP(CostRemaining[[#This Row],[Cost]],Upgrades[],MATCH("C"&amp;CostRemaining[#Headers],Upgrades[#Headers],0),FALSE),0)*MAX(0,SUM('Construction Dashboard'!$G58:Q58)),0)</f>
        <v>0</v>
      </c>
      <c r="Q47" s="72">
        <f>IF(VALUE(CostRemaining[#Headers])&lt;='Construction Dashboard'!$F58,IFERROR(VLOOKUP(CostRemaining[[#This Row],[Cost]],Upgrades[],MATCH("C"&amp;CostRemaining[#Headers],Upgrades[#Headers],0),FALSE),0)*MAX(0,SUM('Construction Dashboard'!$G58:R58)),0)</f>
        <v>0</v>
      </c>
      <c r="R47" s="72">
        <f>IF(CostRemaining[[#This Row],[MatchStr]]="IGNORE",0,SUM(CostRemaining[[#This Row],[1]:[12]]))</f>
        <v>0</v>
      </c>
    </row>
    <row r="48" spans="1:18">
      <c r="A48" s="26" t="s">
        <v>89</v>
      </c>
      <c r="B48" s="73" t="str">
        <f>VLOOKUP(CostRemaining[[#This Row],[Cost]],Upgrades[],2,FALSE)</f>
        <v>Upgrade</v>
      </c>
      <c r="C48" s="73" t="str">
        <f>VLOOKUP(CostRemaining[[#This Row],[Cost]],Upgrades[],3,FALSE)</f>
        <v>Elixir</v>
      </c>
      <c r="D48" s="172" t="str">
        <f>IF((IFERROR(MATCH(CostRemaining[[#This Row],[Cost]],'Construction Dashboard'!$P$19:$S$19,0),0)+IFERROR(MATCH(CostRemaining[[#This Row],[Cost]],'Construction Dashboard'!$P$20:$S$20,0),0))&gt;0,"IGNORE",CostRemaining[Kind]&amp;"-"&amp;CostRemaining[Resource])</f>
        <v>Upgrade-Elixir</v>
      </c>
      <c r="E48" s="71">
        <f>IFERROR(VLOOKUP(CostRemaining[[#This Row],[Cost]],Upgrades[],MATCH("C"&amp;MATCH(TRUE,INDEX(CostRemaining[[#This Row],[1]:[12]]&lt;&gt;0,),0),Upgrades[#Headers],0),FALSE),"")</f>
        <v>1350000</v>
      </c>
      <c r="F48" s="72">
        <f>IF(VALUE(CostRemaining[#Headers])&lt;='Construction Dashboard'!$F59,IFERROR(VLOOKUP(CostRemaining[[#This Row],[Cost]],Upgrades[],MATCH("C"&amp;CostRemaining[#Headers],Upgrades[#Headers],0),FALSE),0)*MAX(0,SUM('Construction Dashboard'!$G59:G59)),0)</f>
        <v>0</v>
      </c>
      <c r="G48" s="72">
        <f>IF(VALUE(CostRemaining[#Headers])&lt;='Construction Dashboard'!$F59,IFERROR(VLOOKUP(CostRemaining[[#This Row],[Cost]],Upgrades[],MATCH("C"&amp;CostRemaining[#Headers],Upgrades[#Headers],0),FALSE),0)*MAX(0,SUM('Construction Dashboard'!$G59:H59)),0)</f>
        <v>0</v>
      </c>
      <c r="H48" s="72">
        <f>IF(VALUE(CostRemaining[#Headers])&lt;='Construction Dashboard'!$F59,IFERROR(VLOOKUP(CostRemaining[[#This Row],[Cost]],Upgrades[],MATCH("C"&amp;CostRemaining[#Headers],Upgrades[#Headers],0),FALSE),0)*MAX(0,SUM('Construction Dashboard'!$G59:I59)),0)</f>
        <v>0</v>
      </c>
      <c r="I48" s="72">
        <f>IF(VALUE(CostRemaining[#Headers])&lt;='Construction Dashboard'!$F59,IFERROR(VLOOKUP(CostRemaining[[#This Row],[Cost]],Upgrades[],MATCH("C"&amp;CostRemaining[#Headers],Upgrades[#Headers],0),FALSE),0)*MAX(0,SUM('Construction Dashboard'!$G59:J59)),0)</f>
        <v>1350000</v>
      </c>
      <c r="J48" s="72">
        <f>IF(VALUE(CostRemaining[#Headers])&lt;='Construction Dashboard'!$F59,IFERROR(VLOOKUP(CostRemaining[[#This Row],[Cost]],Upgrades[],MATCH("C"&amp;CostRemaining[#Headers],Upgrades[#Headers],0),FALSE),0)*MAX(0,SUM('Construction Dashboard'!$G59:K59)),0)</f>
        <v>0</v>
      </c>
      <c r="K48" s="72">
        <f>IF(VALUE(CostRemaining[#Headers])&lt;='Construction Dashboard'!$F59,IFERROR(VLOOKUP(CostRemaining[[#This Row],[Cost]],Upgrades[],MATCH("C"&amp;CostRemaining[#Headers],Upgrades[#Headers],0),FALSE),0)*MAX(0,SUM('Construction Dashboard'!$G59:L59)),0)</f>
        <v>0</v>
      </c>
      <c r="L48" s="72">
        <f>IF(VALUE(CostRemaining[#Headers])&lt;='Construction Dashboard'!$F59,IFERROR(VLOOKUP(CostRemaining[[#This Row],[Cost]],Upgrades[],MATCH("C"&amp;CostRemaining[#Headers],Upgrades[#Headers],0),FALSE),0)*MAX(0,SUM('Construction Dashboard'!$G59:M59)),0)</f>
        <v>0</v>
      </c>
      <c r="M48" s="72">
        <f>IF(VALUE(CostRemaining[#Headers])&lt;='Construction Dashboard'!$F59,IFERROR(VLOOKUP(CostRemaining[[#This Row],[Cost]],Upgrades[],MATCH("C"&amp;CostRemaining[#Headers],Upgrades[#Headers],0),FALSE),0)*MAX(0,SUM('Construction Dashboard'!$G59:N59)),0)</f>
        <v>0</v>
      </c>
      <c r="N48" s="72">
        <f>IF(VALUE(CostRemaining[#Headers])&lt;='Construction Dashboard'!$F59,IFERROR(VLOOKUP(CostRemaining[[#This Row],[Cost]],Upgrades[],MATCH("C"&amp;CostRemaining[#Headers],Upgrades[#Headers],0),FALSE),0)*MAX(0,SUM('Construction Dashboard'!$G59:O59)),0)</f>
        <v>0</v>
      </c>
      <c r="O48" s="72">
        <f>IF(VALUE(CostRemaining[#Headers])&lt;='Construction Dashboard'!$F59,IFERROR(VLOOKUP(CostRemaining[[#This Row],[Cost]],Upgrades[],MATCH("C"&amp;CostRemaining[#Headers],Upgrades[#Headers],0),FALSE),0)*MAX(0,SUM('Construction Dashboard'!$G59:P59)),0)</f>
        <v>0</v>
      </c>
      <c r="P48" s="72">
        <f>IF(VALUE(CostRemaining[#Headers])&lt;='Construction Dashboard'!$F59,IFERROR(VLOOKUP(CostRemaining[[#This Row],[Cost]],Upgrades[],MATCH("C"&amp;CostRemaining[#Headers],Upgrades[#Headers],0),FALSE),0)*MAX(0,SUM('Construction Dashboard'!$G59:Q59)),0)</f>
        <v>0</v>
      </c>
      <c r="Q48" s="72">
        <f>IF(VALUE(CostRemaining[#Headers])&lt;='Construction Dashboard'!$F59,IFERROR(VLOOKUP(CostRemaining[[#This Row],[Cost]],Upgrades[],MATCH("C"&amp;CostRemaining[#Headers],Upgrades[#Headers],0),FALSE),0)*MAX(0,SUM('Construction Dashboard'!$G59:R59)),0)</f>
        <v>0</v>
      </c>
      <c r="R48" s="72">
        <f>IF(CostRemaining[[#This Row],[MatchStr]]="IGNORE",0,SUM(CostRemaining[[#This Row],[1]:[12]]))</f>
        <v>1350000</v>
      </c>
    </row>
    <row r="49" spans="1:27">
      <c r="A49" s="26" t="s">
        <v>90</v>
      </c>
      <c r="B49" s="73" t="str">
        <f>VLOOKUP(CostRemaining[[#This Row],[Cost]],Upgrades[],2,FALSE)</f>
        <v>Upgrade</v>
      </c>
      <c r="C49" s="73" t="str">
        <f>VLOOKUP(CostRemaining[[#This Row],[Cost]],Upgrades[],3,FALSE)</f>
        <v>Elixir</v>
      </c>
      <c r="D49" s="172" t="str">
        <f>IF((IFERROR(MATCH(CostRemaining[[#This Row],[Cost]],'Construction Dashboard'!$P$19:$S$19,0),0)+IFERROR(MATCH(CostRemaining[[#This Row],[Cost]],'Construction Dashboard'!$P$20:$S$20,0),0))&gt;0,"IGNORE",CostRemaining[Kind]&amp;"-"&amp;CostRemaining[Resource])</f>
        <v>Upgrade-Elixir</v>
      </c>
      <c r="E49" s="71" t="str">
        <f>IFERROR(VLOOKUP(CostRemaining[[#This Row],[Cost]],Upgrades[],MATCH("C"&amp;MATCH(TRUE,INDEX(CostRemaining[[#This Row],[1]:[12]]&lt;&gt;0,),0),Upgrades[#Headers],0),FALSE),"")</f>
        <v/>
      </c>
      <c r="F49" s="72">
        <f>IF(VALUE(CostRemaining[#Headers])&lt;='Construction Dashboard'!$F60,IFERROR(VLOOKUP(CostRemaining[[#This Row],[Cost]],Upgrades[],MATCH("C"&amp;CostRemaining[#Headers],Upgrades[#Headers],0),FALSE),0)*MAX(0,SUM('Construction Dashboard'!$G60:G60)),0)</f>
        <v>0</v>
      </c>
      <c r="G49" s="72">
        <f>IF(VALUE(CostRemaining[#Headers])&lt;='Construction Dashboard'!$F60,IFERROR(VLOOKUP(CostRemaining[[#This Row],[Cost]],Upgrades[],MATCH("C"&amp;CostRemaining[#Headers],Upgrades[#Headers],0),FALSE),0)*MAX(0,SUM('Construction Dashboard'!$G60:H60)),0)</f>
        <v>0</v>
      </c>
      <c r="H49" s="72">
        <f>IF(VALUE(CostRemaining[#Headers])&lt;='Construction Dashboard'!$F60,IFERROR(VLOOKUP(CostRemaining[[#This Row],[Cost]],Upgrades[],MATCH("C"&amp;CostRemaining[#Headers],Upgrades[#Headers],0),FALSE),0)*MAX(0,SUM('Construction Dashboard'!$G60:I60)),0)</f>
        <v>0</v>
      </c>
      <c r="I49" s="72">
        <f>IF(VALUE(CostRemaining[#Headers])&lt;='Construction Dashboard'!$F60,IFERROR(VLOOKUP(CostRemaining[[#This Row],[Cost]],Upgrades[],MATCH("C"&amp;CostRemaining[#Headers],Upgrades[#Headers],0),FALSE),0)*MAX(0,SUM('Construction Dashboard'!$G60:J60)),0)</f>
        <v>0</v>
      </c>
      <c r="J49" s="72">
        <f>IF(VALUE(CostRemaining[#Headers])&lt;='Construction Dashboard'!$F60,IFERROR(VLOOKUP(CostRemaining[[#This Row],[Cost]],Upgrades[],MATCH("C"&amp;CostRemaining[#Headers],Upgrades[#Headers],0),FALSE),0)*MAX(0,SUM('Construction Dashboard'!$G60:K60)),0)</f>
        <v>0</v>
      </c>
      <c r="K49" s="72">
        <f>IF(VALUE(CostRemaining[#Headers])&lt;='Construction Dashboard'!$F60,IFERROR(VLOOKUP(CostRemaining[[#This Row],[Cost]],Upgrades[],MATCH("C"&amp;CostRemaining[#Headers],Upgrades[#Headers],0),FALSE),0)*MAX(0,SUM('Construction Dashboard'!$G60:L60)),0)</f>
        <v>0</v>
      </c>
      <c r="L49" s="72">
        <f>IF(VALUE(CostRemaining[#Headers])&lt;='Construction Dashboard'!$F60,IFERROR(VLOOKUP(CostRemaining[[#This Row],[Cost]],Upgrades[],MATCH("C"&amp;CostRemaining[#Headers],Upgrades[#Headers],0),FALSE),0)*MAX(0,SUM('Construction Dashboard'!$G60:M60)),0)</f>
        <v>0</v>
      </c>
      <c r="M49" s="72">
        <f>IF(VALUE(CostRemaining[#Headers])&lt;='Construction Dashboard'!$F60,IFERROR(VLOOKUP(CostRemaining[[#This Row],[Cost]],Upgrades[],MATCH("C"&amp;CostRemaining[#Headers],Upgrades[#Headers],0),FALSE),0)*MAX(0,SUM('Construction Dashboard'!$G60:N60)),0)</f>
        <v>0</v>
      </c>
      <c r="N49" s="72">
        <f>IF(VALUE(CostRemaining[#Headers])&lt;='Construction Dashboard'!$F60,IFERROR(VLOOKUP(CostRemaining[[#This Row],[Cost]],Upgrades[],MATCH("C"&amp;CostRemaining[#Headers],Upgrades[#Headers],0),FALSE),0)*MAX(0,SUM('Construction Dashboard'!$G60:O60)),0)</f>
        <v>0</v>
      </c>
      <c r="O49" s="72">
        <f>IF(VALUE(CostRemaining[#Headers])&lt;='Construction Dashboard'!$F60,IFERROR(VLOOKUP(CostRemaining[[#This Row],[Cost]],Upgrades[],MATCH("C"&amp;CostRemaining[#Headers],Upgrades[#Headers],0),FALSE),0)*MAX(0,SUM('Construction Dashboard'!$G60:P60)),0)</f>
        <v>0</v>
      </c>
      <c r="P49" s="72">
        <f>IF(VALUE(CostRemaining[#Headers])&lt;='Construction Dashboard'!$F60,IFERROR(VLOOKUP(CostRemaining[[#This Row],[Cost]],Upgrades[],MATCH("C"&amp;CostRemaining[#Headers],Upgrades[#Headers],0),FALSE),0)*MAX(0,SUM('Construction Dashboard'!$G60:Q60)),0)</f>
        <v>0</v>
      </c>
      <c r="Q49" s="72">
        <f>IF(VALUE(CostRemaining[#Headers])&lt;='Construction Dashboard'!$F60,IFERROR(VLOOKUP(CostRemaining[[#This Row],[Cost]],Upgrades[],MATCH("C"&amp;CostRemaining[#Headers],Upgrades[#Headers],0),FALSE),0)*MAX(0,SUM('Construction Dashboard'!$G60:R60)),0)</f>
        <v>0</v>
      </c>
      <c r="R49" s="72">
        <f>IF(CostRemaining[[#This Row],[MatchStr]]="IGNORE",0,SUM(CostRemaining[[#This Row],[1]:[12]]))</f>
        <v>0</v>
      </c>
    </row>
    <row r="50" spans="1:27">
      <c r="A50" s="26" t="s">
        <v>91</v>
      </c>
      <c r="B50" s="73" t="str">
        <f>VLOOKUP(CostRemaining[[#This Row],[Cost]],Upgrades[],2,FALSE)</f>
        <v>Upgrade</v>
      </c>
      <c r="C50" s="73" t="str">
        <f>VLOOKUP(CostRemaining[[#This Row],[Cost]],Upgrades[],3,FALSE)</f>
        <v>Elixir</v>
      </c>
      <c r="D50" s="172" t="str">
        <f>IF((IFERROR(MATCH(CostRemaining[[#This Row],[Cost]],'Construction Dashboard'!$P$19:$S$19,0),0)+IFERROR(MATCH(CostRemaining[[#This Row],[Cost]],'Construction Dashboard'!$P$20:$S$20,0),0))&gt;0,"IGNORE",CostRemaining[Kind]&amp;"-"&amp;CostRemaining[Resource])</f>
        <v>Upgrade-Elixir</v>
      </c>
      <c r="E50" s="71">
        <f>IFERROR(VLOOKUP(CostRemaining[[#This Row],[Cost]],Upgrades[],MATCH("C"&amp;MATCH(TRUE,INDEX(CostRemaining[[#This Row],[1]:[12]]&lt;&gt;0,),0),Upgrades[#Headers],0),FALSE),"")</f>
        <v>2000000</v>
      </c>
      <c r="F50" s="72">
        <f>IF(VALUE(CostRemaining[#Headers])&lt;='Construction Dashboard'!$F61,IFERROR(VLOOKUP(CostRemaining[[#This Row],[Cost]],Upgrades[],MATCH("C"&amp;CostRemaining[#Headers],Upgrades[#Headers],0),FALSE),0)*MAX(0,SUM('Construction Dashboard'!$G61:G61)),0)</f>
        <v>0</v>
      </c>
      <c r="G50" s="72">
        <f>IF(VALUE(CostRemaining[#Headers])&lt;='Construction Dashboard'!$F61,IFERROR(VLOOKUP(CostRemaining[[#This Row],[Cost]],Upgrades[],MATCH("C"&amp;CostRemaining[#Headers],Upgrades[#Headers],0),FALSE),0)*MAX(0,SUM('Construction Dashboard'!$G61:H61)),0)</f>
        <v>2000000</v>
      </c>
      <c r="H50" s="72">
        <f>IF(VALUE(CostRemaining[#Headers])&lt;='Construction Dashboard'!$F61,IFERROR(VLOOKUP(CostRemaining[[#This Row],[Cost]],Upgrades[],MATCH("C"&amp;CostRemaining[#Headers],Upgrades[#Headers],0),FALSE),0)*MAX(0,SUM('Construction Dashboard'!$G61:I61)),0)</f>
        <v>0</v>
      </c>
      <c r="I50" s="72">
        <f>IF(VALUE(CostRemaining[#Headers])&lt;='Construction Dashboard'!$F61,IFERROR(VLOOKUP(CostRemaining[[#This Row],[Cost]],Upgrades[],MATCH("C"&amp;CostRemaining[#Headers],Upgrades[#Headers],0),FALSE),0)*MAX(0,SUM('Construction Dashboard'!$G61:J61)),0)</f>
        <v>0</v>
      </c>
      <c r="J50" s="72">
        <f>IF(VALUE(CostRemaining[#Headers])&lt;='Construction Dashboard'!$F61,IFERROR(VLOOKUP(CostRemaining[[#This Row],[Cost]],Upgrades[],MATCH("C"&amp;CostRemaining[#Headers],Upgrades[#Headers],0),FALSE),0)*MAX(0,SUM('Construction Dashboard'!$G61:K61)),0)</f>
        <v>0</v>
      </c>
      <c r="K50" s="72">
        <f>IF(VALUE(CostRemaining[#Headers])&lt;='Construction Dashboard'!$F61,IFERROR(VLOOKUP(CostRemaining[[#This Row],[Cost]],Upgrades[],MATCH("C"&amp;CostRemaining[#Headers],Upgrades[#Headers],0),FALSE),0)*MAX(0,SUM('Construction Dashboard'!$G61:L61)),0)</f>
        <v>0</v>
      </c>
      <c r="L50" s="72">
        <f>IF(VALUE(CostRemaining[#Headers])&lt;='Construction Dashboard'!$F61,IFERROR(VLOOKUP(CostRemaining[[#This Row],[Cost]],Upgrades[],MATCH("C"&amp;CostRemaining[#Headers],Upgrades[#Headers],0),FALSE),0)*MAX(0,SUM('Construction Dashboard'!$G61:M61)),0)</f>
        <v>0</v>
      </c>
      <c r="M50" s="72">
        <f>IF(VALUE(CostRemaining[#Headers])&lt;='Construction Dashboard'!$F61,IFERROR(VLOOKUP(CostRemaining[[#This Row],[Cost]],Upgrades[],MATCH("C"&amp;CostRemaining[#Headers],Upgrades[#Headers],0),FALSE),0)*MAX(0,SUM('Construction Dashboard'!$G61:N61)),0)</f>
        <v>0</v>
      </c>
      <c r="N50" s="72">
        <f>IF(VALUE(CostRemaining[#Headers])&lt;='Construction Dashboard'!$F61,IFERROR(VLOOKUP(CostRemaining[[#This Row],[Cost]],Upgrades[],MATCH("C"&amp;CostRemaining[#Headers],Upgrades[#Headers],0),FALSE),0)*MAX(0,SUM('Construction Dashboard'!$G61:O61)),0)</f>
        <v>0</v>
      </c>
      <c r="O50" s="72">
        <f>IF(VALUE(CostRemaining[#Headers])&lt;='Construction Dashboard'!$F61,IFERROR(VLOOKUP(CostRemaining[[#This Row],[Cost]],Upgrades[],MATCH("C"&amp;CostRemaining[#Headers],Upgrades[#Headers],0),FALSE),0)*MAX(0,SUM('Construction Dashboard'!$G61:P61)),0)</f>
        <v>0</v>
      </c>
      <c r="P50" s="72">
        <f>IF(VALUE(CostRemaining[#Headers])&lt;='Construction Dashboard'!$F61,IFERROR(VLOOKUP(CostRemaining[[#This Row],[Cost]],Upgrades[],MATCH("C"&amp;CostRemaining[#Headers],Upgrades[#Headers],0),FALSE),0)*MAX(0,SUM('Construction Dashboard'!$G61:Q61)),0)</f>
        <v>0</v>
      </c>
      <c r="Q50" s="72">
        <f>IF(VALUE(CostRemaining[#Headers])&lt;='Construction Dashboard'!$F61,IFERROR(VLOOKUP(CostRemaining[[#This Row],[Cost]],Upgrades[],MATCH("C"&amp;CostRemaining[#Headers],Upgrades[#Headers],0),FALSE),0)*MAX(0,SUM('Construction Dashboard'!$G61:R61)),0)</f>
        <v>0</v>
      </c>
      <c r="R50" s="72">
        <f>IF(CostRemaining[[#This Row],[MatchStr]]="IGNORE",0,SUM(CostRemaining[[#This Row],[1]:[12]]))</f>
        <v>2000000</v>
      </c>
    </row>
    <row r="51" spans="1:27">
      <c r="A51" s="26" t="s">
        <v>92</v>
      </c>
      <c r="B51" s="73" t="str">
        <f>VLOOKUP(CostRemaining[[#This Row],[Cost]],Upgrades[],2,FALSE)</f>
        <v>Upgrade</v>
      </c>
      <c r="C51" s="73" t="str">
        <f>VLOOKUP(CostRemaining[[#This Row],[Cost]],Upgrades[],3,FALSE)</f>
        <v>Elixir</v>
      </c>
      <c r="D51" s="172" t="str">
        <f>IF((IFERROR(MATCH(CostRemaining[[#This Row],[Cost]],'Construction Dashboard'!$P$19:$S$19,0),0)+IFERROR(MATCH(CostRemaining[[#This Row],[Cost]],'Construction Dashboard'!$P$20:$S$20,0),0))&gt;0,"IGNORE",CostRemaining[Kind]&amp;"-"&amp;CostRemaining[Resource])</f>
        <v>Upgrade-Elixir</v>
      </c>
      <c r="E51" s="71" t="str">
        <f>IFERROR(VLOOKUP(CostRemaining[[#This Row],[Cost]],Upgrades[],MATCH("C"&amp;MATCH(TRUE,INDEX(CostRemaining[[#This Row],[1]:[12]]&lt;&gt;0,),0),Upgrades[#Headers],0),FALSE),"")</f>
        <v/>
      </c>
      <c r="F51" s="72">
        <f>IF(VALUE(CostRemaining[#Headers])&lt;='Construction Dashboard'!$F62,IFERROR(VLOOKUP(CostRemaining[[#This Row],[Cost]],Upgrades[],MATCH("C"&amp;CostRemaining[#Headers],Upgrades[#Headers],0),FALSE),0)*MAX(0,SUM('Construction Dashboard'!$G62:G62)),0)</f>
        <v>0</v>
      </c>
      <c r="G51" s="72">
        <f>IF(VALUE(CostRemaining[#Headers])&lt;='Construction Dashboard'!$F62,IFERROR(VLOOKUP(CostRemaining[[#This Row],[Cost]],Upgrades[],MATCH("C"&amp;CostRemaining[#Headers],Upgrades[#Headers],0),FALSE),0)*MAX(0,SUM('Construction Dashboard'!$G62:H62)),0)</f>
        <v>0</v>
      </c>
      <c r="H51" s="72">
        <f>IF(VALUE(CostRemaining[#Headers])&lt;='Construction Dashboard'!$F62,IFERROR(VLOOKUP(CostRemaining[[#This Row],[Cost]],Upgrades[],MATCH("C"&amp;CostRemaining[#Headers],Upgrades[#Headers],0),FALSE),0)*MAX(0,SUM('Construction Dashboard'!$G62:I62)),0)</f>
        <v>0</v>
      </c>
      <c r="I51" s="72">
        <f>IF(VALUE(CostRemaining[#Headers])&lt;='Construction Dashboard'!$F62,IFERROR(VLOOKUP(CostRemaining[[#This Row],[Cost]],Upgrades[],MATCH("C"&amp;CostRemaining[#Headers],Upgrades[#Headers],0),FALSE),0)*MAX(0,SUM('Construction Dashboard'!$G62:J62)),0)</f>
        <v>0</v>
      </c>
      <c r="J51" s="72">
        <f>IF(VALUE(CostRemaining[#Headers])&lt;='Construction Dashboard'!$F62,IFERROR(VLOOKUP(CostRemaining[[#This Row],[Cost]],Upgrades[],MATCH("C"&amp;CostRemaining[#Headers],Upgrades[#Headers],0),FALSE),0)*MAX(0,SUM('Construction Dashboard'!$G62:K62)),0)</f>
        <v>0</v>
      </c>
      <c r="K51" s="72">
        <f>IF(VALUE(CostRemaining[#Headers])&lt;='Construction Dashboard'!$F62,IFERROR(VLOOKUP(CostRemaining[[#This Row],[Cost]],Upgrades[],MATCH("C"&amp;CostRemaining[#Headers],Upgrades[#Headers],0),FALSE),0)*MAX(0,SUM('Construction Dashboard'!$G62:L62)),0)</f>
        <v>0</v>
      </c>
      <c r="L51" s="72">
        <f>IF(VALUE(CostRemaining[#Headers])&lt;='Construction Dashboard'!$F62,IFERROR(VLOOKUP(CostRemaining[[#This Row],[Cost]],Upgrades[],MATCH("C"&amp;CostRemaining[#Headers],Upgrades[#Headers],0),FALSE),0)*MAX(0,SUM('Construction Dashboard'!$G62:M62)),0)</f>
        <v>0</v>
      </c>
      <c r="M51" s="72">
        <f>IF(VALUE(CostRemaining[#Headers])&lt;='Construction Dashboard'!$F62,IFERROR(VLOOKUP(CostRemaining[[#This Row],[Cost]],Upgrades[],MATCH("C"&amp;CostRemaining[#Headers],Upgrades[#Headers],0),FALSE),0)*MAX(0,SUM('Construction Dashboard'!$G62:N62)),0)</f>
        <v>0</v>
      </c>
      <c r="N51" s="72">
        <f>IF(VALUE(CostRemaining[#Headers])&lt;='Construction Dashboard'!$F62,IFERROR(VLOOKUP(CostRemaining[[#This Row],[Cost]],Upgrades[],MATCH("C"&amp;CostRemaining[#Headers],Upgrades[#Headers],0),FALSE),0)*MAX(0,SUM('Construction Dashboard'!$G62:O62)),0)</f>
        <v>0</v>
      </c>
      <c r="O51" s="72">
        <f>IF(VALUE(CostRemaining[#Headers])&lt;='Construction Dashboard'!$F62,IFERROR(VLOOKUP(CostRemaining[[#This Row],[Cost]],Upgrades[],MATCH("C"&amp;CostRemaining[#Headers],Upgrades[#Headers],0),FALSE),0)*MAX(0,SUM('Construction Dashboard'!$G62:P62)),0)</f>
        <v>0</v>
      </c>
      <c r="P51" s="72">
        <f>IF(VALUE(CostRemaining[#Headers])&lt;='Construction Dashboard'!$F62,IFERROR(VLOOKUP(CostRemaining[[#This Row],[Cost]],Upgrades[],MATCH("C"&amp;CostRemaining[#Headers],Upgrades[#Headers],0),FALSE),0)*MAX(0,SUM('Construction Dashboard'!$G62:Q62)),0)</f>
        <v>0</v>
      </c>
      <c r="Q51" s="72">
        <f>IF(VALUE(CostRemaining[#Headers])&lt;='Construction Dashboard'!$F62,IFERROR(VLOOKUP(CostRemaining[[#This Row],[Cost]],Upgrades[],MATCH("C"&amp;CostRemaining[#Headers],Upgrades[#Headers],0),FALSE),0)*MAX(0,SUM('Construction Dashboard'!$G62:R62)),0)</f>
        <v>0</v>
      </c>
      <c r="R51" s="72">
        <f>IF(CostRemaining[[#This Row],[MatchStr]]="IGNORE",0,SUM(CostRemaining[[#This Row],[1]:[12]]))</f>
        <v>0</v>
      </c>
    </row>
    <row r="52" spans="1:27">
      <c r="A52" s="26" t="s">
        <v>93</v>
      </c>
      <c r="B52" s="73" t="str">
        <f>VLOOKUP(CostRemaining[[#This Row],[Cost]],Upgrades[],2,FALSE)</f>
        <v>Upgrade</v>
      </c>
      <c r="C52" s="73" t="str">
        <f>VLOOKUP(CostRemaining[[#This Row],[Cost]],Upgrades[],3,FALSE)</f>
        <v>Elixir</v>
      </c>
      <c r="D52" s="172" t="str">
        <f>IF((IFERROR(MATCH(CostRemaining[[#This Row],[Cost]],'Construction Dashboard'!$P$19:$S$19,0),0)+IFERROR(MATCH(CostRemaining[[#This Row],[Cost]],'Construction Dashboard'!$P$20:$S$20,0),0))&gt;0,"IGNORE",CostRemaining[Kind]&amp;"-"&amp;CostRemaining[Resource])</f>
        <v>Upgrade-Elixir</v>
      </c>
      <c r="E52" s="71">
        <f>IFERROR(VLOOKUP(CostRemaining[[#This Row],[Cost]],Upgrades[],MATCH("C"&amp;MATCH(TRUE,INDEX(CostRemaining[[#This Row],[1]:[12]]&lt;&gt;0,),0),Upgrades[#Headers],0),FALSE),"")</f>
        <v>1000000</v>
      </c>
      <c r="F52" s="72">
        <f>IF(VALUE(CostRemaining[#Headers])&lt;='Construction Dashboard'!$F63,IFERROR(VLOOKUP(CostRemaining[[#This Row],[Cost]],Upgrades[],MATCH("C"&amp;CostRemaining[#Headers],Upgrades[#Headers],0),FALSE),0)*MAX(0,SUM('Construction Dashboard'!$G63:G63)),0)</f>
        <v>0</v>
      </c>
      <c r="G52" s="72">
        <f>IF(VALUE(CostRemaining[#Headers])&lt;='Construction Dashboard'!$F63,IFERROR(VLOOKUP(CostRemaining[[#This Row],[Cost]],Upgrades[],MATCH("C"&amp;CostRemaining[#Headers],Upgrades[#Headers],0),FALSE),0)*MAX(0,SUM('Construction Dashboard'!$G63:H63)),0)</f>
        <v>0</v>
      </c>
      <c r="H52" s="72">
        <f>IF(VALUE(CostRemaining[#Headers])&lt;='Construction Dashboard'!$F63,IFERROR(VLOOKUP(CostRemaining[[#This Row],[Cost]],Upgrades[],MATCH("C"&amp;CostRemaining[#Headers],Upgrades[#Headers],0),FALSE),0)*MAX(0,SUM('Construction Dashboard'!$G63:I63)),0)</f>
        <v>0</v>
      </c>
      <c r="I52" s="72">
        <f>IF(VALUE(CostRemaining[#Headers])&lt;='Construction Dashboard'!$F63,IFERROR(VLOOKUP(CostRemaining[[#This Row],[Cost]],Upgrades[],MATCH("C"&amp;CostRemaining[#Headers],Upgrades[#Headers],0),FALSE),0)*MAX(0,SUM('Construction Dashboard'!$G63:J63)),0)</f>
        <v>1000000</v>
      </c>
      <c r="J52" s="72">
        <f>IF(VALUE(CostRemaining[#Headers])&lt;='Construction Dashboard'!$F63,IFERROR(VLOOKUP(CostRemaining[[#This Row],[Cost]],Upgrades[],MATCH("C"&amp;CostRemaining[#Headers],Upgrades[#Headers],0),FALSE),0)*MAX(0,SUM('Construction Dashboard'!$G63:K63)),0)</f>
        <v>0</v>
      </c>
      <c r="K52" s="72">
        <f>IF(VALUE(CostRemaining[#Headers])&lt;='Construction Dashboard'!$F63,IFERROR(VLOOKUP(CostRemaining[[#This Row],[Cost]],Upgrades[],MATCH("C"&amp;CostRemaining[#Headers],Upgrades[#Headers],0),FALSE),0)*MAX(0,SUM('Construction Dashboard'!$G63:L63)),0)</f>
        <v>0</v>
      </c>
      <c r="L52" s="72">
        <f>IF(VALUE(CostRemaining[#Headers])&lt;='Construction Dashboard'!$F63,IFERROR(VLOOKUP(CostRemaining[[#This Row],[Cost]],Upgrades[],MATCH("C"&amp;CostRemaining[#Headers],Upgrades[#Headers],0),FALSE),0)*MAX(0,SUM('Construction Dashboard'!$G63:M63)),0)</f>
        <v>0</v>
      </c>
      <c r="M52" s="72">
        <f>IF(VALUE(CostRemaining[#Headers])&lt;='Construction Dashboard'!$F63,IFERROR(VLOOKUP(CostRemaining[[#This Row],[Cost]],Upgrades[],MATCH("C"&amp;CostRemaining[#Headers],Upgrades[#Headers],0),FALSE),0)*MAX(0,SUM('Construction Dashboard'!$G63:N63)),0)</f>
        <v>0</v>
      </c>
      <c r="N52" s="72">
        <f>IF(VALUE(CostRemaining[#Headers])&lt;='Construction Dashboard'!$F63,IFERROR(VLOOKUP(CostRemaining[[#This Row],[Cost]],Upgrades[],MATCH("C"&amp;CostRemaining[#Headers],Upgrades[#Headers],0),FALSE),0)*MAX(0,SUM('Construction Dashboard'!$G63:O63)),0)</f>
        <v>0</v>
      </c>
      <c r="O52" s="72">
        <f>IF(VALUE(CostRemaining[#Headers])&lt;='Construction Dashboard'!$F63,IFERROR(VLOOKUP(CostRemaining[[#This Row],[Cost]],Upgrades[],MATCH("C"&amp;CostRemaining[#Headers],Upgrades[#Headers],0),FALSE),0)*MAX(0,SUM('Construction Dashboard'!$G63:P63)),0)</f>
        <v>0</v>
      </c>
      <c r="P52" s="72">
        <f>IF(VALUE(CostRemaining[#Headers])&lt;='Construction Dashboard'!$F63,IFERROR(VLOOKUP(CostRemaining[[#This Row],[Cost]],Upgrades[],MATCH("C"&amp;CostRemaining[#Headers],Upgrades[#Headers],0),FALSE),0)*MAX(0,SUM('Construction Dashboard'!$G63:Q63)),0)</f>
        <v>0</v>
      </c>
      <c r="Q52" s="72">
        <f>IF(VALUE(CostRemaining[#Headers])&lt;='Construction Dashboard'!$F63,IFERROR(VLOOKUP(CostRemaining[[#This Row],[Cost]],Upgrades[],MATCH("C"&amp;CostRemaining[#Headers],Upgrades[#Headers],0),FALSE),0)*MAX(0,SUM('Construction Dashboard'!$G63:R63)),0)</f>
        <v>0</v>
      </c>
      <c r="R52" s="72">
        <f>IF(CostRemaining[[#This Row],[MatchStr]]="IGNORE",0,SUM(CostRemaining[[#This Row],[1]:[12]]))</f>
        <v>1000000</v>
      </c>
    </row>
    <row r="53" spans="1:27">
      <c r="A53" s="26" t="s">
        <v>94</v>
      </c>
      <c r="B53" s="73" t="str">
        <f>VLOOKUP(CostRemaining[[#This Row],[Cost]],Upgrades[],2,FALSE)</f>
        <v>Upgrade</v>
      </c>
      <c r="C53" s="73" t="str">
        <f>VLOOKUP(CostRemaining[[#This Row],[Cost]],Upgrades[],3,FALSE)</f>
        <v>Elixir</v>
      </c>
      <c r="D53" s="172" t="str">
        <f>IF((IFERROR(MATCH(CostRemaining[[#This Row],[Cost]],'Construction Dashboard'!$P$19:$S$19,0),0)+IFERROR(MATCH(CostRemaining[[#This Row],[Cost]],'Construction Dashboard'!$P$20:$S$20,0),0))&gt;0,"IGNORE",CostRemaining[Kind]&amp;"-"&amp;CostRemaining[Resource])</f>
        <v>Upgrade-Elixir</v>
      </c>
      <c r="E53" s="71" t="str">
        <f>IFERROR(VLOOKUP(CostRemaining[[#This Row],[Cost]],Upgrades[],MATCH("C"&amp;MATCH(TRUE,INDEX(CostRemaining[[#This Row],[1]:[12]]&lt;&gt;0,),0),Upgrades[#Headers],0),FALSE),"")</f>
        <v/>
      </c>
      <c r="F53" s="72">
        <f>IF(VALUE(CostRemaining[#Headers])&lt;='Construction Dashboard'!$F64,IFERROR(VLOOKUP(CostRemaining[[#This Row],[Cost]],Upgrades[],MATCH("C"&amp;CostRemaining[#Headers],Upgrades[#Headers],0),FALSE),0)*MAX(0,SUM('Construction Dashboard'!$G64:G64)),0)</f>
        <v>0</v>
      </c>
      <c r="G53" s="72">
        <f>IF(VALUE(CostRemaining[#Headers])&lt;='Construction Dashboard'!$F64,IFERROR(VLOOKUP(CostRemaining[[#This Row],[Cost]],Upgrades[],MATCH("C"&amp;CostRemaining[#Headers],Upgrades[#Headers],0),FALSE),0)*MAX(0,SUM('Construction Dashboard'!$G64:H64)),0)</f>
        <v>0</v>
      </c>
      <c r="H53" s="72">
        <f>IF(VALUE(CostRemaining[#Headers])&lt;='Construction Dashboard'!$F64,IFERROR(VLOOKUP(CostRemaining[[#This Row],[Cost]],Upgrades[],MATCH("C"&amp;CostRemaining[#Headers],Upgrades[#Headers],0),FALSE),0)*MAX(0,SUM('Construction Dashboard'!$G64:I64)),0)</f>
        <v>0</v>
      </c>
      <c r="I53" s="72">
        <f>IF(VALUE(CostRemaining[#Headers])&lt;='Construction Dashboard'!$F64,IFERROR(VLOOKUP(CostRemaining[[#This Row],[Cost]],Upgrades[],MATCH("C"&amp;CostRemaining[#Headers],Upgrades[#Headers],0),FALSE),0)*MAX(0,SUM('Construction Dashboard'!$G64:J64)),0)</f>
        <v>0</v>
      </c>
      <c r="J53" s="72">
        <f>IF(VALUE(CostRemaining[#Headers])&lt;='Construction Dashboard'!$F64,IFERROR(VLOOKUP(CostRemaining[[#This Row],[Cost]],Upgrades[],MATCH("C"&amp;CostRemaining[#Headers],Upgrades[#Headers],0),FALSE),0)*MAX(0,SUM('Construction Dashboard'!$G64:K64)),0)</f>
        <v>0</v>
      </c>
      <c r="K53" s="72">
        <f>IF(VALUE(CostRemaining[#Headers])&lt;='Construction Dashboard'!$F64,IFERROR(VLOOKUP(CostRemaining[[#This Row],[Cost]],Upgrades[],MATCH("C"&amp;CostRemaining[#Headers],Upgrades[#Headers],0),FALSE),0)*MAX(0,SUM('Construction Dashboard'!$G64:L64)),0)</f>
        <v>0</v>
      </c>
      <c r="L53" s="72">
        <f>IF(VALUE(CostRemaining[#Headers])&lt;='Construction Dashboard'!$F64,IFERROR(VLOOKUP(CostRemaining[[#This Row],[Cost]],Upgrades[],MATCH("C"&amp;CostRemaining[#Headers],Upgrades[#Headers],0),FALSE),0)*MAX(0,SUM('Construction Dashboard'!$G64:M64)),0)</f>
        <v>0</v>
      </c>
      <c r="M53" s="72">
        <f>IF(VALUE(CostRemaining[#Headers])&lt;='Construction Dashboard'!$F64,IFERROR(VLOOKUP(CostRemaining[[#This Row],[Cost]],Upgrades[],MATCH("C"&amp;CostRemaining[#Headers],Upgrades[#Headers],0),FALSE),0)*MAX(0,SUM('Construction Dashboard'!$G64:N64)),0)</f>
        <v>0</v>
      </c>
      <c r="N53" s="72">
        <f>IF(VALUE(CostRemaining[#Headers])&lt;='Construction Dashboard'!$F64,IFERROR(VLOOKUP(CostRemaining[[#This Row],[Cost]],Upgrades[],MATCH("C"&amp;CostRemaining[#Headers],Upgrades[#Headers],0),FALSE),0)*MAX(0,SUM('Construction Dashboard'!$G64:O64)),0)</f>
        <v>0</v>
      </c>
      <c r="O53" s="72">
        <f>IF(VALUE(CostRemaining[#Headers])&lt;='Construction Dashboard'!$F64,IFERROR(VLOOKUP(CostRemaining[[#This Row],[Cost]],Upgrades[],MATCH("C"&amp;CostRemaining[#Headers],Upgrades[#Headers],0),FALSE),0)*MAX(0,SUM('Construction Dashboard'!$G64:P64)),0)</f>
        <v>0</v>
      </c>
      <c r="P53" s="72">
        <f>IF(VALUE(CostRemaining[#Headers])&lt;='Construction Dashboard'!$F64,IFERROR(VLOOKUP(CostRemaining[[#This Row],[Cost]],Upgrades[],MATCH("C"&amp;CostRemaining[#Headers],Upgrades[#Headers],0),FALSE),0)*MAX(0,SUM('Construction Dashboard'!$G64:Q64)),0)</f>
        <v>0</v>
      </c>
      <c r="Q53" s="72">
        <f>IF(VALUE(CostRemaining[#Headers])&lt;='Construction Dashboard'!$F64,IFERROR(VLOOKUP(CostRemaining[[#This Row],[Cost]],Upgrades[],MATCH("C"&amp;CostRemaining[#Headers],Upgrades[#Headers],0),FALSE),0)*MAX(0,SUM('Construction Dashboard'!$G64:R64)),0)</f>
        <v>0</v>
      </c>
      <c r="R53" s="72">
        <f>IF(CostRemaining[[#This Row],[MatchStr]]="IGNORE",0,SUM(CostRemaining[[#This Row],[1]:[12]]))</f>
        <v>0</v>
      </c>
    </row>
    <row r="54" spans="1:27">
      <c r="A54" s="26" t="s">
        <v>95</v>
      </c>
      <c r="B54" s="73" t="str">
        <f>VLOOKUP(CostRemaining[[#This Row],[Cost]],Upgrades[],2,FALSE)</f>
        <v>Upgrade</v>
      </c>
      <c r="C54" s="73" t="str">
        <f>VLOOKUP(CostRemaining[[#This Row],[Cost]],Upgrades[],3,FALSE)</f>
        <v>Elixir</v>
      </c>
      <c r="D54" s="172" t="str">
        <f>IF((IFERROR(MATCH(CostRemaining[[#This Row],[Cost]],'Construction Dashboard'!$P$19:$S$19,0),0)+IFERROR(MATCH(CostRemaining[[#This Row],[Cost]],'Construction Dashboard'!$P$20:$S$20,0),0))&gt;0,"IGNORE",CostRemaining[Kind]&amp;"-"&amp;CostRemaining[Resource])</f>
        <v>Upgrade-Elixir</v>
      </c>
      <c r="E54" s="71">
        <f>IFERROR(VLOOKUP(CostRemaining[[#This Row],[Cost]],Upgrades[],MATCH("C"&amp;MATCH(TRUE,INDEX(CostRemaining[[#This Row],[1]:[12]]&lt;&gt;0,),0),Upgrades[#Headers],0),FALSE),"")</f>
        <v>900000</v>
      </c>
      <c r="F54" s="72">
        <f>IF(VALUE(CostRemaining[#Headers])&lt;='Construction Dashboard'!$F65,IFERROR(VLOOKUP(CostRemaining[[#This Row],[Cost]],Upgrades[],MATCH("C"&amp;CostRemaining[#Headers],Upgrades[#Headers],0),FALSE),0)*MAX(0,SUM('Construction Dashboard'!$G65:G65)),0)</f>
        <v>0</v>
      </c>
      <c r="G54" s="72">
        <f>IF(VALUE(CostRemaining[#Headers])&lt;='Construction Dashboard'!$F65,IFERROR(VLOOKUP(CostRemaining[[#This Row],[Cost]],Upgrades[],MATCH("C"&amp;CostRemaining[#Headers],Upgrades[#Headers],0),FALSE),0)*MAX(0,SUM('Construction Dashboard'!$G65:H65)),0)</f>
        <v>0</v>
      </c>
      <c r="H54" s="72">
        <f>IF(VALUE(CostRemaining[#Headers])&lt;='Construction Dashboard'!$F65,IFERROR(VLOOKUP(CostRemaining[[#This Row],[Cost]],Upgrades[],MATCH("C"&amp;CostRemaining[#Headers],Upgrades[#Headers],0),FALSE),0)*MAX(0,SUM('Construction Dashboard'!$G65:I65)),0)</f>
        <v>900000</v>
      </c>
      <c r="I54" s="72">
        <f>IF(VALUE(CostRemaining[#Headers])&lt;='Construction Dashboard'!$F65,IFERROR(VLOOKUP(CostRemaining[[#This Row],[Cost]],Upgrades[],MATCH("C"&amp;CostRemaining[#Headers],Upgrades[#Headers],0),FALSE),0)*MAX(0,SUM('Construction Dashboard'!$G65:J65)),0)</f>
        <v>1800000</v>
      </c>
      <c r="J54" s="72">
        <f>IF(VALUE(CostRemaining[#Headers])&lt;='Construction Dashboard'!$F65,IFERROR(VLOOKUP(CostRemaining[[#This Row],[Cost]],Upgrades[],MATCH("C"&amp;CostRemaining[#Headers],Upgrades[#Headers],0),FALSE),0)*MAX(0,SUM('Construction Dashboard'!$G65:K65)),0)</f>
        <v>0</v>
      </c>
      <c r="K54" s="72">
        <f>IF(VALUE(CostRemaining[#Headers])&lt;='Construction Dashboard'!$F65,IFERROR(VLOOKUP(CostRemaining[[#This Row],[Cost]],Upgrades[],MATCH("C"&amp;CostRemaining[#Headers],Upgrades[#Headers],0),FALSE),0)*MAX(0,SUM('Construction Dashboard'!$G65:L65)),0)</f>
        <v>0</v>
      </c>
      <c r="L54" s="72">
        <f>IF(VALUE(CostRemaining[#Headers])&lt;='Construction Dashboard'!$F65,IFERROR(VLOOKUP(CostRemaining[[#This Row],[Cost]],Upgrades[],MATCH("C"&amp;CostRemaining[#Headers],Upgrades[#Headers],0),FALSE),0)*MAX(0,SUM('Construction Dashboard'!$G65:M65)),0)</f>
        <v>0</v>
      </c>
      <c r="M54" s="72">
        <f>IF(VALUE(CostRemaining[#Headers])&lt;='Construction Dashboard'!$F65,IFERROR(VLOOKUP(CostRemaining[[#This Row],[Cost]],Upgrades[],MATCH("C"&amp;CostRemaining[#Headers],Upgrades[#Headers],0),FALSE),0)*MAX(0,SUM('Construction Dashboard'!$G65:N65)),0)</f>
        <v>0</v>
      </c>
      <c r="N54" s="72">
        <f>IF(VALUE(CostRemaining[#Headers])&lt;='Construction Dashboard'!$F65,IFERROR(VLOOKUP(CostRemaining[[#This Row],[Cost]],Upgrades[],MATCH("C"&amp;CostRemaining[#Headers],Upgrades[#Headers],0),FALSE),0)*MAX(0,SUM('Construction Dashboard'!$G65:O65)),0)</f>
        <v>0</v>
      </c>
      <c r="O54" s="72">
        <f>IF(VALUE(CostRemaining[#Headers])&lt;='Construction Dashboard'!$F65,IFERROR(VLOOKUP(CostRemaining[[#This Row],[Cost]],Upgrades[],MATCH("C"&amp;CostRemaining[#Headers],Upgrades[#Headers],0),FALSE),0)*MAX(0,SUM('Construction Dashboard'!$G65:P65)),0)</f>
        <v>0</v>
      </c>
      <c r="P54" s="72">
        <f>IF(VALUE(CostRemaining[#Headers])&lt;='Construction Dashboard'!$F65,IFERROR(VLOOKUP(CostRemaining[[#This Row],[Cost]],Upgrades[],MATCH("C"&amp;CostRemaining[#Headers],Upgrades[#Headers],0),FALSE),0)*MAX(0,SUM('Construction Dashboard'!$G65:Q65)),0)</f>
        <v>0</v>
      </c>
      <c r="Q54" s="72">
        <f>IF(VALUE(CostRemaining[#Headers])&lt;='Construction Dashboard'!$F65,IFERROR(VLOOKUP(CostRemaining[[#This Row],[Cost]],Upgrades[],MATCH("C"&amp;CostRemaining[#Headers],Upgrades[#Headers],0),FALSE),0)*MAX(0,SUM('Construction Dashboard'!$G65:R65)),0)</f>
        <v>0</v>
      </c>
      <c r="R54" s="72">
        <f>IF(CostRemaining[[#This Row],[MatchStr]]="IGNORE",0,SUM(CostRemaining[[#This Row],[1]:[12]]))</f>
        <v>2700000</v>
      </c>
    </row>
    <row r="55" spans="1:27">
      <c r="A55" s="26" t="s">
        <v>96</v>
      </c>
      <c r="B55" s="73" t="str">
        <f>VLOOKUP(CostRemaining[[#This Row],[Cost]],Upgrades[],2,FALSE)</f>
        <v>Upgrade</v>
      </c>
      <c r="C55" s="73" t="str">
        <f>VLOOKUP(CostRemaining[[#This Row],[Cost]],Upgrades[],3,FALSE)</f>
        <v>Elixir</v>
      </c>
      <c r="D55" s="172" t="str">
        <f>IF((IFERROR(MATCH(CostRemaining[[#This Row],[Cost]],'Construction Dashboard'!$P$19:$S$19,0),0)+IFERROR(MATCH(CostRemaining[[#This Row],[Cost]],'Construction Dashboard'!$P$20:$S$20,0),0))&gt;0,"IGNORE",CostRemaining[Kind]&amp;"-"&amp;CostRemaining[Resource])</f>
        <v>Upgrade-Elixir</v>
      </c>
      <c r="E55" s="71" t="str">
        <f>IFERROR(VLOOKUP(CostRemaining[[#This Row],[Cost]],Upgrades[],MATCH("C"&amp;MATCH(TRUE,INDEX(CostRemaining[[#This Row],[1]:[12]]&lt;&gt;0,),0),Upgrades[#Headers],0),FALSE),"")</f>
        <v/>
      </c>
      <c r="F55" s="72">
        <f>IF(VALUE(CostRemaining[#Headers])&lt;='Construction Dashboard'!$F66,IFERROR(VLOOKUP(CostRemaining[[#This Row],[Cost]],Upgrades[],MATCH("C"&amp;CostRemaining[#Headers],Upgrades[#Headers],0),FALSE),0)*MAX(0,SUM('Construction Dashboard'!$G66:G66)),0)</f>
        <v>0</v>
      </c>
      <c r="G55" s="72">
        <f>IF(VALUE(CostRemaining[#Headers])&lt;='Construction Dashboard'!$F66,IFERROR(VLOOKUP(CostRemaining[[#This Row],[Cost]],Upgrades[],MATCH("C"&amp;CostRemaining[#Headers],Upgrades[#Headers],0),FALSE),0)*MAX(0,SUM('Construction Dashboard'!$G66:H66)),0)</f>
        <v>0</v>
      </c>
      <c r="H55" s="72">
        <f>IF(VALUE(CostRemaining[#Headers])&lt;='Construction Dashboard'!$F66,IFERROR(VLOOKUP(CostRemaining[[#This Row],[Cost]],Upgrades[],MATCH("C"&amp;CostRemaining[#Headers],Upgrades[#Headers],0),FALSE),0)*MAX(0,SUM('Construction Dashboard'!$G66:I66)),0)</f>
        <v>0</v>
      </c>
      <c r="I55" s="72">
        <f>IF(VALUE(CostRemaining[#Headers])&lt;='Construction Dashboard'!$F66,IFERROR(VLOOKUP(CostRemaining[[#This Row],[Cost]],Upgrades[],MATCH("C"&amp;CostRemaining[#Headers],Upgrades[#Headers],0),FALSE),0)*MAX(0,SUM('Construction Dashboard'!$G66:J66)),0)</f>
        <v>0</v>
      </c>
      <c r="J55" s="72">
        <f>IF(VALUE(CostRemaining[#Headers])&lt;='Construction Dashboard'!$F66,IFERROR(VLOOKUP(CostRemaining[[#This Row],[Cost]],Upgrades[],MATCH("C"&amp;CostRemaining[#Headers],Upgrades[#Headers],0),FALSE),0)*MAX(0,SUM('Construction Dashboard'!$G66:K66)),0)</f>
        <v>0</v>
      </c>
      <c r="K55" s="72">
        <f>IF(VALUE(CostRemaining[#Headers])&lt;='Construction Dashboard'!$F66,IFERROR(VLOOKUP(CostRemaining[[#This Row],[Cost]],Upgrades[],MATCH("C"&amp;CostRemaining[#Headers],Upgrades[#Headers],0),FALSE),0)*MAX(0,SUM('Construction Dashboard'!$G66:L66)),0)</f>
        <v>0</v>
      </c>
      <c r="L55" s="72">
        <f>IF(VALUE(CostRemaining[#Headers])&lt;='Construction Dashboard'!$F66,IFERROR(VLOOKUP(CostRemaining[[#This Row],[Cost]],Upgrades[],MATCH("C"&amp;CostRemaining[#Headers],Upgrades[#Headers],0),FALSE),0)*MAX(0,SUM('Construction Dashboard'!$G66:M66)),0)</f>
        <v>0</v>
      </c>
      <c r="M55" s="72">
        <f>IF(VALUE(CostRemaining[#Headers])&lt;='Construction Dashboard'!$F66,IFERROR(VLOOKUP(CostRemaining[[#This Row],[Cost]],Upgrades[],MATCH("C"&amp;CostRemaining[#Headers],Upgrades[#Headers],0),FALSE),0)*MAX(0,SUM('Construction Dashboard'!$G66:N66)),0)</f>
        <v>0</v>
      </c>
      <c r="N55" s="72">
        <f>IF(VALUE(CostRemaining[#Headers])&lt;='Construction Dashboard'!$F66,IFERROR(VLOOKUP(CostRemaining[[#This Row],[Cost]],Upgrades[],MATCH("C"&amp;CostRemaining[#Headers],Upgrades[#Headers],0),FALSE),0)*MAX(0,SUM('Construction Dashboard'!$G66:O66)),0)</f>
        <v>0</v>
      </c>
      <c r="O55" s="72">
        <f>IF(VALUE(CostRemaining[#Headers])&lt;='Construction Dashboard'!$F66,IFERROR(VLOOKUP(CostRemaining[[#This Row],[Cost]],Upgrades[],MATCH("C"&amp;CostRemaining[#Headers],Upgrades[#Headers],0),FALSE),0)*MAX(0,SUM('Construction Dashboard'!$G66:P66)),0)</f>
        <v>0</v>
      </c>
      <c r="P55" s="72">
        <f>IF(VALUE(CostRemaining[#Headers])&lt;='Construction Dashboard'!$F66,IFERROR(VLOOKUP(CostRemaining[[#This Row],[Cost]],Upgrades[],MATCH("C"&amp;CostRemaining[#Headers],Upgrades[#Headers],0),FALSE),0)*MAX(0,SUM('Construction Dashboard'!$G66:Q66)),0)</f>
        <v>0</v>
      </c>
      <c r="Q55" s="72">
        <f>IF(VALUE(CostRemaining[#Headers])&lt;='Construction Dashboard'!$F66,IFERROR(VLOOKUP(CostRemaining[[#This Row],[Cost]],Upgrades[],MATCH("C"&amp;CostRemaining[#Headers],Upgrades[#Headers],0),FALSE),0)*MAX(0,SUM('Construction Dashboard'!$G66:R66)),0)</f>
        <v>0</v>
      </c>
      <c r="R55" s="72">
        <f>IF(CostRemaining[[#This Row],[MatchStr]]="IGNORE",0,SUM(CostRemaining[[#This Row],[1]:[12]]))</f>
        <v>0</v>
      </c>
    </row>
    <row r="56" spans="1:27">
      <c r="A56" s="26" t="s">
        <v>97</v>
      </c>
      <c r="B56" s="73" t="str">
        <f>VLOOKUP(CostRemaining[[#This Row],[Cost]],Upgrades[],2,FALSE)</f>
        <v>Upgrade</v>
      </c>
      <c r="C56" s="73" t="str">
        <f>VLOOKUP(CostRemaining[[#This Row],[Cost]],Upgrades[],3,FALSE)</f>
        <v>Elixir</v>
      </c>
      <c r="D56" s="172" t="str">
        <f>IF((IFERROR(MATCH(CostRemaining[[#This Row],[Cost]],'Construction Dashboard'!$P$19:$S$19,0),0)+IFERROR(MATCH(CostRemaining[[#This Row],[Cost]],'Construction Dashboard'!$P$20:$S$20,0),0))&gt;0,"IGNORE",CostRemaining[Kind]&amp;"-"&amp;CostRemaining[Resource])</f>
        <v>Upgrade-Elixir</v>
      </c>
      <c r="E56" s="71" t="str">
        <f>IFERROR(VLOOKUP(CostRemaining[[#This Row],[Cost]],Upgrades[],MATCH("C"&amp;MATCH(TRUE,INDEX(CostRemaining[[#This Row],[1]:[12]]&lt;&gt;0,),0),Upgrades[#Headers],0),FALSE),"")</f>
        <v/>
      </c>
      <c r="F56" s="72">
        <f>IF(VALUE(CostRemaining[#Headers])&lt;='Construction Dashboard'!$F67,IFERROR(VLOOKUP(CostRemaining[[#This Row],[Cost]],Upgrades[],MATCH("C"&amp;CostRemaining[#Headers],Upgrades[#Headers],0),FALSE),0)*MAX(0,SUM('Construction Dashboard'!$G67:G67)),0)</f>
        <v>0</v>
      </c>
      <c r="G56" s="72">
        <f>IF(VALUE(CostRemaining[#Headers])&lt;='Construction Dashboard'!$F67,IFERROR(VLOOKUP(CostRemaining[[#This Row],[Cost]],Upgrades[],MATCH("C"&amp;CostRemaining[#Headers],Upgrades[#Headers],0),FALSE),0)*MAX(0,SUM('Construction Dashboard'!$G67:H67)),0)</f>
        <v>0</v>
      </c>
      <c r="H56" s="72">
        <f>IF(VALUE(CostRemaining[#Headers])&lt;='Construction Dashboard'!$F67,IFERROR(VLOOKUP(CostRemaining[[#This Row],[Cost]],Upgrades[],MATCH("C"&amp;CostRemaining[#Headers],Upgrades[#Headers],0),FALSE),0)*MAX(0,SUM('Construction Dashboard'!$G67:I67)),0)</f>
        <v>0</v>
      </c>
      <c r="I56" s="72">
        <f>IF(VALUE(CostRemaining[#Headers])&lt;='Construction Dashboard'!$F67,IFERROR(VLOOKUP(CostRemaining[[#This Row],[Cost]],Upgrades[],MATCH("C"&amp;CostRemaining[#Headers],Upgrades[#Headers],0),FALSE),0)*MAX(0,SUM('Construction Dashboard'!$G67:J67)),0)</f>
        <v>0</v>
      </c>
      <c r="J56" s="72">
        <f>IF(VALUE(CostRemaining[#Headers])&lt;='Construction Dashboard'!$F67,IFERROR(VLOOKUP(CostRemaining[[#This Row],[Cost]],Upgrades[],MATCH("C"&amp;CostRemaining[#Headers],Upgrades[#Headers],0),FALSE),0)*MAX(0,SUM('Construction Dashboard'!$G67:K67)),0)</f>
        <v>0</v>
      </c>
      <c r="K56" s="72">
        <f>IF(VALUE(CostRemaining[#Headers])&lt;='Construction Dashboard'!$F67,IFERROR(VLOOKUP(CostRemaining[[#This Row],[Cost]],Upgrades[],MATCH("C"&amp;CostRemaining[#Headers],Upgrades[#Headers],0),FALSE),0)*MAX(0,SUM('Construction Dashboard'!$G67:L67)),0)</f>
        <v>0</v>
      </c>
      <c r="L56" s="72">
        <f>IF(VALUE(CostRemaining[#Headers])&lt;='Construction Dashboard'!$F67,IFERROR(VLOOKUP(CostRemaining[[#This Row],[Cost]],Upgrades[],MATCH("C"&amp;CostRemaining[#Headers],Upgrades[#Headers],0),FALSE),0)*MAX(0,SUM('Construction Dashboard'!$G67:M67)),0)</f>
        <v>0</v>
      </c>
      <c r="M56" s="72">
        <f>IF(VALUE(CostRemaining[#Headers])&lt;='Construction Dashboard'!$F67,IFERROR(VLOOKUP(CostRemaining[[#This Row],[Cost]],Upgrades[],MATCH("C"&amp;CostRemaining[#Headers],Upgrades[#Headers],0),FALSE),0)*MAX(0,SUM('Construction Dashboard'!$G67:N67)),0)</f>
        <v>0</v>
      </c>
      <c r="N56" s="72">
        <f>IF(VALUE(CostRemaining[#Headers])&lt;='Construction Dashboard'!$F67,IFERROR(VLOOKUP(CostRemaining[[#This Row],[Cost]],Upgrades[],MATCH("C"&amp;CostRemaining[#Headers],Upgrades[#Headers],0),FALSE),0)*MAX(0,SUM('Construction Dashboard'!$G67:O67)),0)</f>
        <v>0</v>
      </c>
      <c r="O56" s="72">
        <f>IF(VALUE(CostRemaining[#Headers])&lt;='Construction Dashboard'!$F67,IFERROR(VLOOKUP(CostRemaining[[#This Row],[Cost]],Upgrades[],MATCH("C"&amp;CostRemaining[#Headers],Upgrades[#Headers],0),FALSE),0)*MAX(0,SUM('Construction Dashboard'!$G67:P67)),0)</f>
        <v>0</v>
      </c>
      <c r="P56" s="72">
        <f>IF(VALUE(CostRemaining[#Headers])&lt;='Construction Dashboard'!$F67,IFERROR(VLOOKUP(CostRemaining[[#This Row],[Cost]],Upgrades[],MATCH("C"&amp;CostRemaining[#Headers],Upgrades[#Headers],0),FALSE),0)*MAX(0,SUM('Construction Dashboard'!$G67:Q67)),0)</f>
        <v>0</v>
      </c>
      <c r="Q56" s="72">
        <f>IF(VALUE(CostRemaining[#Headers])&lt;='Construction Dashboard'!$F67,IFERROR(VLOOKUP(CostRemaining[[#This Row],[Cost]],Upgrades[],MATCH("C"&amp;CostRemaining[#Headers],Upgrades[#Headers],0),FALSE),0)*MAX(0,SUM('Construction Dashboard'!$G67:R67)),0)</f>
        <v>0</v>
      </c>
      <c r="R56" s="72">
        <f>IF(CostRemaining[[#This Row],[MatchStr]]="IGNORE",0,SUM(CostRemaining[[#This Row],[1]:[12]]))</f>
        <v>0</v>
      </c>
    </row>
    <row r="57" spans="1:27">
      <c r="A57" s="26" t="s">
        <v>98</v>
      </c>
      <c r="B57" s="73" t="str">
        <f>VLOOKUP(CostRemaining[[#This Row],[Cost]],Upgrades[],2,FALSE)</f>
        <v>Upgrade</v>
      </c>
      <c r="C57" s="73" t="str">
        <f>VLOOKUP(CostRemaining[[#This Row],[Cost]],Upgrades[],3,FALSE)</f>
        <v>Dark Elixir</v>
      </c>
      <c r="D57" s="172" t="str">
        <f>IF((IFERROR(MATCH(CostRemaining[[#This Row],[Cost]],'Construction Dashboard'!$P$19:$S$19,0),0)+IFERROR(MATCH(CostRemaining[[#This Row],[Cost]],'Construction Dashboard'!$P$20:$S$20,0),0))&gt;0,"IGNORE",CostRemaining[Kind]&amp;"-"&amp;CostRemaining[Resource])</f>
        <v>IGNORE</v>
      </c>
      <c r="E57" s="71">
        <f>IFERROR(VLOOKUP(CostRemaining[[#This Row],[Cost]],Upgrades[],MATCH("C"&amp;MATCH(TRUE,INDEX(CostRemaining[[#This Row],[1]:[12]]&lt;&gt;0,),0),Upgrades[#Headers],0),FALSE),"")</f>
        <v>10000</v>
      </c>
      <c r="F57" s="72">
        <f>IF(VALUE(CostRemaining[#Headers])&lt;='Construction Dashboard'!$F68,IFERROR(VLOOKUP(CostRemaining[[#This Row],[Cost]],Upgrades[],MATCH("C"&amp;CostRemaining[#Headers],Upgrades[#Headers],0),FALSE),0)*MAX(0,SUM('Construction Dashboard'!$G68:G68)),0)</f>
        <v>0</v>
      </c>
      <c r="G57" s="72">
        <f>IF(VALUE(CostRemaining[#Headers])&lt;='Construction Dashboard'!$F68,IFERROR(VLOOKUP(CostRemaining[[#This Row],[Cost]],Upgrades[],MATCH("C"&amp;CostRemaining[#Headers],Upgrades[#Headers],0),FALSE),0)*MAX(0,SUM('Construction Dashboard'!$G68:H68)),0)</f>
        <v>10000</v>
      </c>
      <c r="H57" s="72">
        <f>IF(VALUE(CostRemaining[#Headers])&lt;='Construction Dashboard'!$F68,IFERROR(VLOOKUP(CostRemaining[[#This Row],[Cost]],Upgrades[],MATCH("C"&amp;CostRemaining[#Headers],Upgrades[#Headers],0),FALSE),0)*MAX(0,SUM('Construction Dashboard'!$G68:I68)),0)</f>
        <v>0</v>
      </c>
      <c r="I57" s="72">
        <f>IF(VALUE(CostRemaining[#Headers])&lt;='Construction Dashboard'!$F68,IFERROR(VLOOKUP(CostRemaining[[#This Row],[Cost]],Upgrades[],MATCH("C"&amp;CostRemaining[#Headers],Upgrades[#Headers],0),FALSE),0)*MAX(0,SUM('Construction Dashboard'!$G68:J68)),0)</f>
        <v>0</v>
      </c>
      <c r="J57" s="72">
        <f>IF(VALUE(CostRemaining[#Headers])&lt;='Construction Dashboard'!$F68,IFERROR(VLOOKUP(CostRemaining[[#This Row],[Cost]],Upgrades[],MATCH("C"&amp;CostRemaining[#Headers],Upgrades[#Headers],0),FALSE),0)*MAX(0,SUM('Construction Dashboard'!$G68:K68)),0)</f>
        <v>0</v>
      </c>
      <c r="K57" s="72">
        <f>IF(VALUE(CostRemaining[#Headers])&lt;='Construction Dashboard'!$F68,IFERROR(VLOOKUP(CostRemaining[[#This Row],[Cost]],Upgrades[],MATCH("C"&amp;CostRemaining[#Headers],Upgrades[#Headers],0),FALSE),0)*MAX(0,SUM('Construction Dashboard'!$G68:L68)),0)</f>
        <v>0</v>
      </c>
      <c r="L57" s="72">
        <f>IF(VALUE(CostRemaining[#Headers])&lt;='Construction Dashboard'!$F68,IFERROR(VLOOKUP(CostRemaining[[#This Row],[Cost]],Upgrades[],MATCH("C"&amp;CostRemaining[#Headers],Upgrades[#Headers],0),FALSE),0)*MAX(0,SUM('Construction Dashboard'!$G68:M68)),0)</f>
        <v>0</v>
      </c>
      <c r="M57" s="72">
        <f>IF(VALUE(CostRemaining[#Headers])&lt;='Construction Dashboard'!$F68,IFERROR(VLOOKUP(CostRemaining[[#This Row],[Cost]],Upgrades[],MATCH("C"&amp;CostRemaining[#Headers],Upgrades[#Headers],0),FALSE),0)*MAX(0,SUM('Construction Dashboard'!$G68:N68)),0)</f>
        <v>0</v>
      </c>
      <c r="N57" s="72">
        <f>IF(VALUE(CostRemaining[#Headers])&lt;='Construction Dashboard'!$F68,IFERROR(VLOOKUP(CostRemaining[[#This Row],[Cost]],Upgrades[],MATCH("C"&amp;CostRemaining[#Headers],Upgrades[#Headers],0),FALSE),0)*MAX(0,SUM('Construction Dashboard'!$G68:O68)),0)</f>
        <v>0</v>
      </c>
      <c r="O57" s="72">
        <f>IF(VALUE(CostRemaining[#Headers])&lt;='Construction Dashboard'!$F68,IFERROR(VLOOKUP(CostRemaining[[#This Row],[Cost]],Upgrades[],MATCH("C"&amp;CostRemaining[#Headers],Upgrades[#Headers],0),FALSE),0)*MAX(0,SUM('Construction Dashboard'!$G68:P68)),0)</f>
        <v>0</v>
      </c>
      <c r="P57" s="72">
        <f>IF(VALUE(CostRemaining[#Headers])&lt;='Construction Dashboard'!$F68,IFERROR(VLOOKUP(CostRemaining[[#This Row],[Cost]],Upgrades[],MATCH("C"&amp;CostRemaining[#Headers],Upgrades[#Headers],0),FALSE),0)*MAX(0,SUM('Construction Dashboard'!$G68:Q68)),0)</f>
        <v>0</v>
      </c>
      <c r="Q57" s="72">
        <f>IF(VALUE(CostRemaining[#Headers])&lt;='Construction Dashboard'!$F68,IFERROR(VLOOKUP(CostRemaining[[#This Row],[Cost]],Upgrades[],MATCH("C"&amp;CostRemaining[#Headers],Upgrades[#Headers],0),FALSE),0)*MAX(0,SUM('Construction Dashboard'!$G68:R68)),0)</f>
        <v>0</v>
      </c>
      <c r="R57" s="72">
        <f>IF(CostRemaining[[#This Row],[MatchStr]]="IGNORE",0,SUM(CostRemaining[[#This Row],[1]:[12]]))</f>
        <v>0</v>
      </c>
    </row>
    <row r="58" spans="1:27">
      <c r="A58" s="26" t="s">
        <v>99</v>
      </c>
      <c r="B58" s="73" t="str">
        <f>VLOOKUP(CostRemaining[[#This Row],[Cost]],Upgrades[],2,FALSE)</f>
        <v>Upgrade</v>
      </c>
      <c r="C58" s="73" t="str">
        <f>VLOOKUP(CostRemaining[[#This Row],[Cost]],Upgrades[],3,FALSE)</f>
        <v>Dark Elixir</v>
      </c>
      <c r="D58" s="172" t="str">
        <f>IF((IFERROR(MATCH(CostRemaining[[#This Row],[Cost]],'Construction Dashboard'!$P$19:$S$19,0),0)+IFERROR(MATCH(CostRemaining[[#This Row],[Cost]],'Construction Dashboard'!$P$20:$S$20,0),0))&gt;0,"IGNORE",CostRemaining[Kind]&amp;"-"&amp;CostRemaining[Resource])</f>
        <v>Upgrade-Dark Elixir</v>
      </c>
      <c r="E58" s="71">
        <f>IFERROR(VLOOKUP(CostRemaining[[#This Row],[Cost]],Upgrades[],MATCH("C"&amp;MATCH(TRUE,INDEX(CostRemaining[[#This Row],[1]:[12]]&lt;&gt;0,),0),Upgrades[#Headers],0),FALSE),"")</f>
        <v>20000</v>
      </c>
      <c r="F58" s="72">
        <f>IF(VALUE(CostRemaining[#Headers])&lt;='Construction Dashboard'!$F69,IFERROR(VLOOKUP(CostRemaining[[#This Row],[Cost]],Upgrades[],MATCH("C"&amp;CostRemaining[#Headers],Upgrades[#Headers],0),FALSE),0)*MAX(0,SUM('Construction Dashboard'!$G69:G69)),0)</f>
        <v>0</v>
      </c>
      <c r="G58" s="72">
        <f>IF(VALUE(CostRemaining[#Headers])&lt;='Construction Dashboard'!$F69,IFERROR(VLOOKUP(CostRemaining[[#This Row],[Cost]],Upgrades[],MATCH("C"&amp;CostRemaining[#Headers],Upgrades[#Headers],0),FALSE),0)*MAX(0,SUM('Construction Dashboard'!$G69:H69)),0)</f>
        <v>20000</v>
      </c>
      <c r="H58" s="72">
        <f>IF(VALUE(CostRemaining[#Headers])&lt;='Construction Dashboard'!$F69,IFERROR(VLOOKUP(CostRemaining[[#This Row],[Cost]],Upgrades[],MATCH("C"&amp;CostRemaining[#Headers],Upgrades[#Headers],0),FALSE),0)*MAX(0,SUM('Construction Dashboard'!$G69:I69)),0)</f>
        <v>0</v>
      </c>
      <c r="I58" s="72">
        <f>IF(VALUE(CostRemaining[#Headers])&lt;='Construction Dashboard'!$F69,IFERROR(VLOOKUP(CostRemaining[[#This Row],[Cost]],Upgrades[],MATCH("C"&amp;CostRemaining[#Headers],Upgrades[#Headers],0),FALSE),0)*MAX(0,SUM('Construction Dashboard'!$G69:J69)),0)</f>
        <v>0</v>
      </c>
      <c r="J58" s="72">
        <f>IF(VALUE(CostRemaining[#Headers])&lt;='Construction Dashboard'!$F69,IFERROR(VLOOKUP(CostRemaining[[#This Row],[Cost]],Upgrades[],MATCH("C"&amp;CostRemaining[#Headers],Upgrades[#Headers],0),FALSE),0)*MAX(0,SUM('Construction Dashboard'!$G69:K69)),0)</f>
        <v>0</v>
      </c>
      <c r="K58" s="72">
        <f>IF(VALUE(CostRemaining[#Headers])&lt;='Construction Dashboard'!$F69,IFERROR(VLOOKUP(CostRemaining[[#This Row],[Cost]],Upgrades[],MATCH("C"&amp;CostRemaining[#Headers],Upgrades[#Headers],0),FALSE),0)*MAX(0,SUM('Construction Dashboard'!$G69:L69)),0)</f>
        <v>0</v>
      </c>
      <c r="L58" s="72">
        <f>IF(VALUE(CostRemaining[#Headers])&lt;='Construction Dashboard'!$F69,IFERROR(VLOOKUP(CostRemaining[[#This Row],[Cost]],Upgrades[],MATCH("C"&amp;CostRemaining[#Headers],Upgrades[#Headers],0),FALSE),0)*MAX(0,SUM('Construction Dashboard'!$G69:M69)),0)</f>
        <v>0</v>
      </c>
      <c r="M58" s="72">
        <f>IF(VALUE(CostRemaining[#Headers])&lt;='Construction Dashboard'!$F69,IFERROR(VLOOKUP(CostRemaining[[#This Row],[Cost]],Upgrades[],MATCH("C"&amp;CostRemaining[#Headers],Upgrades[#Headers],0),FALSE),0)*MAX(0,SUM('Construction Dashboard'!$G69:N69)),0)</f>
        <v>0</v>
      </c>
      <c r="N58" s="72">
        <f>IF(VALUE(CostRemaining[#Headers])&lt;='Construction Dashboard'!$F69,IFERROR(VLOOKUP(CostRemaining[[#This Row],[Cost]],Upgrades[],MATCH("C"&amp;CostRemaining[#Headers],Upgrades[#Headers],0),FALSE),0)*MAX(0,SUM('Construction Dashboard'!$G69:O69)),0)</f>
        <v>0</v>
      </c>
      <c r="O58" s="72">
        <f>IF(VALUE(CostRemaining[#Headers])&lt;='Construction Dashboard'!$F69,IFERROR(VLOOKUP(CostRemaining[[#This Row],[Cost]],Upgrades[],MATCH("C"&amp;CostRemaining[#Headers],Upgrades[#Headers],0),FALSE),0)*MAX(0,SUM('Construction Dashboard'!$G69:P69)),0)</f>
        <v>0</v>
      </c>
      <c r="P58" s="72">
        <f>IF(VALUE(CostRemaining[#Headers])&lt;='Construction Dashboard'!$F69,IFERROR(VLOOKUP(CostRemaining[[#This Row],[Cost]],Upgrades[],MATCH("C"&amp;CostRemaining[#Headers],Upgrades[#Headers],0),FALSE),0)*MAX(0,SUM('Construction Dashboard'!$G69:Q69)),0)</f>
        <v>0</v>
      </c>
      <c r="Q58" s="72">
        <f>IF(VALUE(CostRemaining[#Headers])&lt;='Construction Dashboard'!$F69,IFERROR(VLOOKUP(CostRemaining[[#This Row],[Cost]],Upgrades[],MATCH("C"&amp;CostRemaining[#Headers],Upgrades[#Headers],0),FALSE),0)*MAX(0,SUM('Construction Dashboard'!$G69:R69)),0)</f>
        <v>0</v>
      </c>
      <c r="R58" s="72">
        <f>IF(CostRemaining[[#This Row],[MatchStr]]="IGNORE",0,SUM(CostRemaining[[#This Row],[1]:[12]]))</f>
        <v>20000</v>
      </c>
    </row>
    <row r="59" spans="1:27">
      <c r="A59" s="26" t="s">
        <v>100</v>
      </c>
      <c r="B59" s="73" t="str">
        <f>VLOOKUP(CostRemaining[[#This Row],[Cost]],Upgrades[],2,FALSE)</f>
        <v>Upgrade</v>
      </c>
      <c r="C59" s="73" t="str">
        <f>VLOOKUP(CostRemaining[[#This Row],[Cost]],Upgrades[],3,FALSE)</f>
        <v>Dark Elixir</v>
      </c>
      <c r="D59" s="172" t="str">
        <f>IF((IFERROR(MATCH(CostRemaining[[#This Row],[Cost]],'Construction Dashboard'!$P$19:$S$19,0),0)+IFERROR(MATCH(CostRemaining[[#This Row],[Cost]],'Construction Dashboard'!$P$20:$S$20,0),0))&gt;0,"IGNORE",CostRemaining[Kind]&amp;"-"&amp;CostRemaining[Resource])</f>
        <v>Upgrade-Dark Elixir</v>
      </c>
      <c r="E59" s="71" t="str">
        <f>IFERROR(VLOOKUP(CostRemaining[[#This Row],[Cost]],Upgrades[],MATCH("C"&amp;MATCH(TRUE,INDEX(CostRemaining[[#This Row],[1]:[12]]&lt;&gt;0,),0),Upgrades[#Headers],0),FALSE),"")</f>
        <v/>
      </c>
      <c r="F59" s="72">
        <f>IF(VALUE(CostRemaining[#Headers])&lt;='Construction Dashboard'!$F70,IFERROR(VLOOKUP(CostRemaining[[#This Row],[Cost]],Upgrades[],MATCH("C"&amp;CostRemaining[#Headers],Upgrades[#Headers],0),FALSE),0)*MAX(0,SUM('Construction Dashboard'!$G70:G70)),0)</f>
        <v>0</v>
      </c>
      <c r="G59" s="72">
        <f>IF(VALUE(CostRemaining[#Headers])&lt;='Construction Dashboard'!$F70,IFERROR(VLOOKUP(CostRemaining[[#This Row],[Cost]],Upgrades[],MATCH("C"&amp;CostRemaining[#Headers],Upgrades[#Headers],0),FALSE),0)*MAX(0,SUM('Construction Dashboard'!$G70:H70)),0)</f>
        <v>0</v>
      </c>
      <c r="H59" s="72">
        <f>IF(VALUE(CostRemaining[#Headers])&lt;='Construction Dashboard'!$F70,IFERROR(VLOOKUP(CostRemaining[[#This Row],[Cost]],Upgrades[],MATCH("C"&amp;CostRemaining[#Headers],Upgrades[#Headers],0),FALSE),0)*MAX(0,SUM('Construction Dashboard'!$G70:I70)),0)</f>
        <v>0</v>
      </c>
      <c r="I59" s="72">
        <f>IF(VALUE(CostRemaining[#Headers])&lt;='Construction Dashboard'!$F70,IFERROR(VLOOKUP(CostRemaining[[#This Row],[Cost]],Upgrades[],MATCH("C"&amp;CostRemaining[#Headers],Upgrades[#Headers],0),FALSE),0)*MAX(0,SUM('Construction Dashboard'!$G70:J70)),0)</f>
        <v>0</v>
      </c>
      <c r="J59" s="72">
        <f>IF(VALUE(CostRemaining[#Headers])&lt;='Construction Dashboard'!$F70,IFERROR(VLOOKUP(CostRemaining[[#This Row],[Cost]],Upgrades[],MATCH("C"&amp;CostRemaining[#Headers],Upgrades[#Headers],0),FALSE),0)*MAX(0,SUM('Construction Dashboard'!$G70:K70)),0)</f>
        <v>0</v>
      </c>
      <c r="K59" s="72">
        <f>IF(VALUE(CostRemaining[#Headers])&lt;='Construction Dashboard'!$F70,IFERROR(VLOOKUP(CostRemaining[[#This Row],[Cost]],Upgrades[],MATCH("C"&amp;CostRemaining[#Headers],Upgrades[#Headers],0),FALSE),0)*MAX(0,SUM('Construction Dashboard'!$G70:L70)),0)</f>
        <v>0</v>
      </c>
      <c r="L59" s="72">
        <f>IF(VALUE(CostRemaining[#Headers])&lt;='Construction Dashboard'!$F70,IFERROR(VLOOKUP(CostRemaining[[#This Row],[Cost]],Upgrades[],MATCH("C"&amp;CostRemaining[#Headers],Upgrades[#Headers],0),FALSE),0)*MAX(0,SUM('Construction Dashboard'!$G70:M70)),0)</f>
        <v>0</v>
      </c>
      <c r="M59" s="72">
        <f>IF(VALUE(CostRemaining[#Headers])&lt;='Construction Dashboard'!$F70,IFERROR(VLOOKUP(CostRemaining[[#This Row],[Cost]],Upgrades[],MATCH("C"&amp;CostRemaining[#Headers],Upgrades[#Headers],0),FALSE),0)*MAX(0,SUM('Construction Dashboard'!$G70:N70)),0)</f>
        <v>0</v>
      </c>
      <c r="N59" s="72">
        <f>IF(VALUE(CostRemaining[#Headers])&lt;='Construction Dashboard'!$F70,IFERROR(VLOOKUP(CostRemaining[[#This Row],[Cost]],Upgrades[],MATCH("C"&amp;CostRemaining[#Headers],Upgrades[#Headers],0),FALSE),0)*MAX(0,SUM('Construction Dashboard'!$G70:O70)),0)</f>
        <v>0</v>
      </c>
      <c r="O59" s="72">
        <f>IF(VALUE(CostRemaining[#Headers])&lt;='Construction Dashboard'!$F70,IFERROR(VLOOKUP(CostRemaining[[#This Row],[Cost]],Upgrades[],MATCH("C"&amp;CostRemaining[#Headers],Upgrades[#Headers],0),FALSE),0)*MAX(0,SUM('Construction Dashboard'!$G70:P70)),0)</f>
        <v>0</v>
      </c>
      <c r="P59" s="72">
        <f>IF(VALUE(CostRemaining[#Headers])&lt;='Construction Dashboard'!$F70,IFERROR(VLOOKUP(CostRemaining[[#This Row],[Cost]],Upgrades[],MATCH("C"&amp;CostRemaining[#Headers],Upgrades[#Headers],0),FALSE),0)*MAX(0,SUM('Construction Dashboard'!$G70:Q70)),0)</f>
        <v>0</v>
      </c>
      <c r="Q59" s="72">
        <f>IF(VALUE(CostRemaining[#Headers])&lt;='Construction Dashboard'!$F70,IFERROR(VLOOKUP(CostRemaining[[#This Row],[Cost]],Upgrades[],MATCH("C"&amp;CostRemaining[#Headers],Upgrades[#Headers],0),FALSE),0)*MAX(0,SUM('Construction Dashboard'!$G70:R70)),0)</f>
        <v>0</v>
      </c>
      <c r="R59" s="72">
        <f>IF(CostRemaining[[#This Row],[MatchStr]]="IGNORE",0,SUM(CostRemaining[[#This Row],[1]:[12]]))</f>
        <v>0</v>
      </c>
    </row>
    <row r="60" spans="1:27">
      <c r="A60" s="26" t="s">
        <v>101</v>
      </c>
      <c r="B60" s="73" t="str">
        <f>VLOOKUP(CostRemaining[[#This Row],[Cost]],Upgrades[],2,FALSE)</f>
        <v>Upgrade</v>
      </c>
      <c r="C60" s="73" t="str">
        <f>VLOOKUP(CostRemaining[[#This Row],[Cost]],Upgrades[],3,FALSE)</f>
        <v>Dark Elixir</v>
      </c>
      <c r="D60" s="172" t="str">
        <f>IF((IFERROR(MATCH(CostRemaining[[#This Row],[Cost]],'Construction Dashboard'!$P$19:$S$19,0),0)+IFERROR(MATCH(CostRemaining[[#This Row],[Cost]],'Construction Dashboard'!$P$20:$S$20,0),0))&gt;0,"IGNORE",CostRemaining[Kind]&amp;"-"&amp;CostRemaining[Resource])</f>
        <v>Upgrade-Dark Elixir</v>
      </c>
      <c r="E60" s="71" t="str">
        <f>IFERROR(VLOOKUP(CostRemaining[[#This Row],[Cost]],Upgrades[],MATCH("C"&amp;MATCH(TRUE,INDEX(CostRemaining[[#This Row],[1]:[12]]&lt;&gt;0,),0),Upgrades[#Headers],0),FALSE),"")</f>
        <v/>
      </c>
      <c r="F60" s="72">
        <f>IF(VALUE(CostRemaining[#Headers])&lt;='Construction Dashboard'!$F71,IFERROR(VLOOKUP(CostRemaining[[#This Row],[Cost]],Upgrades[],MATCH("C"&amp;CostRemaining[#Headers],Upgrades[#Headers],0),FALSE),0)*MAX(0,SUM('Construction Dashboard'!$G71:G71)),0)</f>
        <v>0</v>
      </c>
      <c r="G60" s="72">
        <f>IF(VALUE(CostRemaining[#Headers])&lt;='Construction Dashboard'!$F71,IFERROR(VLOOKUP(CostRemaining[[#This Row],[Cost]],Upgrades[],MATCH("C"&amp;CostRemaining[#Headers],Upgrades[#Headers],0),FALSE),0)*MAX(0,SUM('Construction Dashboard'!$G71:H71)),0)</f>
        <v>0</v>
      </c>
      <c r="H60" s="72">
        <f>IF(VALUE(CostRemaining[#Headers])&lt;='Construction Dashboard'!$F71,IFERROR(VLOOKUP(CostRemaining[[#This Row],[Cost]],Upgrades[],MATCH("C"&amp;CostRemaining[#Headers],Upgrades[#Headers],0),FALSE),0)*MAX(0,SUM('Construction Dashboard'!$G71:I71)),0)</f>
        <v>0</v>
      </c>
      <c r="I60" s="72">
        <f>IF(VALUE(CostRemaining[#Headers])&lt;='Construction Dashboard'!$F71,IFERROR(VLOOKUP(CostRemaining[[#This Row],[Cost]],Upgrades[],MATCH("C"&amp;CostRemaining[#Headers],Upgrades[#Headers],0),FALSE),0)*MAX(0,SUM('Construction Dashboard'!$G71:J71)),0)</f>
        <v>0</v>
      </c>
      <c r="J60" s="72">
        <f>IF(VALUE(CostRemaining[#Headers])&lt;='Construction Dashboard'!$F71,IFERROR(VLOOKUP(CostRemaining[[#This Row],[Cost]],Upgrades[],MATCH("C"&amp;CostRemaining[#Headers],Upgrades[#Headers],0),FALSE),0)*MAX(0,SUM('Construction Dashboard'!$G71:K71)),0)</f>
        <v>0</v>
      </c>
      <c r="K60" s="72">
        <f>IF(VALUE(CostRemaining[#Headers])&lt;='Construction Dashboard'!$F71,IFERROR(VLOOKUP(CostRemaining[[#This Row],[Cost]],Upgrades[],MATCH("C"&amp;CostRemaining[#Headers],Upgrades[#Headers],0),FALSE),0)*MAX(0,SUM('Construction Dashboard'!$G71:L71)),0)</f>
        <v>0</v>
      </c>
      <c r="L60" s="72">
        <f>IF(VALUE(CostRemaining[#Headers])&lt;='Construction Dashboard'!$F71,IFERROR(VLOOKUP(CostRemaining[[#This Row],[Cost]],Upgrades[],MATCH("C"&amp;CostRemaining[#Headers],Upgrades[#Headers],0),FALSE),0)*MAX(0,SUM('Construction Dashboard'!$G71:M71)),0)</f>
        <v>0</v>
      </c>
      <c r="M60" s="72">
        <f>IF(VALUE(CostRemaining[#Headers])&lt;='Construction Dashboard'!$F71,IFERROR(VLOOKUP(CostRemaining[[#This Row],[Cost]],Upgrades[],MATCH("C"&amp;CostRemaining[#Headers],Upgrades[#Headers],0),FALSE),0)*MAX(0,SUM('Construction Dashboard'!$G71:N71)),0)</f>
        <v>0</v>
      </c>
      <c r="N60" s="72">
        <f>IF(VALUE(CostRemaining[#Headers])&lt;='Construction Dashboard'!$F71,IFERROR(VLOOKUP(CostRemaining[[#This Row],[Cost]],Upgrades[],MATCH("C"&amp;CostRemaining[#Headers],Upgrades[#Headers],0),FALSE),0)*MAX(0,SUM('Construction Dashboard'!$G71:O71)),0)</f>
        <v>0</v>
      </c>
      <c r="O60" s="72">
        <f>IF(VALUE(CostRemaining[#Headers])&lt;='Construction Dashboard'!$F71,IFERROR(VLOOKUP(CostRemaining[[#This Row],[Cost]],Upgrades[],MATCH("C"&amp;CostRemaining[#Headers],Upgrades[#Headers],0),FALSE),0)*MAX(0,SUM('Construction Dashboard'!$G71:P71)),0)</f>
        <v>0</v>
      </c>
      <c r="P60" s="72">
        <f>IF(VALUE(CostRemaining[#Headers])&lt;='Construction Dashboard'!$F71,IFERROR(VLOOKUP(CostRemaining[[#This Row],[Cost]],Upgrades[],MATCH("C"&amp;CostRemaining[#Headers],Upgrades[#Headers],0),FALSE),0)*MAX(0,SUM('Construction Dashboard'!$G71:Q71)),0)</f>
        <v>0</v>
      </c>
      <c r="Q60" s="72">
        <f>IF(VALUE(CostRemaining[#Headers])&lt;='Construction Dashboard'!$F71,IFERROR(VLOOKUP(CostRemaining[[#This Row],[Cost]],Upgrades[],MATCH("C"&amp;CostRemaining[#Headers],Upgrades[#Headers],0),FALSE),0)*MAX(0,SUM('Construction Dashboard'!$G71:R71)),0)</f>
        <v>0</v>
      </c>
      <c r="R60" s="72">
        <f>IF(CostRemaining[[#This Row],[MatchStr]]="IGNORE",0,SUM(CostRemaining[[#This Row],[1]:[12]]))</f>
        <v>0</v>
      </c>
    </row>
    <row r="61" spans="1:27">
      <c r="A61" s="74" t="s">
        <v>102</v>
      </c>
      <c r="B61" s="75" t="str">
        <f>VLOOKUP(CostRemaining[[#This Row],[Cost]],Upgrades[],2,FALSE)</f>
        <v>Upgrade</v>
      </c>
      <c r="C61" s="75" t="str">
        <f>VLOOKUP(CostRemaining[[#This Row],[Cost]],Upgrades[],3,FALSE)</f>
        <v>Dark Elixir</v>
      </c>
      <c r="D61" s="173" t="str">
        <f>IF((IFERROR(MATCH(CostRemaining[[#This Row],[Cost]],'Construction Dashboard'!$P$19:$S$19,0),0)+IFERROR(MATCH(CostRemaining[[#This Row],[Cost]],'Construction Dashboard'!$P$20:$S$20,0),0))&gt;0,"IGNORE",CostRemaining[Kind]&amp;"-"&amp;CostRemaining[Resource])</f>
        <v>Upgrade-Dark Elixir</v>
      </c>
      <c r="E61" s="76" t="str">
        <f>IFERROR(VLOOKUP(CostRemaining[[#This Row],[Cost]],Upgrades[],MATCH("C"&amp;MATCH(TRUE,INDEX(CostRemaining[[#This Row],[1]:[12]]&lt;&gt;0,),0),Upgrades[#Headers],0),FALSE),"")</f>
        <v/>
      </c>
      <c r="F61" s="77">
        <f>IF(VALUE(CostRemaining[#Headers])&lt;='Construction Dashboard'!$F72,IFERROR(VLOOKUP(CostRemaining[[#This Row],[Cost]],Upgrades[],MATCH("C"&amp;CostRemaining[#Headers],Upgrades[#Headers],0),FALSE),0)*MAX(0,SUM('Construction Dashboard'!$G72:G72)),0)</f>
        <v>0</v>
      </c>
      <c r="G61" s="77">
        <f>IF(VALUE(CostRemaining[#Headers])&lt;='Construction Dashboard'!$F72,IFERROR(VLOOKUP(CostRemaining[[#This Row],[Cost]],Upgrades[],MATCH("C"&amp;CostRemaining[#Headers],Upgrades[#Headers],0),FALSE),0)*MAX(0,SUM('Construction Dashboard'!$G72:H72)),0)</f>
        <v>0</v>
      </c>
      <c r="H61" s="77">
        <f>IF(VALUE(CostRemaining[#Headers])&lt;='Construction Dashboard'!$F72,IFERROR(VLOOKUP(CostRemaining[[#This Row],[Cost]],Upgrades[],MATCH("C"&amp;CostRemaining[#Headers],Upgrades[#Headers],0),FALSE),0)*MAX(0,SUM('Construction Dashboard'!$G72:I72)),0)</f>
        <v>0</v>
      </c>
      <c r="I61" s="77">
        <f>IF(VALUE(CostRemaining[#Headers])&lt;='Construction Dashboard'!$F72,IFERROR(VLOOKUP(CostRemaining[[#This Row],[Cost]],Upgrades[],MATCH("C"&amp;CostRemaining[#Headers],Upgrades[#Headers],0),FALSE),0)*MAX(0,SUM('Construction Dashboard'!$G72:J72)),0)</f>
        <v>0</v>
      </c>
      <c r="J61" s="77">
        <f>IF(VALUE(CostRemaining[#Headers])&lt;='Construction Dashboard'!$F72,IFERROR(VLOOKUP(CostRemaining[[#This Row],[Cost]],Upgrades[],MATCH("C"&amp;CostRemaining[#Headers],Upgrades[#Headers],0),FALSE),0)*MAX(0,SUM('Construction Dashboard'!$G72:K72)),0)</f>
        <v>0</v>
      </c>
      <c r="K61" s="77">
        <f>IF(VALUE(CostRemaining[#Headers])&lt;='Construction Dashboard'!$F72,IFERROR(VLOOKUP(CostRemaining[[#This Row],[Cost]],Upgrades[],MATCH("C"&amp;CostRemaining[#Headers],Upgrades[#Headers],0),FALSE),0)*MAX(0,SUM('Construction Dashboard'!$G72:L72)),0)</f>
        <v>0</v>
      </c>
      <c r="L61" s="77">
        <f>IF(VALUE(CostRemaining[#Headers])&lt;='Construction Dashboard'!$F72,IFERROR(VLOOKUP(CostRemaining[[#This Row],[Cost]],Upgrades[],MATCH("C"&amp;CostRemaining[#Headers],Upgrades[#Headers],0),FALSE),0)*MAX(0,SUM('Construction Dashboard'!$G72:M72)),0)</f>
        <v>0</v>
      </c>
      <c r="M61" s="77">
        <f>IF(VALUE(CostRemaining[#Headers])&lt;='Construction Dashboard'!$F72,IFERROR(VLOOKUP(CostRemaining[[#This Row],[Cost]],Upgrades[],MATCH("C"&amp;CostRemaining[#Headers],Upgrades[#Headers],0),FALSE),0)*MAX(0,SUM('Construction Dashboard'!$G72:N72)),0)</f>
        <v>0</v>
      </c>
      <c r="N61" s="77">
        <f>IF(VALUE(CostRemaining[#Headers])&lt;='Construction Dashboard'!$F72,IFERROR(VLOOKUP(CostRemaining[[#This Row],[Cost]],Upgrades[],MATCH("C"&amp;CostRemaining[#Headers],Upgrades[#Headers],0),FALSE),0)*MAX(0,SUM('Construction Dashboard'!$G72:O72)),0)</f>
        <v>0</v>
      </c>
      <c r="O61" s="77">
        <f>IF(VALUE(CostRemaining[#Headers])&lt;='Construction Dashboard'!$F72,IFERROR(VLOOKUP(CostRemaining[[#This Row],[Cost]],Upgrades[],MATCH("C"&amp;CostRemaining[#Headers],Upgrades[#Headers],0),FALSE),0)*MAX(0,SUM('Construction Dashboard'!$G72:P72)),0)</f>
        <v>0</v>
      </c>
      <c r="P61" s="77">
        <f>IF(VALUE(CostRemaining[#Headers])&lt;='Construction Dashboard'!$F72,IFERROR(VLOOKUP(CostRemaining[[#This Row],[Cost]],Upgrades[],MATCH("C"&amp;CostRemaining[#Headers],Upgrades[#Headers],0),FALSE),0)*MAX(0,SUM('Construction Dashboard'!$G72:Q72)),0)</f>
        <v>0</v>
      </c>
      <c r="Q61" s="77">
        <f>IF(VALUE(CostRemaining[#Headers])&lt;='Construction Dashboard'!$F72,IFERROR(VLOOKUP(CostRemaining[[#This Row],[Cost]],Upgrades[],MATCH("C"&amp;CostRemaining[#Headers],Upgrades[#Headers],0),FALSE),0)*MAX(0,SUM('Construction Dashboard'!$G72:R72)),0)</f>
        <v>0</v>
      </c>
      <c r="R61" s="77">
        <f>IF(CostRemaining[[#This Row],[MatchStr]]="IGNORE",0,SUM(CostRemaining[[#This Row],[1]:[12]]))</f>
        <v>0</v>
      </c>
    </row>
    <row r="63" spans="1:27" ht="16" thickBot="1"/>
    <row r="64" spans="1:27" ht="32" thickTop="1" thickBot="1">
      <c r="A64" s="282" t="s">
        <v>232</v>
      </c>
      <c r="B64" s="283"/>
      <c r="C64" s="283"/>
      <c r="D64" s="283"/>
      <c r="E64" s="283"/>
      <c r="F64" s="283"/>
      <c r="G64" s="283"/>
      <c r="H64" s="283"/>
      <c r="I64" s="283"/>
      <c r="J64" s="283"/>
      <c r="K64" s="283"/>
      <c r="L64" s="283"/>
      <c r="M64" s="283"/>
      <c r="N64" s="283"/>
      <c r="O64" s="283"/>
      <c r="P64" s="283"/>
      <c r="Q64" s="283"/>
      <c r="R64" s="283"/>
      <c r="S64" s="283"/>
      <c r="T64" s="283"/>
      <c r="U64" s="283"/>
      <c r="V64" s="283"/>
      <c r="W64" s="283"/>
      <c r="X64" s="283"/>
      <c r="Y64" s="283"/>
      <c r="Z64" s="283"/>
      <c r="AA64" s="284"/>
    </row>
    <row r="65" spans="1:18" ht="16" thickTop="1">
      <c r="A65" s="26"/>
      <c r="B65" s="26"/>
      <c r="C65" s="26"/>
      <c r="D65" s="171"/>
      <c r="E65" s="26"/>
      <c r="F65" s="26"/>
      <c r="G65" s="26"/>
      <c r="H65" s="26"/>
      <c r="I65" s="26"/>
      <c r="J65" s="26"/>
      <c r="K65" s="26"/>
      <c r="L65" s="26"/>
      <c r="M65" s="26"/>
      <c r="N65" s="26"/>
      <c r="O65" s="26"/>
      <c r="P65" s="26"/>
      <c r="Q65" s="26"/>
      <c r="R65" s="26"/>
    </row>
    <row r="66" spans="1:18">
      <c r="A66" s="26" t="s">
        <v>0</v>
      </c>
      <c r="B66" s="26" t="s">
        <v>71</v>
      </c>
      <c r="C66" s="26" t="s">
        <v>31</v>
      </c>
      <c r="D66" s="171" t="s">
        <v>140</v>
      </c>
      <c r="E66" s="26" t="s">
        <v>70</v>
      </c>
      <c r="F66" s="26" t="s">
        <v>33</v>
      </c>
      <c r="G66" s="26" t="s">
        <v>34</v>
      </c>
      <c r="H66" s="26" t="s">
        <v>35</v>
      </c>
      <c r="I66" s="26" t="s">
        <v>36</v>
      </c>
      <c r="J66" s="26" t="s">
        <v>37</v>
      </c>
      <c r="K66" s="26" t="s">
        <v>38</v>
      </c>
      <c r="L66" s="26" t="s">
        <v>39</v>
      </c>
      <c r="M66" s="26" t="s">
        <v>40</v>
      </c>
      <c r="N66" s="26" t="s">
        <v>41</v>
      </c>
      <c r="O66" s="26" t="s">
        <v>42</v>
      </c>
      <c r="P66" s="26" t="s">
        <v>43</v>
      </c>
      <c r="Q66" s="26" t="s">
        <v>44</v>
      </c>
      <c r="R66" s="26" t="s">
        <v>69</v>
      </c>
    </row>
    <row r="67" spans="1:18">
      <c r="A67" s="26" t="s">
        <v>13</v>
      </c>
      <c r="B67" s="26" t="str">
        <f>VLOOKUP(TimeRemaining[[#This Row],[Time]],Upgrades[],2,FALSE)</f>
        <v>Building</v>
      </c>
      <c r="C67" s="26" t="str">
        <f>VLOOKUP(TimeRemaining[[#This Row],[Time]],Upgrades[],3,FALSE)</f>
        <v>Gold</v>
      </c>
      <c r="D67" s="171" t="str">
        <f>IF((IFERROR(MATCH(TimeRemaining[[#This Row],[Time]],'Construction Dashboard'!$P$19:$S$19,0),0)+IFERROR(MATCH(TimeRemaining[[#This Row],[Time]],'Construction Dashboard'!$P$20:$S$20,0),0))&gt;0,"IGNORE",TimeRemaining[Kind]&amp;"-"&amp;TimeRemaining[Resource])</f>
        <v>Building-Gold</v>
      </c>
      <c r="E67" s="71">
        <f>IFERROR(VLOOKUP(TimeRemaining[[#This Row],[Time]],Upgrades[],MATCH("T"&amp;MATCH(TRUE,INDEX(TimeRemaining[[#This Row],[1]:[12]]&lt;&gt;0,),0),Upgrades[#Headers],0),FALSE),"")</f>
        <v>8</v>
      </c>
      <c r="F67" s="78">
        <f>IF(VALUE(TimeRemaining[#Headers])&lt;='Construction Dashboard'!$F24,IFERROR(VLOOKUP(TimeRemaining[[#This Row],[Time]],Upgrades[],MATCH("T"&amp;TimeRemaining[#Headers],Upgrades[#Headers],0),FALSE),0)*MAX(0,SUM('Construction Dashboard'!$G24:G24)),0)</f>
        <v>0</v>
      </c>
      <c r="G67" s="78">
        <f>IF(VALUE(TimeRemaining[#Headers])&lt;='Construction Dashboard'!$F24,IFERROR(VLOOKUP(TimeRemaining[[#This Row],[Time]],Upgrades[],MATCH("T"&amp;TimeRemaining[#Headers],Upgrades[#Headers],0),FALSE),0)*MAX(0,SUM('Construction Dashboard'!$G24:H24)),0)</f>
        <v>0</v>
      </c>
      <c r="H67" s="78">
        <f>IF(VALUE(TimeRemaining[#Headers])&lt;='Construction Dashboard'!$F24,IFERROR(VLOOKUP(TimeRemaining[[#This Row],[Time]],Upgrades[],MATCH("T"&amp;TimeRemaining[#Headers],Upgrades[#Headers],0),FALSE),0)*MAX(0,SUM('Construction Dashboard'!$G24:I24)),0)</f>
        <v>0</v>
      </c>
      <c r="I67" s="78">
        <f>IF(VALUE(TimeRemaining[#Headers])&lt;='Construction Dashboard'!$F24,IFERROR(VLOOKUP(TimeRemaining[[#This Row],[Time]],Upgrades[],MATCH("T"&amp;TimeRemaining[#Headers],Upgrades[#Headers],0),FALSE),0)*MAX(0,SUM('Construction Dashboard'!$G24:J24)),0)</f>
        <v>0</v>
      </c>
      <c r="J67" s="78">
        <f>IF(VALUE(TimeRemaining[#Headers])&lt;='Construction Dashboard'!$F24,IFERROR(VLOOKUP(TimeRemaining[[#This Row],[Time]],Upgrades[],MATCH("T"&amp;TimeRemaining[#Headers],Upgrades[#Headers],0),FALSE),0)*MAX(0,SUM('Construction Dashboard'!$G24:K24)),0)</f>
        <v>0</v>
      </c>
      <c r="K67" s="78">
        <f>IF(VALUE(TimeRemaining[#Headers])&lt;='Construction Dashboard'!$F24,IFERROR(VLOOKUP(TimeRemaining[[#This Row],[Time]],Upgrades[],MATCH("T"&amp;TimeRemaining[#Headers],Upgrades[#Headers],0),FALSE),0)*MAX(0,SUM('Construction Dashboard'!$G24:L24)),0)</f>
        <v>0</v>
      </c>
      <c r="L67" s="78">
        <f>IF(VALUE(TimeRemaining[#Headers])&lt;='Construction Dashboard'!$F24,IFERROR(VLOOKUP(TimeRemaining[[#This Row],[Time]],Upgrades[],MATCH("T"&amp;TimeRemaining[#Headers],Upgrades[#Headers],0),FALSE),0)*MAX(0,SUM('Construction Dashboard'!$G24:M24)),0)</f>
        <v>0</v>
      </c>
      <c r="M67" s="78">
        <f>IF(VALUE(TimeRemaining[#Headers])&lt;='Construction Dashboard'!$F24,IFERROR(VLOOKUP(TimeRemaining[[#This Row],[Time]],Upgrades[],MATCH("T"&amp;TimeRemaining[#Headers],Upgrades[#Headers],0),FALSE),0)*MAX(0,SUM('Construction Dashboard'!$G24:N24)),0)</f>
        <v>8</v>
      </c>
      <c r="N67" s="78">
        <f>IF(VALUE(TimeRemaining[#Headers])&lt;='Construction Dashboard'!$F24,IFERROR(VLOOKUP(TimeRemaining[[#This Row],[Time]],Upgrades[],MATCH("T"&amp;TimeRemaining[#Headers],Upgrades[#Headers],0),FALSE),0)*MAX(0,SUM('Construction Dashboard'!$G24:O24)),0)</f>
        <v>0</v>
      </c>
      <c r="O67" s="78">
        <f>IF(VALUE(TimeRemaining[#Headers])&lt;='Construction Dashboard'!$F24,IFERROR(VLOOKUP(TimeRemaining[[#This Row],[Time]],Upgrades[],MATCH("T"&amp;TimeRemaining[#Headers],Upgrades[#Headers],0),FALSE),0)*MAX(0,SUM('Construction Dashboard'!$G24:P24)),0)</f>
        <v>0</v>
      </c>
      <c r="P67" s="78">
        <f>IF(VALUE(TimeRemaining[#Headers])&lt;='Construction Dashboard'!$F24,IFERROR(VLOOKUP(TimeRemaining[[#This Row],[Time]],Upgrades[],MATCH("T"&amp;TimeRemaining[#Headers],Upgrades[#Headers],0),FALSE),0)*MAX(0,SUM('Construction Dashboard'!$G24:Q24)),0)</f>
        <v>0</v>
      </c>
      <c r="Q67" s="78">
        <f>IF(VALUE(TimeRemaining[#Headers])&lt;='Construction Dashboard'!$F24,IFERROR(VLOOKUP(TimeRemaining[[#This Row],[Time]],Upgrades[],MATCH("T"&amp;TimeRemaining[#Headers],Upgrades[#Headers],0),FALSE),0)*MAX(0,SUM('Construction Dashboard'!$G24:R24)),0)</f>
        <v>0</v>
      </c>
      <c r="R67" s="78">
        <f>IF(TimeRemaining[[#This Row],[MatchStr]]="IGNORE",0,SUM(TimeRemaining[[#This Row],[1]:[12]]))</f>
        <v>8</v>
      </c>
    </row>
    <row r="68" spans="1:18">
      <c r="A68" s="26" t="s">
        <v>21</v>
      </c>
      <c r="B68" s="26" t="str">
        <f>VLOOKUP(TimeRemaining[[#This Row],[Time]],Upgrades[],2,FALSE)</f>
        <v>Building</v>
      </c>
      <c r="C68" s="26" t="str">
        <f>VLOOKUP(TimeRemaining[[#This Row],[Time]],Upgrades[],3,FALSE)</f>
        <v>Elixir</v>
      </c>
      <c r="D68" s="171" t="str">
        <f>IF((IFERROR(MATCH(TimeRemaining[[#This Row],[Time]],'Construction Dashboard'!$P$19:$S$19,0),0)+IFERROR(MATCH(TimeRemaining[[#This Row],[Time]],'Construction Dashboard'!$P$20:$S$20,0),0))&gt;0,"IGNORE",TimeRemaining[Kind]&amp;"-"&amp;TimeRemaining[Resource])</f>
        <v>Building-Elixir</v>
      </c>
      <c r="E68" s="71" t="str">
        <f>IFERROR(VLOOKUP(TimeRemaining[[#This Row],[Time]],Upgrades[],MATCH("T"&amp;MATCH(TRUE,INDEX(TimeRemaining[[#This Row],[1]:[12]]&lt;&gt;0,),0),Upgrades[#Headers],0),FALSE),"")</f>
        <v/>
      </c>
      <c r="F68" s="78">
        <f>IF(VALUE(TimeRemaining[#Headers])&lt;='Construction Dashboard'!$F25,IFERROR(VLOOKUP(TimeRemaining[[#This Row],[Time]],Upgrades[],MATCH("T"&amp;TimeRemaining[#Headers],Upgrades[#Headers],0),FALSE),0)*MAX(0,SUM('Construction Dashboard'!$G25:G25)),0)</f>
        <v>0</v>
      </c>
      <c r="G68" s="78">
        <f>IF(VALUE(TimeRemaining[#Headers])&lt;='Construction Dashboard'!$F25,IFERROR(VLOOKUP(TimeRemaining[[#This Row],[Time]],Upgrades[],MATCH("T"&amp;TimeRemaining[#Headers],Upgrades[#Headers],0),FALSE),0)*MAX(0,SUM('Construction Dashboard'!$G25:H25)),0)</f>
        <v>0</v>
      </c>
      <c r="H68" s="78">
        <f>IF(VALUE(TimeRemaining[#Headers])&lt;='Construction Dashboard'!$F25,IFERROR(VLOOKUP(TimeRemaining[[#This Row],[Time]],Upgrades[],MATCH("T"&amp;TimeRemaining[#Headers],Upgrades[#Headers],0),FALSE),0)*MAX(0,SUM('Construction Dashboard'!$G25:I25)),0)</f>
        <v>0</v>
      </c>
      <c r="I68" s="78">
        <f>IF(VALUE(TimeRemaining[#Headers])&lt;='Construction Dashboard'!$F25,IFERROR(VLOOKUP(TimeRemaining[[#This Row],[Time]],Upgrades[],MATCH("T"&amp;TimeRemaining[#Headers],Upgrades[#Headers],0),FALSE),0)*MAX(0,SUM('Construction Dashboard'!$G25:J25)),0)</f>
        <v>0</v>
      </c>
      <c r="J68" s="78">
        <f>IF(VALUE(TimeRemaining[#Headers])&lt;='Construction Dashboard'!$F25,IFERROR(VLOOKUP(TimeRemaining[[#This Row],[Time]],Upgrades[],MATCH("T"&amp;TimeRemaining[#Headers],Upgrades[#Headers],0),FALSE),0)*MAX(0,SUM('Construction Dashboard'!$G25:K25)),0)</f>
        <v>0</v>
      </c>
      <c r="K68" s="78">
        <f>IF(VALUE(TimeRemaining[#Headers])&lt;='Construction Dashboard'!$F25,IFERROR(VLOOKUP(TimeRemaining[[#This Row],[Time]],Upgrades[],MATCH("T"&amp;TimeRemaining[#Headers],Upgrades[#Headers],0),FALSE),0)*MAX(0,SUM('Construction Dashboard'!$G25:L25)),0)</f>
        <v>0</v>
      </c>
      <c r="L68" s="78">
        <f>IF(VALUE(TimeRemaining[#Headers])&lt;='Construction Dashboard'!$F25,IFERROR(VLOOKUP(TimeRemaining[[#This Row],[Time]],Upgrades[],MATCH("T"&amp;TimeRemaining[#Headers],Upgrades[#Headers],0),FALSE),0)*MAX(0,SUM('Construction Dashboard'!$G25:M25)),0)</f>
        <v>0</v>
      </c>
      <c r="M68" s="78">
        <f>IF(VALUE(TimeRemaining[#Headers])&lt;='Construction Dashboard'!$F25,IFERROR(VLOOKUP(TimeRemaining[[#This Row],[Time]],Upgrades[],MATCH("T"&amp;TimeRemaining[#Headers],Upgrades[#Headers],0),FALSE),0)*MAX(0,SUM('Construction Dashboard'!$G25:N25)),0)</f>
        <v>0</v>
      </c>
      <c r="N68" s="78">
        <f>IF(VALUE(TimeRemaining[#Headers])&lt;='Construction Dashboard'!$F25,IFERROR(VLOOKUP(TimeRemaining[[#This Row],[Time]],Upgrades[],MATCH("T"&amp;TimeRemaining[#Headers],Upgrades[#Headers],0),FALSE),0)*MAX(0,SUM('Construction Dashboard'!$G25:O25)),0)</f>
        <v>0</v>
      </c>
      <c r="O68" s="78">
        <f>IF(VALUE(TimeRemaining[#Headers])&lt;='Construction Dashboard'!$F25,IFERROR(VLOOKUP(TimeRemaining[[#This Row],[Time]],Upgrades[],MATCH("T"&amp;TimeRemaining[#Headers],Upgrades[#Headers],0),FALSE),0)*MAX(0,SUM('Construction Dashboard'!$G25:P25)),0)</f>
        <v>0</v>
      </c>
      <c r="P68" s="78">
        <f>IF(VALUE(TimeRemaining[#Headers])&lt;='Construction Dashboard'!$F25,IFERROR(VLOOKUP(TimeRemaining[[#This Row],[Time]],Upgrades[],MATCH("T"&amp;TimeRemaining[#Headers],Upgrades[#Headers],0),FALSE),0)*MAX(0,SUM('Construction Dashboard'!$G25:Q25)),0)</f>
        <v>0</v>
      </c>
      <c r="Q68" s="78">
        <f>IF(VALUE(TimeRemaining[#Headers])&lt;='Construction Dashboard'!$F25,IFERROR(VLOOKUP(TimeRemaining[[#This Row],[Time]],Upgrades[],MATCH("T"&amp;TimeRemaining[#Headers],Upgrades[#Headers],0),FALSE),0)*MAX(0,SUM('Construction Dashboard'!$G25:R25)),0)</f>
        <v>0</v>
      </c>
      <c r="R68" s="78">
        <f>IF(TimeRemaining[[#This Row],[MatchStr]]="IGNORE",0,SUM(TimeRemaining[[#This Row],[1]:[12]]))</f>
        <v>0</v>
      </c>
    </row>
    <row r="69" spans="1:18">
      <c r="A69" s="26" t="s">
        <v>2</v>
      </c>
      <c r="B69" s="73" t="str">
        <f>VLOOKUP(TimeRemaining[[#This Row],[Time]],Upgrades[],2,FALSE)</f>
        <v>Building</v>
      </c>
      <c r="C69" s="73" t="str">
        <f>VLOOKUP(TimeRemaining[[#This Row],[Time]],Upgrades[],3,FALSE)</f>
        <v>Elixir</v>
      </c>
      <c r="D69" s="172" t="str">
        <f>IF((IFERROR(MATCH(TimeRemaining[[#This Row],[Time]],'Construction Dashboard'!$P$19:$S$19,0),0)+IFERROR(MATCH(TimeRemaining[[#This Row],[Time]],'Construction Dashboard'!$P$20:$S$20,0),0))&gt;0,"IGNORE",TimeRemaining[Kind]&amp;"-"&amp;TimeRemaining[Resource])</f>
        <v>Building-Elixir</v>
      </c>
      <c r="E69" s="79">
        <f>IFERROR(VLOOKUP(TimeRemaining[[#This Row],[Time]],Upgrades[],MATCH("T"&amp;MATCH(TRUE,INDEX(TimeRemaining[[#This Row],[1]:[12]]&lt;&gt;0,),0),Upgrades[#Headers],0),FALSE),"")</f>
        <v>2</v>
      </c>
      <c r="F69" s="78">
        <f>IF(VALUE(TimeRemaining[#Headers])&lt;='Construction Dashboard'!$F26,IFERROR(VLOOKUP(TimeRemaining[[#This Row],[Time]],Upgrades[],MATCH("T"&amp;TimeRemaining[#Headers],Upgrades[#Headers],0),FALSE),0)*MAX(0,SUM('Construction Dashboard'!$G26:G26)),0)</f>
        <v>0</v>
      </c>
      <c r="G69" s="78">
        <f>IF(VALUE(TimeRemaining[#Headers])&lt;='Construction Dashboard'!$F26,IFERROR(VLOOKUP(TimeRemaining[[#This Row],[Time]],Upgrades[],MATCH("T"&amp;TimeRemaining[#Headers],Upgrades[#Headers],0),FALSE),0)*MAX(0,SUM('Construction Dashboard'!$G26:H26)),0)</f>
        <v>0</v>
      </c>
      <c r="H69" s="78">
        <f>IF(VALUE(TimeRemaining[#Headers])&lt;='Construction Dashboard'!$F26,IFERROR(VLOOKUP(TimeRemaining[[#This Row],[Time]],Upgrades[],MATCH("T"&amp;TimeRemaining[#Headers],Upgrades[#Headers],0),FALSE),0)*MAX(0,SUM('Construction Dashboard'!$G26:I26)),0)</f>
        <v>0</v>
      </c>
      <c r="I69" s="78">
        <f>IF(VALUE(TimeRemaining[#Headers])&lt;='Construction Dashboard'!$F26,IFERROR(VLOOKUP(TimeRemaining[[#This Row],[Time]],Upgrades[],MATCH("T"&amp;TimeRemaining[#Headers],Upgrades[#Headers],0),FALSE),0)*MAX(0,SUM('Construction Dashboard'!$G26:J26)),0)</f>
        <v>0</v>
      </c>
      <c r="J69" s="78">
        <f>IF(VALUE(TimeRemaining[#Headers])&lt;='Construction Dashboard'!$F26,IFERROR(VLOOKUP(TimeRemaining[[#This Row],[Time]],Upgrades[],MATCH("T"&amp;TimeRemaining[#Headers],Upgrades[#Headers],0),FALSE),0)*MAX(0,SUM('Construction Dashboard'!$G26:K26)),0)</f>
        <v>0</v>
      </c>
      <c r="K69" s="78">
        <f>IF(VALUE(TimeRemaining[#Headers])&lt;='Construction Dashboard'!$F26,IFERROR(VLOOKUP(TimeRemaining[[#This Row],[Time]],Upgrades[],MATCH("T"&amp;TimeRemaining[#Headers],Upgrades[#Headers],0),FALSE),0)*MAX(0,SUM('Construction Dashboard'!$G26:L26)),0)</f>
        <v>0</v>
      </c>
      <c r="L69" s="78">
        <f>IF(VALUE(TimeRemaining[#Headers])&lt;='Construction Dashboard'!$F26,IFERROR(VLOOKUP(TimeRemaining[[#This Row],[Time]],Upgrades[],MATCH("T"&amp;TimeRemaining[#Headers],Upgrades[#Headers],0),FALSE),0)*MAX(0,SUM('Construction Dashboard'!$G26:M26)),0)</f>
        <v>0</v>
      </c>
      <c r="M69" s="78">
        <f>IF(VALUE(TimeRemaining[#Headers])&lt;='Construction Dashboard'!$F26,IFERROR(VLOOKUP(TimeRemaining[[#This Row],[Time]],Upgrades[],MATCH("T"&amp;TimeRemaining[#Headers],Upgrades[#Headers],0),FALSE),0)*MAX(0,SUM('Construction Dashboard'!$G26:N26)),0)</f>
        <v>2</v>
      </c>
      <c r="N69" s="78">
        <f>IF(VALUE(TimeRemaining[#Headers])&lt;='Construction Dashboard'!$F26,IFERROR(VLOOKUP(TimeRemaining[[#This Row],[Time]],Upgrades[],MATCH("T"&amp;TimeRemaining[#Headers],Upgrades[#Headers],0),FALSE),0)*MAX(0,SUM('Construction Dashboard'!$G26:O26)),0)</f>
        <v>12</v>
      </c>
      <c r="O69" s="78">
        <f>IF(VALUE(TimeRemaining[#Headers])&lt;='Construction Dashboard'!$F26,IFERROR(VLOOKUP(TimeRemaining[[#This Row],[Time]],Upgrades[],MATCH("T"&amp;TimeRemaining[#Headers],Upgrades[#Headers],0),FALSE),0)*MAX(0,SUM('Construction Dashboard'!$G26:P26)),0)</f>
        <v>0</v>
      </c>
      <c r="P69" s="78">
        <f>IF(VALUE(TimeRemaining[#Headers])&lt;='Construction Dashboard'!$F26,IFERROR(VLOOKUP(TimeRemaining[[#This Row],[Time]],Upgrades[],MATCH("T"&amp;TimeRemaining[#Headers],Upgrades[#Headers],0),FALSE),0)*MAX(0,SUM('Construction Dashboard'!$G26:Q26)),0)</f>
        <v>0</v>
      </c>
      <c r="Q69" s="78">
        <f>IF(VALUE(TimeRemaining[#Headers])&lt;='Construction Dashboard'!$F26,IFERROR(VLOOKUP(TimeRemaining[[#This Row],[Time]],Upgrades[],MATCH("T"&amp;TimeRemaining[#Headers],Upgrades[#Headers],0),FALSE),0)*MAX(0,SUM('Construction Dashboard'!$G26:R26)),0)</f>
        <v>0</v>
      </c>
      <c r="R69" s="78">
        <f>IF(TimeRemaining[[#This Row],[MatchStr]]="IGNORE",0,SUM(TimeRemaining[[#This Row],[1]:[12]]))</f>
        <v>14</v>
      </c>
    </row>
    <row r="70" spans="1:18">
      <c r="A70" s="26" t="s">
        <v>20</v>
      </c>
      <c r="B70" s="73" t="str">
        <f>VLOOKUP(TimeRemaining[[#This Row],[Time]],Upgrades[],2,FALSE)</f>
        <v>Building</v>
      </c>
      <c r="C70" s="73" t="str">
        <f>VLOOKUP(TimeRemaining[[#This Row],[Time]],Upgrades[],3,FALSE)</f>
        <v>Elixir</v>
      </c>
      <c r="D70" s="172" t="str">
        <f>IF((IFERROR(MATCH(TimeRemaining[[#This Row],[Time]],'Construction Dashboard'!$P$19:$S$19,0),0)+IFERROR(MATCH(TimeRemaining[[#This Row],[Time]],'Construction Dashboard'!$P$20:$S$20,0),0))&gt;0,"IGNORE",TimeRemaining[Kind]&amp;"-"&amp;TimeRemaining[Resource])</f>
        <v>Building-Elixir</v>
      </c>
      <c r="E70" s="79" t="str">
        <f>IFERROR(VLOOKUP(TimeRemaining[[#This Row],[Time]],Upgrades[],MATCH("T"&amp;MATCH(TRUE,INDEX(TimeRemaining[[#This Row],[1]:[12]]&lt;&gt;0,),0),Upgrades[#Headers],0),FALSE),"")</f>
        <v/>
      </c>
      <c r="F70" s="78">
        <f>IF(VALUE(TimeRemaining[#Headers])&lt;='Construction Dashboard'!$F27,IFERROR(VLOOKUP(TimeRemaining[[#This Row],[Time]],Upgrades[],MATCH("T"&amp;TimeRemaining[#Headers],Upgrades[#Headers],0),FALSE),0)*MAX(0,SUM('Construction Dashboard'!$G27:G27)),0)</f>
        <v>0</v>
      </c>
      <c r="G70" s="78">
        <f>IF(VALUE(TimeRemaining[#Headers])&lt;='Construction Dashboard'!$F27,IFERROR(VLOOKUP(TimeRemaining[[#This Row],[Time]],Upgrades[],MATCH("T"&amp;TimeRemaining[#Headers],Upgrades[#Headers],0),FALSE),0)*MAX(0,SUM('Construction Dashboard'!$G27:H27)),0)</f>
        <v>0</v>
      </c>
      <c r="H70" s="78">
        <f>IF(VALUE(TimeRemaining[#Headers])&lt;='Construction Dashboard'!$F27,IFERROR(VLOOKUP(TimeRemaining[[#This Row],[Time]],Upgrades[],MATCH("T"&amp;TimeRemaining[#Headers],Upgrades[#Headers],0),FALSE),0)*MAX(0,SUM('Construction Dashboard'!$G27:I27)),0)</f>
        <v>0</v>
      </c>
      <c r="I70" s="78">
        <f>IF(VALUE(TimeRemaining[#Headers])&lt;='Construction Dashboard'!$F27,IFERROR(VLOOKUP(TimeRemaining[[#This Row],[Time]],Upgrades[],MATCH("T"&amp;TimeRemaining[#Headers],Upgrades[#Headers],0),FALSE),0)*MAX(0,SUM('Construction Dashboard'!$G27:J27)),0)</f>
        <v>0</v>
      </c>
      <c r="J70" s="78">
        <f>IF(VALUE(TimeRemaining[#Headers])&lt;='Construction Dashboard'!$F27,IFERROR(VLOOKUP(TimeRemaining[[#This Row],[Time]],Upgrades[],MATCH("T"&amp;TimeRemaining[#Headers],Upgrades[#Headers],0),FALSE),0)*MAX(0,SUM('Construction Dashboard'!$G27:K27)),0)</f>
        <v>0</v>
      </c>
      <c r="K70" s="78">
        <f>IF(VALUE(TimeRemaining[#Headers])&lt;='Construction Dashboard'!$F27,IFERROR(VLOOKUP(TimeRemaining[[#This Row],[Time]],Upgrades[],MATCH("T"&amp;TimeRemaining[#Headers],Upgrades[#Headers],0),FALSE),0)*MAX(0,SUM('Construction Dashboard'!$G27:L27)),0)</f>
        <v>0</v>
      </c>
      <c r="L70" s="78">
        <f>IF(VALUE(TimeRemaining[#Headers])&lt;='Construction Dashboard'!$F27,IFERROR(VLOOKUP(TimeRemaining[[#This Row],[Time]],Upgrades[],MATCH("T"&amp;TimeRemaining[#Headers],Upgrades[#Headers],0),FALSE),0)*MAX(0,SUM('Construction Dashboard'!$G27:M27)),0)</f>
        <v>0</v>
      </c>
      <c r="M70" s="78">
        <f>IF(VALUE(TimeRemaining[#Headers])&lt;='Construction Dashboard'!$F27,IFERROR(VLOOKUP(TimeRemaining[[#This Row],[Time]],Upgrades[],MATCH("T"&amp;TimeRemaining[#Headers],Upgrades[#Headers],0),FALSE),0)*MAX(0,SUM('Construction Dashboard'!$G27:N27)),0)</f>
        <v>0</v>
      </c>
      <c r="N70" s="78">
        <f>IF(VALUE(TimeRemaining[#Headers])&lt;='Construction Dashboard'!$F27,IFERROR(VLOOKUP(TimeRemaining[[#This Row],[Time]],Upgrades[],MATCH("T"&amp;TimeRemaining[#Headers],Upgrades[#Headers],0),FALSE),0)*MAX(0,SUM('Construction Dashboard'!$G27:O27)),0)</f>
        <v>0</v>
      </c>
      <c r="O70" s="78">
        <f>IF(VALUE(TimeRemaining[#Headers])&lt;='Construction Dashboard'!$F27,IFERROR(VLOOKUP(TimeRemaining[[#This Row],[Time]],Upgrades[],MATCH("T"&amp;TimeRemaining[#Headers],Upgrades[#Headers],0),FALSE),0)*MAX(0,SUM('Construction Dashboard'!$G27:P27)),0)</f>
        <v>0</v>
      </c>
      <c r="P70" s="78">
        <f>IF(VALUE(TimeRemaining[#Headers])&lt;='Construction Dashboard'!$F27,IFERROR(VLOOKUP(TimeRemaining[[#This Row],[Time]],Upgrades[],MATCH("T"&amp;TimeRemaining[#Headers],Upgrades[#Headers],0),FALSE),0)*MAX(0,SUM('Construction Dashboard'!$G27:Q27)),0)</f>
        <v>0</v>
      </c>
      <c r="Q70" s="78">
        <f>IF(VALUE(TimeRemaining[#Headers])&lt;='Construction Dashboard'!$F27,IFERROR(VLOOKUP(TimeRemaining[[#This Row],[Time]],Upgrades[],MATCH("T"&amp;TimeRemaining[#Headers],Upgrades[#Headers],0),FALSE),0)*MAX(0,SUM('Construction Dashboard'!$G27:R27)),0)</f>
        <v>0</v>
      </c>
      <c r="R70" s="78">
        <f>IF(TimeRemaining[[#This Row],[MatchStr]]="IGNORE",0,SUM(TimeRemaining[[#This Row],[1]:[12]]))</f>
        <v>0</v>
      </c>
    </row>
    <row r="71" spans="1:18">
      <c r="A71" s="26" t="s">
        <v>15</v>
      </c>
      <c r="B71" s="26" t="str">
        <f>VLOOKUP(TimeRemaining[[#This Row],[Time]],Upgrades[],2,FALSE)</f>
        <v>Building</v>
      </c>
      <c r="C71" s="26" t="str">
        <f>VLOOKUP(TimeRemaining[[#This Row],[Time]],Upgrades[],3,FALSE)</f>
        <v>Elixir</v>
      </c>
      <c r="D71" s="171" t="str">
        <f>IF((IFERROR(MATCH(TimeRemaining[[#This Row],[Time]],'Construction Dashboard'!$P$19:$S$19,0),0)+IFERROR(MATCH(TimeRemaining[[#This Row],[Time]],'Construction Dashboard'!$P$20:$S$20,0),0))&gt;0,"IGNORE",TimeRemaining[Kind]&amp;"-"&amp;TimeRemaining[Resource])</f>
        <v>Building-Elixir</v>
      </c>
      <c r="E71" s="71" t="str">
        <f>IFERROR(VLOOKUP(TimeRemaining[[#This Row],[Time]],Upgrades[],MATCH("T"&amp;MATCH(TRUE,INDEX(TimeRemaining[[#This Row],[1]:[12]]&lt;&gt;0,),0),Upgrades[#Headers],0),FALSE),"")</f>
        <v/>
      </c>
      <c r="F71" s="78">
        <f>IF(VALUE(TimeRemaining[#Headers])&lt;='Construction Dashboard'!$F28,IFERROR(VLOOKUP(TimeRemaining[[#This Row],[Time]],Upgrades[],MATCH("T"&amp;TimeRemaining[#Headers],Upgrades[#Headers],0),FALSE),0)*MAX(0,SUM('Construction Dashboard'!$G28:G28)),0)</f>
        <v>0</v>
      </c>
      <c r="G71" s="78">
        <f>IF(VALUE(TimeRemaining[#Headers])&lt;='Construction Dashboard'!$F28,IFERROR(VLOOKUP(TimeRemaining[[#This Row],[Time]],Upgrades[],MATCH("T"&amp;TimeRemaining[#Headers],Upgrades[#Headers],0),FALSE),0)*MAX(0,SUM('Construction Dashboard'!$G28:H28)),0)</f>
        <v>0</v>
      </c>
      <c r="H71" s="78">
        <f>IF(VALUE(TimeRemaining[#Headers])&lt;='Construction Dashboard'!$F28,IFERROR(VLOOKUP(TimeRemaining[[#This Row],[Time]],Upgrades[],MATCH("T"&amp;TimeRemaining[#Headers],Upgrades[#Headers],0),FALSE),0)*MAX(0,SUM('Construction Dashboard'!$G28:I28)),0)</f>
        <v>0</v>
      </c>
      <c r="I71" s="78">
        <f>IF(VALUE(TimeRemaining[#Headers])&lt;='Construction Dashboard'!$F28,IFERROR(VLOOKUP(TimeRemaining[[#This Row],[Time]],Upgrades[],MATCH("T"&amp;TimeRemaining[#Headers],Upgrades[#Headers],0),FALSE),0)*MAX(0,SUM('Construction Dashboard'!$G28:J28)),0)</f>
        <v>0</v>
      </c>
      <c r="J71" s="78">
        <f>IF(VALUE(TimeRemaining[#Headers])&lt;='Construction Dashboard'!$F28,IFERROR(VLOOKUP(TimeRemaining[[#This Row],[Time]],Upgrades[],MATCH("T"&amp;TimeRemaining[#Headers],Upgrades[#Headers],0),FALSE),0)*MAX(0,SUM('Construction Dashboard'!$G28:K28)),0)</f>
        <v>0</v>
      </c>
      <c r="K71" s="78">
        <f>IF(VALUE(TimeRemaining[#Headers])&lt;='Construction Dashboard'!$F28,IFERROR(VLOOKUP(TimeRemaining[[#This Row],[Time]],Upgrades[],MATCH("T"&amp;TimeRemaining[#Headers],Upgrades[#Headers],0),FALSE),0)*MAX(0,SUM('Construction Dashboard'!$G28:L28)),0)</f>
        <v>0</v>
      </c>
      <c r="L71" s="78">
        <f>IF(VALUE(TimeRemaining[#Headers])&lt;='Construction Dashboard'!$F28,IFERROR(VLOOKUP(TimeRemaining[[#This Row],[Time]],Upgrades[],MATCH("T"&amp;TimeRemaining[#Headers],Upgrades[#Headers],0),FALSE),0)*MAX(0,SUM('Construction Dashboard'!$G28:M28)),0)</f>
        <v>0</v>
      </c>
      <c r="M71" s="78">
        <f>IF(VALUE(TimeRemaining[#Headers])&lt;='Construction Dashboard'!$F28,IFERROR(VLOOKUP(TimeRemaining[[#This Row],[Time]],Upgrades[],MATCH("T"&amp;TimeRemaining[#Headers],Upgrades[#Headers],0),FALSE),0)*MAX(0,SUM('Construction Dashboard'!$G28:N28)),0)</f>
        <v>0</v>
      </c>
      <c r="N71" s="78">
        <f>IF(VALUE(TimeRemaining[#Headers])&lt;='Construction Dashboard'!$F28,IFERROR(VLOOKUP(TimeRemaining[[#This Row],[Time]],Upgrades[],MATCH("T"&amp;TimeRemaining[#Headers],Upgrades[#Headers],0),FALSE),0)*MAX(0,SUM('Construction Dashboard'!$G28:O28)),0)</f>
        <v>0</v>
      </c>
      <c r="O71" s="78">
        <f>IF(VALUE(TimeRemaining[#Headers])&lt;='Construction Dashboard'!$F28,IFERROR(VLOOKUP(TimeRemaining[[#This Row],[Time]],Upgrades[],MATCH("T"&amp;TimeRemaining[#Headers],Upgrades[#Headers],0),FALSE),0)*MAX(0,SUM('Construction Dashboard'!$G28:P28)),0)</f>
        <v>0</v>
      </c>
      <c r="P71" s="78">
        <f>IF(VALUE(TimeRemaining[#Headers])&lt;='Construction Dashboard'!$F28,IFERROR(VLOOKUP(TimeRemaining[[#This Row],[Time]],Upgrades[],MATCH("T"&amp;TimeRemaining[#Headers],Upgrades[#Headers],0),FALSE),0)*MAX(0,SUM('Construction Dashboard'!$G28:Q28)),0)</f>
        <v>0</v>
      </c>
      <c r="Q71" s="78">
        <f>IF(VALUE(TimeRemaining[#Headers])&lt;='Construction Dashboard'!$F28,IFERROR(VLOOKUP(TimeRemaining[[#This Row],[Time]],Upgrades[],MATCH("T"&amp;TimeRemaining[#Headers],Upgrades[#Headers],0),FALSE),0)*MAX(0,SUM('Construction Dashboard'!$G28:R28)),0)</f>
        <v>0</v>
      </c>
      <c r="R71" s="78">
        <f>IF(TimeRemaining[[#This Row],[MatchStr]]="IGNORE",0,SUM(TimeRemaining[[#This Row],[1]:[12]]))</f>
        <v>0</v>
      </c>
    </row>
    <row r="72" spans="1:18">
      <c r="A72" s="26" t="s">
        <v>16</v>
      </c>
      <c r="B72" s="26" t="str">
        <f>VLOOKUP(TimeRemaining[[#This Row],[Time]],Upgrades[],2,FALSE)</f>
        <v>Building</v>
      </c>
      <c r="C72" s="26" t="str">
        <f>VLOOKUP(TimeRemaining[[#This Row],[Time]],Upgrades[],3,FALSE)</f>
        <v>Gold</v>
      </c>
      <c r="D72" s="171" t="str">
        <f>IF((IFERROR(MATCH(TimeRemaining[[#This Row],[Time]],'Construction Dashboard'!$P$19:$S$19,0),0)+IFERROR(MATCH(TimeRemaining[[#This Row],[Time]],'Construction Dashboard'!$P$20:$S$20,0),0))&gt;0,"IGNORE",TimeRemaining[Kind]&amp;"-"&amp;TimeRemaining[Resource])</f>
        <v>Building-Gold</v>
      </c>
      <c r="E72" s="71" t="str">
        <f>IFERROR(VLOOKUP(TimeRemaining[[#This Row],[Time]],Upgrades[],MATCH("T"&amp;MATCH(TRUE,INDEX(TimeRemaining[[#This Row],[1]:[12]]&lt;&gt;0,),0),Upgrades[#Headers],0),FALSE),"")</f>
        <v/>
      </c>
      <c r="F72" s="78">
        <f>IF(VALUE(TimeRemaining[#Headers])&lt;='Construction Dashboard'!$F29,IFERROR(VLOOKUP(TimeRemaining[[#This Row],[Time]],Upgrades[],MATCH("T"&amp;TimeRemaining[#Headers],Upgrades[#Headers],0),FALSE),0)*MAX(0,SUM('Construction Dashboard'!$G29:G29)),0)</f>
        <v>0</v>
      </c>
      <c r="G72" s="78">
        <f>IF(VALUE(TimeRemaining[#Headers])&lt;='Construction Dashboard'!$F29,IFERROR(VLOOKUP(TimeRemaining[[#This Row],[Time]],Upgrades[],MATCH("T"&amp;TimeRemaining[#Headers],Upgrades[#Headers],0),FALSE),0)*MAX(0,SUM('Construction Dashboard'!$G29:H29)),0)</f>
        <v>0</v>
      </c>
      <c r="H72" s="78">
        <f>IF(VALUE(TimeRemaining[#Headers])&lt;='Construction Dashboard'!$F29,IFERROR(VLOOKUP(TimeRemaining[[#This Row],[Time]],Upgrades[],MATCH("T"&amp;TimeRemaining[#Headers],Upgrades[#Headers],0),FALSE),0)*MAX(0,SUM('Construction Dashboard'!$G29:I29)),0)</f>
        <v>0</v>
      </c>
      <c r="I72" s="78">
        <f>IF(VALUE(TimeRemaining[#Headers])&lt;='Construction Dashboard'!$F29,IFERROR(VLOOKUP(TimeRemaining[[#This Row],[Time]],Upgrades[],MATCH("T"&amp;TimeRemaining[#Headers],Upgrades[#Headers],0),FALSE),0)*MAX(0,SUM('Construction Dashboard'!$G29:J29)),0)</f>
        <v>0</v>
      </c>
      <c r="J72" s="78">
        <f>IF(VALUE(TimeRemaining[#Headers])&lt;='Construction Dashboard'!$F29,IFERROR(VLOOKUP(TimeRemaining[[#This Row],[Time]],Upgrades[],MATCH("T"&amp;TimeRemaining[#Headers],Upgrades[#Headers],0),FALSE),0)*MAX(0,SUM('Construction Dashboard'!$G29:K29)),0)</f>
        <v>0</v>
      </c>
      <c r="K72" s="78">
        <f>IF(VALUE(TimeRemaining[#Headers])&lt;='Construction Dashboard'!$F29,IFERROR(VLOOKUP(TimeRemaining[[#This Row],[Time]],Upgrades[],MATCH("T"&amp;TimeRemaining[#Headers],Upgrades[#Headers],0),FALSE),0)*MAX(0,SUM('Construction Dashboard'!$G29:L29)),0)</f>
        <v>0</v>
      </c>
      <c r="L72" s="78">
        <f>IF(VALUE(TimeRemaining[#Headers])&lt;='Construction Dashboard'!$F29,IFERROR(VLOOKUP(TimeRemaining[[#This Row],[Time]],Upgrades[],MATCH("T"&amp;TimeRemaining[#Headers],Upgrades[#Headers],0),FALSE),0)*MAX(0,SUM('Construction Dashboard'!$G29:M29)),0)</f>
        <v>0</v>
      </c>
      <c r="M72" s="78">
        <f>IF(VALUE(TimeRemaining[#Headers])&lt;='Construction Dashboard'!$F29,IFERROR(VLOOKUP(TimeRemaining[[#This Row],[Time]],Upgrades[],MATCH("T"&amp;TimeRemaining[#Headers],Upgrades[#Headers],0),FALSE),0)*MAX(0,SUM('Construction Dashboard'!$G29:N29)),0)</f>
        <v>0</v>
      </c>
      <c r="N72" s="78">
        <f>IF(VALUE(TimeRemaining[#Headers])&lt;='Construction Dashboard'!$F29,IFERROR(VLOOKUP(TimeRemaining[[#This Row],[Time]],Upgrades[],MATCH("T"&amp;TimeRemaining[#Headers],Upgrades[#Headers],0),FALSE),0)*MAX(0,SUM('Construction Dashboard'!$G29:O29)),0)</f>
        <v>0</v>
      </c>
      <c r="O72" s="78">
        <f>IF(VALUE(TimeRemaining[#Headers])&lt;='Construction Dashboard'!$F29,IFERROR(VLOOKUP(TimeRemaining[[#This Row],[Time]],Upgrades[],MATCH("T"&amp;TimeRemaining[#Headers],Upgrades[#Headers],0),FALSE),0)*MAX(0,SUM('Construction Dashboard'!$G29:P29)),0)</f>
        <v>0</v>
      </c>
      <c r="P72" s="78">
        <f>IF(VALUE(TimeRemaining[#Headers])&lt;='Construction Dashboard'!$F29,IFERROR(VLOOKUP(TimeRemaining[[#This Row],[Time]],Upgrades[],MATCH("T"&amp;TimeRemaining[#Headers],Upgrades[#Headers],0),FALSE),0)*MAX(0,SUM('Construction Dashboard'!$G29:Q29)),0)</f>
        <v>0</v>
      </c>
      <c r="Q72" s="78">
        <f>IF(VALUE(TimeRemaining[#Headers])&lt;='Construction Dashboard'!$F29,IFERROR(VLOOKUP(TimeRemaining[[#This Row],[Time]],Upgrades[],MATCH("T"&amp;TimeRemaining[#Headers],Upgrades[#Headers],0),FALSE),0)*MAX(0,SUM('Construction Dashboard'!$G29:R29)),0)</f>
        <v>0</v>
      </c>
      <c r="R72" s="78">
        <f>IF(TimeRemaining[[#This Row],[MatchStr]]="IGNORE",0,SUM(TimeRemaining[[#This Row],[1]:[12]]))</f>
        <v>0</v>
      </c>
    </row>
    <row r="73" spans="1:18">
      <c r="A73" s="26" t="s">
        <v>17</v>
      </c>
      <c r="B73" s="26" t="str">
        <f>VLOOKUP(TimeRemaining[[#This Row],[Time]],Upgrades[],2,FALSE)</f>
        <v>Building</v>
      </c>
      <c r="C73" s="26" t="str">
        <f>VLOOKUP(TimeRemaining[[#This Row],[Time]],Upgrades[],3,FALSE)</f>
        <v>Elixir</v>
      </c>
      <c r="D73" s="171" t="str">
        <f>IF((IFERROR(MATCH(TimeRemaining[[#This Row],[Time]],'Construction Dashboard'!$P$19:$S$19,0),0)+IFERROR(MATCH(TimeRemaining[[#This Row],[Time]],'Construction Dashboard'!$P$20:$S$20,0),0))&gt;0,"IGNORE",TimeRemaining[Kind]&amp;"-"&amp;TimeRemaining[Resource])</f>
        <v>Building-Elixir</v>
      </c>
      <c r="E73" s="71" t="str">
        <f>IFERROR(VLOOKUP(TimeRemaining[[#This Row],[Time]],Upgrades[],MATCH("T"&amp;MATCH(TRUE,INDEX(TimeRemaining[[#This Row],[1]:[12]]&lt;&gt;0,),0),Upgrades[#Headers],0),FALSE),"")</f>
        <v/>
      </c>
      <c r="F73" s="78">
        <f>IF(VALUE(TimeRemaining[#Headers])&lt;='Construction Dashboard'!$F30,IFERROR(VLOOKUP(TimeRemaining[[#This Row],[Time]],Upgrades[],MATCH("T"&amp;TimeRemaining[#Headers],Upgrades[#Headers],0),FALSE),0)*MAX(0,SUM('Construction Dashboard'!$G30:G30)),0)</f>
        <v>0</v>
      </c>
      <c r="G73" s="78">
        <f>IF(VALUE(TimeRemaining[#Headers])&lt;='Construction Dashboard'!$F30,IFERROR(VLOOKUP(TimeRemaining[[#This Row],[Time]],Upgrades[],MATCH("T"&amp;TimeRemaining[#Headers],Upgrades[#Headers],0),FALSE),0)*MAX(0,SUM('Construction Dashboard'!$G30:H30)),0)</f>
        <v>0</v>
      </c>
      <c r="H73" s="78">
        <f>IF(VALUE(TimeRemaining[#Headers])&lt;='Construction Dashboard'!$F30,IFERROR(VLOOKUP(TimeRemaining[[#This Row],[Time]],Upgrades[],MATCH("T"&amp;TimeRemaining[#Headers],Upgrades[#Headers],0),FALSE),0)*MAX(0,SUM('Construction Dashboard'!$G30:I30)),0)</f>
        <v>0</v>
      </c>
      <c r="I73" s="78">
        <f>IF(VALUE(TimeRemaining[#Headers])&lt;='Construction Dashboard'!$F30,IFERROR(VLOOKUP(TimeRemaining[[#This Row],[Time]],Upgrades[],MATCH("T"&amp;TimeRemaining[#Headers],Upgrades[#Headers],0),FALSE),0)*MAX(0,SUM('Construction Dashboard'!$G30:J30)),0)</f>
        <v>0</v>
      </c>
      <c r="J73" s="78">
        <f>IF(VALUE(TimeRemaining[#Headers])&lt;='Construction Dashboard'!$F30,IFERROR(VLOOKUP(TimeRemaining[[#This Row],[Time]],Upgrades[],MATCH("T"&amp;TimeRemaining[#Headers],Upgrades[#Headers],0),FALSE),0)*MAX(0,SUM('Construction Dashboard'!$G30:K30)),0)</f>
        <v>0</v>
      </c>
      <c r="K73" s="78">
        <f>IF(VALUE(TimeRemaining[#Headers])&lt;='Construction Dashboard'!$F30,IFERROR(VLOOKUP(TimeRemaining[[#This Row],[Time]],Upgrades[],MATCH("T"&amp;TimeRemaining[#Headers],Upgrades[#Headers],0),FALSE),0)*MAX(0,SUM('Construction Dashboard'!$G30:L30)),0)</f>
        <v>0</v>
      </c>
      <c r="L73" s="78">
        <f>IF(VALUE(TimeRemaining[#Headers])&lt;='Construction Dashboard'!$F30,IFERROR(VLOOKUP(TimeRemaining[[#This Row],[Time]],Upgrades[],MATCH("T"&amp;TimeRemaining[#Headers],Upgrades[#Headers],0),FALSE),0)*MAX(0,SUM('Construction Dashboard'!$G30:M30)),0)</f>
        <v>0</v>
      </c>
      <c r="M73" s="78">
        <f>IF(VALUE(TimeRemaining[#Headers])&lt;='Construction Dashboard'!$F30,IFERROR(VLOOKUP(TimeRemaining[[#This Row],[Time]],Upgrades[],MATCH("T"&amp;TimeRemaining[#Headers],Upgrades[#Headers],0),FALSE),0)*MAX(0,SUM('Construction Dashboard'!$G30:N30)),0)</f>
        <v>0</v>
      </c>
      <c r="N73" s="78">
        <f>IF(VALUE(TimeRemaining[#Headers])&lt;='Construction Dashboard'!$F30,IFERROR(VLOOKUP(TimeRemaining[[#This Row],[Time]],Upgrades[],MATCH("T"&amp;TimeRemaining[#Headers],Upgrades[#Headers],0),FALSE),0)*MAX(0,SUM('Construction Dashboard'!$G30:O30)),0)</f>
        <v>0</v>
      </c>
      <c r="O73" s="78">
        <f>IF(VALUE(TimeRemaining[#Headers])&lt;='Construction Dashboard'!$F30,IFERROR(VLOOKUP(TimeRemaining[[#This Row],[Time]],Upgrades[],MATCH("T"&amp;TimeRemaining[#Headers],Upgrades[#Headers],0),FALSE),0)*MAX(0,SUM('Construction Dashboard'!$G30:P30)),0)</f>
        <v>0</v>
      </c>
      <c r="P73" s="78">
        <f>IF(VALUE(TimeRemaining[#Headers])&lt;='Construction Dashboard'!$F30,IFERROR(VLOOKUP(TimeRemaining[[#This Row],[Time]],Upgrades[],MATCH("T"&amp;TimeRemaining[#Headers],Upgrades[#Headers],0),FALSE),0)*MAX(0,SUM('Construction Dashboard'!$G30:Q30)),0)</f>
        <v>0</v>
      </c>
      <c r="Q73" s="78">
        <f>IF(VALUE(TimeRemaining[#Headers])&lt;='Construction Dashboard'!$F30,IFERROR(VLOOKUP(TimeRemaining[[#This Row],[Time]],Upgrades[],MATCH("T"&amp;TimeRemaining[#Headers],Upgrades[#Headers],0),FALSE),0)*MAX(0,SUM('Construction Dashboard'!$G30:R30)),0)</f>
        <v>0</v>
      </c>
      <c r="R73" s="78">
        <f>IF(TimeRemaining[[#This Row],[MatchStr]]="IGNORE",0,SUM(TimeRemaining[[#This Row],[1]:[12]]))</f>
        <v>0</v>
      </c>
    </row>
    <row r="74" spans="1:18">
      <c r="A74" s="26" t="s">
        <v>3</v>
      </c>
      <c r="B74" s="26" t="str">
        <f>VLOOKUP(TimeRemaining[[#This Row],[Time]],Upgrades[],2,FALSE)</f>
        <v>Building</v>
      </c>
      <c r="C74" s="26" t="str">
        <f>VLOOKUP(TimeRemaining[[#This Row],[Time]],Upgrades[],3,FALSE)</f>
        <v>Elixir</v>
      </c>
      <c r="D74" s="171" t="str">
        <f>IF((IFERROR(MATCH(TimeRemaining[[#This Row],[Time]],'Construction Dashboard'!$P$19:$S$19,0),0)+IFERROR(MATCH(TimeRemaining[[#This Row],[Time]],'Construction Dashboard'!$P$20:$S$20,0),0))&gt;0,"IGNORE",TimeRemaining[Kind]&amp;"-"&amp;TimeRemaining[Resource])</f>
        <v>Building-Elixir</v>
      </c>
      <c r="E74" s="71" t="str">
        <f>IFERROR(VLOOKUP(TimeRemaining[[#This Row],[Time]],Upgrades[],MATCH("T"&amp;MATCH(TRUE,INDEX(TimeRemaining[[#This Row],[1]:[12]]&lt;&gt;0,),0),Upgrades[#Headers],0),FALSE),"")</f>
        <v/>
      </c>
      <c r="F74" s="78">
        <f>IF(VALUE(TimeRemaining[#Headers])&lt;='Construction Dashboard'!$F31,IFERROR(VLOOKUP(TimeRemaining[[#This Row],[Time]],Upgrades[],MATCH("T"&amp;TimeRemaining[#Headers],Upgrades[#Headers],0),FALSE),0)*MAX(0,SUM('Construction Dashboard'!$G31:G31)),0)</f>
        <v>0</v>
      </c>
      <c r="G74" s="78">
        <f>IF(VALUE(TimeRemaining[#Headers])&lt;='Construction Dashboard'!$F31,IFERROR(VLOOKUP(TimeRemaining[[#This Row],[Time]],Upgrades[],MATCH("T"&amp;TimeRemaining[#Headers],Upgrades[#Headers],0),FALSE),0)*MAX(0,SUM('Construction Dashboard'!$G31:H31)),0)</f>
        <v>0</v>
      </c>
      <c r="H74" s="78">
        <f>IF(VALUE(TimeRemaining[#Headers])&lt;='Construction Dashboard'!$F31,IFERROR(VLOOKUP(TimeRemaining[[#This Row],[Time]],Upgrades[],MATCH("T"&amp;TimeRemaining[#Headers],Upgrades[#Headers],0),FALSE),0)*MAX(0,SUM('Construction Dashboard'!$G31:I31)),0)</f>
        <v>0</v>
      </c>
      <c r="I74" s="78">
        <f>IF(VALUE(TimeRemaining[#Headers])&lt;='Construction Dashboard'!$F31,IFERROR(VLOOKUP(TimeRemaining[[#This Row],[Time]],Upgrades[],MATCH("T"&amp;TimeRemaining[#Headers],Upgrades[#Headers],0),FALSE),0)*MAX(0,SUM('Construction Dashboard'!$G31:J31)),0)</f>
        <v>0</v>
      </c>
      <c r="J74" s="78">
        <f>IF(VALUE(TimeRemaining[#Headers])&lt;='Construction Dashboard'!$F31,IFERROR(VLOOKUP(TimeRemaining[[#This Row],[Time]],Upgrades[],MATCH("T"&amp;TimeRemaining[#Headers],Upgrades[#Headers],0),FALSE),0)*MAX(0,SUM('Construction Dashboard'!$G31:K31)),0)</f>
        <v>0</v>
      </c>
      <c r="K74" s="78">
        <f>IF(VALUE(TimeRemaining[#Headers])&lt;='Construction Dashboard'!$F31,IFERROR(VLOOKUP(TimeRemaining[[#This Row],[Time]],Upgrades[],MATCH("T"&amp;TimeRemaining[#Headers],Upgrades[#Headers],0),FALSE),0)*MAX(0,SUM('Construction Dashboard'!$G31:L31)),0)</f>
        <v>0</v>
      </c>
      <c r="L74" s="78">
        <f>IF(VALUE(TimeRemaining[#Headers])&lt;='Construction Dashboard'!$F31,IFERROR(VLOOKUP(TimeRemaining[[#This Row],[Time]],Upgrades[],MATCH("T"&amp;TimeRemaining[#Headers],Upgrades[#Headers],0),FALSE),0)*MAX(0,SUM('Construction Dashboard'!$G31:M31)),0)</f>
        <v>0</v>
      </c>
      <c r="M74" s="78">
        <f>IF(VALUE(TimeRemaining[#Headers])&lt;='Construction Dashboard'!$F31,IFERROR(VLOOKUP(TimeRemaining[[#This Row],[Time]],Upgrades[],MATCH("T"&amp;TimeRemaining[#Headers],Upgrades[#Headers],0),FALSE),0)*MAX(0,SUM('Construction Dashboard'!$G31:N31)),0)</f>
        <v>0</v>
      </c>
      <c r="N74" s="78">
        <f>IF(VALUE(TimeRemaining[#Headers])&lt;='Construction Dashboard'!$F31,IFERROR(VLOOKUP(TimeRemaining[[#This Row],[Time]],Upgrades[],MATCH("T"&amp;TimeRemaining[#Headers],Upgrades[#Headers],0),FALSE),0)*MAX(0,SUM('Construction Dashboard'!$G31:O31)),0)</f>
        <v>0</v>
      </c>
      <c r="O74" s="78">
        <f>IF(VALUE(TimeRemaining[#Headers])&lt;='Construction Dashboard'!$F31,IFERROR(VLOOKUP(TimeRemaining[[#This Row],[Time]],Upgrades[],MATCH("T"&amp;TimeRemaining[#Headers],Upgrades[#Headers],0),FALSE),0)*MAX(0,SUM('Construction Dashboard'!$G31:P31)),0)</f>
        <v>0</v>
      </c>
      <c r="P74" s="78">
        <f>IF(VALUE(TimeRemaining[#Headers])&lt;='Construction Dashboard'!$F31,IFERROR(VLOOKUP(TimeRemaining[[#This Row],[Time]],Upgrades[],MATCH("T"&amp;TimeRemaining[#Headers],Upgrades[#Headers],0),FALSE),0)*MAX(0,SUM('Construction Dashboard'!$G31:Q31)),0)</f>
        <v>0</v>
      </c>
      <c r="Q74" s="78">
        <f>IF(VALUE(TimeRemaining[#Headers])&lt;='Construction Dashboard'!$F31,IFERROR(VLOOKUP(TimeRemaining[[#This Row],[Time]],Upgrades[],MATCH("T"&amp;TimeRemaining[#Headers],Upgrades[#Headers],0),FALSE),0)*MAX(0,SUM('Construction Dashboard'!$G31:R31)),0)</f>
        <v>0</v>
      </c>
      <c r="R74" s="78">
        <f>IF(TimeRemaining[[#This Row],[MatchStr]]="IGNORE",0,SUM(TimeRemaining[[#This Row],[1]:[12]]))</f>
        <v>0</v>
      </c>
    </row>
    <row r="75" spans="1:18">
      <c r="A75" s="26" t="s">
        <v>4</v>
      </c>
      <c r="B75" s="26" t="str">
        <f>VLOOKUP(TimeRemaining[[#This Row],[Time]],Upgrades[],2,FALSE)</f>
        <v>Building</v>
      </c>
      <c r="C75" s="26" t="str">
        <f>VLOOKUP(TimeRemaining[[#This Row],[Time]],Upgrades[],3,FALSE)</f>
        <v>Gold</v>
      </c>
      <c r="D75" s="171" t="str">
        <f>IF((IFERROR(MATCH(TimeRemaining[[#This Row],[Time]],'Construction Dashboard'!$P$19:$S$19,0),0)+IFERROR(MATCH(TimeRemaining[[#This Row],[Time]],'Construction Dashboard'!$P$20:$S$20,0),0))&gt;0,"IGNORE",TimeRemaining[Kind]&amp;"-"&amp;TimeRemaining[Resource])</f>
        <v>Building-Gold</v>
      </c>
      <c r="E75" s="71" t="str">
        <f>IFERROR(VLOOKUP(TimeRemaining[[#This Row],[Time]],Upgrades[],MATCH("T"&amp;MATCH(TRUE,INDEX(TimeRemaining[[#This Row],[1]:[12]]&lt;&gt;0,),0),Upgrades[#Headers],0),FALSE),"")</f>
        <v/>
      </c>
      <c r="F75" s="78">
        <f>IF(VALUE(TimeRemaining[#Headers])&lt;='Construction Dashboard'!$F32,IFERROR(VLOOKUP(TimeRemaining[[#This Row],[Time]],Upgrades[],MATCH("T"&amp;TimeRemaining[#Headers],Upgrades[#Headers],0),FALSE),0)*MAX(0,SUM('Construction Dashboard'!$G32:G32)),0)</f>
        <v>0</v>
      </c>
      <c r="G75" s="78">
        <f>IF(VALUE(TimeRemaining[#Headers])&lt;='Construction Dashboard'!$F32,IFERROR(VLOOKUP(TimeRemaining[[#This Row],[Time]],Upgrades[],MATCH("T"&amp;TimeRemaining[#Headers],Upgrades[#Headers],0),FALSE),0)*MAX(0,SUM('Construction Dashboard'!$G32:H32)),0)</f>
        <v>0</v>
      </c>
      <c r="H75" s="78">
        <f>IF(VALUE(TimeRemaining[#Headers])&lt;='Construction Dashboard'!$F32,IFERROR(VLOOKUP(TimeRemaining[[#This Row],[Time]],Upgrades[],MATCH("T"&amp;TimeRemaining[#Headers],Upgrades[#Headers],0),FALSE),0)*MAX(0,SUM('Construction Dashboard'!$G32:I32)),0)</f>
        <v>0</v>
      </c>
      <c r="I75" s="78">
        <f>IF(VALUE(TimeRemaining[#Headers])&lt;='Construction Dashboard'!$F32,IFERROR(VLOOKUP(TimeRemaining[[#This Row],[Time]],Upgrades[],MATCH("T"&amp;TimeRemaining[#Headers],Upgrades[#Headers],0),FALSE),0)*MAX(0,SUM('Construction Dashboard'!$G32:J32)),0)</f>
        <v>0</v>
      </c>
      <c r="J75" s="78">
        <f>IF(VALUE(TimeRemaining[#Headers])&lt;='Construction Dashboard'!$F32,IFERROR(VLOOKUP(TimeRemaining[[#This Row],[Time]],Upgrades[],MATCH("T"&amp;TimeRemaining[#Headers],Upgrades[#Headers],0),FALSE),0)*MAX(0,SUM('Construction Dashboard'!$G32:K32)),0)</f>
        <v>0</v>
      </c>
      <c r="K75" s="78">
        <f>IF(VALUE(TimeRemaining[#Headers])&lt;='Construction Dashboard'!$F32,IFERROR(VLOOKUP(TimeRemaining[[#This Row],[Time]],Upgrades[],MATCH("T"&amp;TimeRemaining[#Headers],Upgrades[#Headers],0),FALSE),0)*MAX(0,SUM('Construction Dashboard'!$G32:L32)),0)</f>
        <v>0</v>
      </c>
      <c r="L75" s="78">
        <f>IF(VALUE(TimeRemaining[#Headers])&lt;='Construction Dashboard'!$F32,IFERROR(VLOOKUP(TimeRemaining[[#This Row],[Time]],Upgrades[],MATCH("T"&amp;TimeRemaining[#Headers],Upgrades[#Headers],0),FALSE),0)*MAX(0,SUM('Construction Dashboard'!$G32:M32)),0)</f>
        <v>0</v>
      </c>
      <c r="M75" s="78">
        <f>IF(VALUE(TimeRemaining[#Headers])&lt;='Construction Dashboard'!$F32,IFERROR(VLOOKUP(TimeRemaining[[#This Row],[Time]],Upgrades[],MATCH("T"&amp;TimeRemaining[#Headers],Upgrades[#Headers],0),FALSE),0)*MAX(0,SUM('Construction Dashboard'!$G32:N32)),0)</f>
        <v>0</v>
      </c>
      <c r="N75" s="78">
        <f>IF(VALUE(TimeRemaining[#Headers])&lt;='Construction Dashboard'!$F32,IFERROR(VLOOKUP(TimeRemaining[[#This Row],[Time]],Upgrades[],MATCH("T"&amp;TimeRemaining[#Headers],Upgrades[#Headers],0),FALSE),0)*MAX(0,SUM('Construction Dashboard'!$G32:O32)),0)</f>
        <v>0</v>
      </c>
      <c r="O75" s="78">
        <f>IF(VALUE(TimeRemaining[#Headers])&lt;='Construction Dashboard'!$F32,IFERROR(VLOOKUP(TimeRemaining[[#This Row],[Time]],Upgrades[],MATCH("T"&amp;TimeRemaining[#Headers],Upgrades[#Headers],0),FALSE),0)*MAX(0,SUM('Construction Dashboard'!$G32:P32)),0)</f>
        <v>0</v>
      </c>
      <c r="P75" s="78">
        <f>IF(VALUE(TimeRemaining[#Headers])&lt;='Construction Dashboard'!$F32,IFERROR(VLOOKUP(TimeRemaining[[#This Row],[Time]],Upgrades[],MATCH("T"&amp;TimeRemaining[#Headers],Upgrades[#Headers],0),FALSE),0)*MAX(0,SUM('Construction Dashboard'!$G32:Q32)),0)</f>
        <v>0</v>
      </c>
      <c r="Q75" s="78">
        <f>IF(VALUE(TimeRemaining[#Headers])&lt;='Construction Dashboard'!$F32,IFERROR(VLOOKUP(TimeRemaining[[#This Row],[Time]],Upgrades[],MATCH("T"&amp;TimeRemaining[#Headers],Upgrades[#Headers],0),FALSE),0)*MAX(0,SUM('Construction Dashboard'!$G32:R32)),0)</f>
        <v>0</v>
      </c>
      <c r="R75" s="78">
        <f>IF(TimeRemaining[[#This Row],[MatchStr]]="IGNORE",0,SUM(TimeRemaining[[#This Row],[1]:[12]]))</f>
        <v>0</v>
      </c>
    </row>
    <row r="76" spans="1:18">
      <c r="A76" s="26" t="s">
        <v>18</v>
      </c>
      <c r="B76" s="26" t="str">
        <f>VLOOKUP(TimeRemaining[[#This Row],[Time]],Upgrades[],2,FALSE)</f>
        <v>Building</v>
      </c>
      <c r="C76" s="26" t="str">
        <f>VLOOKUP(TimeRemaining[[#This Row],[Time]],Upgrades[],3,FALSE)</f>
        <v>Elixir</v>
      </c>
      <c r="D76" s="171" t="str">
        <f>IF((IFERROR(MATCH(TimeRemaining[[#This Row],[Time]],'Construction Dashboard'!$P$19:$S$19,0),0)+IFERROR(MATCH(TimeRemaining[[#This Row],[Time]],'Construction Dashboard'!$P$20:$S$20,0),0))&gt;0,"IGNORE",TimeRemaining[Kind]&amp;"-"&amp;TimeRemaining[Resource])</f>
        <v>Building-Elixir</v>
      </c>
      <c r="E76" s="71">
        <f>IFERROR(VLOOKUP(TimeRemaining[[#This Row],[Time]],Upgrades[],MATCH("T"&amp;MATCH(TRUE,INDEX(TimeRemaining[[#This Row],[1]:[12]]&lt;&gt;0,),0),Upgrades[#Headers],0),FALSE),"")</f>
        <v>2</v>
      </c>
      <c r="F76" s="78">
        <f>IF(VALUE(TimeRemaining[#Headers])&lt;='Construction Dashboard'!$F33,IFERROR(VLOOKUP(TimeRemaining[[#This Row],[Time]],Upgrades[],MATCH("T"&amp;TimeRemaining[#Headers],Upgrades[#Headers],0),FALSE),0)*MAX(0,SUM('Construction Dashboard'!$G33:G33)),0)</f>
        <v>0</v>
      </c>
      <c r="G76" s="78">
        <f>IF(VALUE(TimeRemaining[#Headers])&lt;='Construction Dashboard'!$F33,IFERROR(VLOOKUP(TimeRemaining[[#This Row],[Time]],Upgrades[],MATCH("T"&amp;TimeRemaining[#Headers],Upgrades[#Headers],0),FALSE),0)*MAX(0,SUM('Construction Dashboard'!$G33:H33)),0)</f>
        <v>2</v>
      </c>
      <c r="H76" s="78">
        <f>IF(VALUE(TimeRemaining[#Headers])&lt;='Construction Dashboard'!$F33,IFERROR(VLOOKUP(TimeRemaining[[#This Row],[Time]],Upgrades[],MATCH("T"&amp;TimeRemaining[#Headers],Upgrades[#Headers],0),FALSE),0)*MAX(0,SUM('Construction Dashboard'!$G33:I33)),0)</f>
        <v>0</v>
      </c>
      <c r="I76" s="78">
        <f>IF(VALUE(TimeRemaining[#Headers])&lt;='Construction Dashboard'!$F33,IFERROR(VLOOKUP(TimeRemaining[[#This Row],[Time]],Upgrades[],MATCH("T"&amp;TimeRemaining[#Headers],Upgrades[#Headers],0),FALSE),0)*MAX(0,SUM('Construction Dashboard'!$G33:J33)),0)</f>
        <v>0</v>
      </c>
      <c r="J76" s="78">
        <f>IF(VALUE(TimeRemaining[#Headers])&lt;='Construction Dashboard'!$F33,IFERROR(VLOOKUP(TimeRemaining[[#This Row],[Time]],Upgrades[],MATCH("T"&amp;TimeRemaining[#Headers],Upgrades[#Headers],0),FALSE),0)*MAX(0,SUM('Construction Dashboard'!$G33:K33)),0)</f>
        <v>0</v>
      </c>
      <c r="K76" s="78">
        <f>IF(VALUE(TimeRemaining[#Headers])&lt;='Construction Dashboard'!$F33,IFERROR(VLOOKUP(TimeRemaining[[#This Row],[Time]],Upgrades[],MATCH("T"&amp;TimeRemaining[#Headers],Upgrades[#Headers],0),FALSE),0)*MAX(0,SUM('Construction Dashboard'!$G33:L33)),0)</f>
        <v>0</v>
      </c>
      <c r="L76" s="78">
        <f>IF(VALUE(TimeRemaining[#Headers])&lt;='Construction Dashboard'!$F33,IFERROR(VLOOKUP(TimeRemaining[[#This Row],[Time]],Upgrades[],MATCH("T"&amp;TimeRemaining[#Headers],Upgrades[#Headers],0),FALSE),0)*MAX(0,SUM('Construction Dashboard'!$G33:M33)),0)</f>
        <v>0</v>
      </c>
      <c r="M76" s="78">
        <f>IF(VALUE(TimeRemaining[#Headers])&lt;='Construction Dashboard'!$F33,IFERROR(VLOOKUP(TimeRemaining[[#This Row],[Time]],Upgrades[],MATCH("T"&amp;TimeRemaining[#Headers],Upgrades[#Headers],0),FALSE),0)*MAX(0,SUM('Construction Dashboard'!$G33:N33)),0)</f>
        <v>0</v>
      </c>
      <c r="N76" s="78">
        <f>IF(VALUE(TimeRemaining[#Headers])&lt;='Construction Dashboard'!$F33,IFERROR(VLOOKUP(TimeRemaining[[#This Row],[Time]],Upgrades[],MATCH("T"&amp;TimeRemaining[#Headers],Upgrades[#Headers],0),FALSE),0)*MAX(0,SUM('Construction Dashboard'!$G33:O33)),0)</f>
        <v>0</v>
      </c>
      <c r="O76" s="78">
        <f>IF(VALUE(TimeRemaining[#Headers])&lt;='Construction Dashboard'!$F33,IFERROR(VLOOKUP(TimeRemaining[[#This Row],[Time]],Upgrades[],MATCH("T"&amp;TimeRemaining[#Headers],Upgrades[#Headers],0),FALSE),0)*MAX(0,SUM('Construction Dashboard'!$G33:P33)),0)</f>
        <v>0</v>
      </c>
      <c r="P76" s="78">
        <f>IF(VALUE(TimeRemaining[#Headers])&lt;='Construction Dashboard'!$F33,IFERROR(VLOOKUP(TimeRemaining[[#This Row],[Time]],Upgrades[],MATCH("T"&amp;TimeRemaining[#Headers],Upgrades[#Headers],0),FALSE),0)*MAX(0,SUM('Construction Dashboard'!$G33:Q33)),0)</f>
        <v>0</v>
      </c>
      <c r="Q76" s="78">
        <f>IF(VALUE(TimeRemaining[#Headers])&lt;='Construction Dashboard'!$F33,IFERROR(VLOOKUP(TimeRemaining[[#This Row],[Time]],Upgrades[],MATCH("T"&amp;TimeRemaining[#Headers],Upgrades[#Headers],0),FALSE),0)*MAX(0,SUM('Construction Dashboard'!$G33:R33)),0)</f>
        <v>0</v>
      </c>
      <c r="R76" s="78">
        <f>IF(TimeRemaining[[#This Row],[MatchStr]]="IGNORE",0,SUM(TimeRemaining[[#This Row],[1]:[12]]))</f>
        <v>2</v>
      </c>
    </row>
    <row r="77" spans="1:18">
      <c r="A77" s="26" t="s">
        <v>19</v>
      </c>
      <c r="B77" s="26" t="str">
        <f>VLOOKUP(TimeRemaining[[#This Row],[Time]],Upgrades[],2,FALSE)</f>
        <v>Building</v>
      </c>
      <c r="C77" s="26" t="str">
        <f>VLOOKUP(TimeRemaining[[#This Row],[Time]],Upgrades[],3,FALSE)</f>
        <v>Elixir</v>
      </c>
      <c r="D77" s="171" t="str">
        <f>IF((IFERROR(MATCH(TimeRemaining[[#This Row],[Time]],'Construction Dashboard'!$P$19:$S$19,0),0)+IFERROR(MATCH(TimeRemaining[[#This Row],[Time]],'Construction Dashboard'!$P$20:$S$20,0),0))&gt;0,"IGNORE",TimeRemaining[Kind]&amp;"-"&amp;TimeRemaining[Resource])</f>
        <v>Building-Elixir</v>
      </c>
      <c r="E77" s="71">
        <f>IFERROR(VLOOKUP(TimeRemaining[[#This Row],[Time]],Upgrades[],MATCH("T"&amp;MATCH(TRUE,INDEX(TimeRemaining[[#This Row],[1]:[12]]&lt;&gt;0,),0),Upgrades[#Headers],0),FALSE),"")</f>
        <v>5</v>
      </c>
      <c r="F77" s="78">
        <f>IF(VALUE(TimeRemaining[#Headers])&lt;='Construction Dashboard'!$F34,IFERROR(VLOOKUP(TimeRemaining[[#This Row],[Time]],Upgrades[],MATCH("T"&amp;TimeRemaining[#Headers],Upgrades[#Headers],0),FALSE),0)*MAX(0,SUM('Construction Dashboard'!$G34:G34)),0)</f>
        <v>0</v>
      </c>
      <c r="G77" s="78">
        <f>IF(VALUE(TimeRemaining[#Headers])&lt;='Construction Dashboard'!$F34,IFERROR(VLOOKUP(TimeRemaining[[#This Row],[Time]],Upgrades[],MATCH("T"&amp;TimeRemaining[#Headers],Upgrades[#Headers],0),FALSE),0)*MAX(0,SUM('Construction Dashboard'!$G34:H34)),0)</f>
        <v>5</v>
      </c>
      <c r="H77" s="78">
        <f>IF(VALUE(TimeRemaining[#Headers])&lt;='Construction Dashboard'!$F34,IFERROR(VLOOKUP(TimeRemaining[[#This Row],[Time]],Upgrades[],MATCH("T"&amp;TimeRemaining[#Headers],Upgrades[#Headers],0),FALSE),0)*MAX(0,SUM('Construction Dashboard'!$G34:I34)),0)</f>
        <v>0</v>
      </c>
      <c r="I77" s="78">
        <f>IF(VALUE(TimeRemaining[#Headers])&lt;='Construction Dashboard'!$F34,IFERROR(VLOOKUP(TimeRemaining[[#This Row],[Time]],Upgrades[],MATCH("T"&amp;TimeRemaining[#Headers],Upgrades[#Headers],0),FALSE),0)*MAX(0,SUM('Construction Dashboard'!$G34:J34)),0)</f>
        <v>0</v>
      </c>
      <c r="J77" s="78">
        <f>IF(VALUE(TimeRemaining[#Headers])&lt;='Construction Dashboard'!$F34,IFERROR(VLOOKUP(TimeRemaining[[#This Row],[Time]],Upgrades[],MATCH("T"&amp;TimeRemaining[#Headers],Upgrades[#Headers],0),FALSE),0)*MAX(0,SUM('Construction Dashboard'!$G34:K34)),0)</f>
        <v>0</v>
      </c>
      <c r="K77" s="78">
        <f>IF(VALUE(TimeRemaining[#Headers])&lt;='Construction Dashboard'!$F34,IFERROR(VLOOKUP(TimeRemaining[[#This Row],[Time]],Upgrades[],MATCH("T"&amp;TimeRemaining[#Headers],Upgrades[#Headers],0),FALSE),0)*MAX(0,SUM('Construction Dashboard'!$G34:L34)),0)</f>
        <v>0</v>
      </c>
      <c r="L77" s="78">
        <f>IF(VALUE(TimeRemaining[#Headers])&lt;='Construction Dashboard'!$F34,IFERROR(VLOOKUP(TimeRemaining[[#This Row],[Time]],Upgrades[],MATCH("T"&amp;TimeRemaining[#Headers],Upgrades[#Headers],0),FALSE),0)*MAX(0,SUM('Construction Dashboard'!$G34:M34)),0)</f>
        <v>0</v>
      </c>
      <c r="M77" s="78">
        <f>IF(VALUE(TimeRemaining[#Headers])&lt;='Construction Dashboard'!$F34,IFERROR(VLOOKUP(TimeRemaining[[#This Row],[Time]],Upgrades[],MATCH("T"&amp;TimeRemaining[#Headers],Upgrades[#Headers],0),FALSE),0)*MAX(0,SUM('Construction Dashboard'!$G34:N34)),0)</f>
        <v>0</v>
      </c>
      <c r="N77" s="78">
        <f>IF(VALUE(TimeRemaining[#Headers])&lt;='Construction Dashboard'!$F34,IFERROR(VLOOKUP(TimeRemaining[[#This Row],[Time]],Upgrades[],MATCH("T"&amp;TimeRemaining[#Headers],Upgrades[#Headers],0),FALSE),0)*MAX(0,SUM('Construction Dashboard'!$G34:O34)),0)</f>
        <v>0</v>
      </c>
      <c r="O77" s="78">
        <f>IF(VALUE(TimeRemaining[#Headers])&lt;='Construction Dashboard'!$F34,IFERROR(VLOOKUP(TimeRemaining[[#This Row],[Time]],Upgrades[],MATCH("T"&amp;TimeRemaining[#Headers],Upgrades[#Headers],0),FALSE),0)*MAX(0,SUM('Construction Dashboard'!$G34:P34)),0)</f>
        <v>0</v>
      </c>
      <c r="P77" s="78">
        <f>IF(VALUE(TimeRemaining[#Headers])&lt;='Construction Dashboard'!$F34,IFERROR(VLOOKUP(TimeRemaining[[#This Row],[Time]],Upgrades[],MATCH("T"&amp;TimeRemaining[#Headers],Upgrades[#Headers],0),FALSE),0)*MAX(0,SUM('Construction Dashboard'!$G34:Q34)),0)</f>
        <v>0</v>
      </c>
      <c r="Q77" s="78">
        <f>IF(VALUE(TimeRemaining[#Headers])&lt;='Construction Dashboard'!$F34,IFERROR(VLOOKUP(TimeRemaining[[#This Row],[Time]],Upgrades[],MATCH("T"&amp;TimeRemaining[#Headers],Upgrades[#Headers],0),FALSE),0)*MAX(0,SUM('Construction Dashboard'!$G34:R34)),0)</f>
        <v>0</v>
      </c>
      <c r="R77" s="78">
        <f>IF(TimeRemaining[[#This Row],[MatchStr]]="IGNORE",0,SUM(TimeRemaining[[#This Row],[1]:[12]]))</f>
        <v>5</v>
      </c>
    </row>
    <row r="78" spans="1:18">
      <c r="A78" s="26" t="s">
        <v>22</v>
      </c>
      <c r="B78" s="26" t="str">
        <f>VLOOKUP(TimeRemaining[[#This Row],[Time]],Upgrades[],2,FALSE)</f>
        <v>Building</v>
      </c>
      <c r="C78" s="26" t="str">
        <f>VLOOKUP(TimeRemaining[[#This Row],[Time]],Upgrades[],3,FALSE)</f>
        <v>Elixir</v>
      </c>
      <c r="D78" s="171" t="str">
        <f>IF((IFERROR(MATCH(TimeRemaining[[#This Row],[Time]],'Construction Dashboard'!$P$19:$S$19,0),0)+IFERROR(MATCH(TimeRemaining[[#This Row],[Time]],'Construction Dashboard'!$P$20:$S$20,0),0))&gt;0,"IGNORE",TimeRemaining[Kind]&amp;"-"&amp;TimeRemaining[Resource])</f>
        <v>Building-Elixir</v>
      </c>
      <c r="E78" s="71" t="str">
        <f>IFERROR(VLOOKUP(TimeRemaining[[#This Row],[Time]],Upgrades[],MATCH("T"&amp;MATCH(TRUE,INDEX(TimeRemaining[[#This Row],[1]:[12]]&lt;&gt;0,),0),Upgrades[#Headers],0),FALSE),"")</f>
        <v/>
      </c>
      <c r="F78" s="78">
        <f>IF(VALUE(TimeRemaining[#Headers])&lt;='Construction Dashboard'!$F35,IFERROR(VLOOKUP(TimeRemaining[[#This Row],[Time]],Upgrades[],MATCH("T"&amp;TimeRemaining[#Headers],Upgrades[#Headers],0),FALSE),0)*MAX(0,SUM('Construction Dashboard'!$G35:G35)),0)</f>
        <v>0</v>
      </c>
      <c r="G78" s="78">
        <f>IF(VALUE(TimeRemaining[#Headers])&lt;='Construction Dashboard'!$F35,IFERROR(VLOOKUP(TimeRemaining[[#This Row],[Time]],Upgrades[],MATCH("T"&amp;TimeRemaining[#Headers],Upgrades[#Headers],0),FALSE),0)*MAX(0,SUM('Construction Dashboard'!$G35:H35)),0)</f>
        <v>0</v>
      </c>
      <c r="H78" s="78">
        <f>IF(VALUE(TimeRemaining[#Headers])&lt;='Construction Dashboard'!$F35,IFERROR(VLOOKUP(TimeRemaining[[#This Row],[Time]],Upgrades[],MATCH("T"&amp;TimeRemaining[#Headers],Upgrades[#Headers],0),FALSE),0)*MAX(0,SUM('Construction Dashboard'!$G35:I35)),0)</f>
        <v>0</v>
      </c>
      <c r="I78" s="78">
        <f>IF(VALUE(TimeRemaining[#Headers])&lt;='Construction Dashboard'!$F35,IFERROR(VLOOKUP(TimeRemaining[[#This Row],[Time]],Upgrades[],MATCH("T"&amp;TimeRemaining[#Headers],Upgrades[#Headers],0),FALSE),0)*MAX(0,SUM('Construction Dashboard'!$G35:J35)),0)</f>
        <v>0</v>
      </c>
      <c r="J78" s="78">
        <f>IF(VALUE(TimeRemaining[#Headers])&lt;='Construction Dashboard'!$F35,IFERROR(VLOOKUP(TimeRemaining[[#This Row],[Time]],Upgrades[],MATCH("T"&amp;TimeRemaining[#Headers],Upgrades[#Headers],0),FALSE),0)*MAX(0,SUM('Construction Dashboard'!$G35:K35)),0)</f>
        <v>0</v>
      </c>
      <c r="K78" s="78">
        <f>IF(VALUE(TimeRemaining[#Headers])&lt;='Construction Dashboard'!$F35,IFERROR(VLOOKUP(TimeRemaining[[#This Row],[Time]],Upgrades[],MATCH("T"&amp;TimeRemaining[#Headers],Upgrades[#Headers],0),FALSE),0)*MAX(0,SUM('Construction Dashboard'!$G35:L35)),0)</f>
        <v>0</v>
      </c>
      <c r="L78" s="78">
        <f>IF(VALUE(TimeRemaining[#Headers])&lt;='Construction Dashboard'!$F35,IFERROR(VLOOKUP(TimeRemaining[[#This Row],[Time]],Upgrades[],MATCH("T"&amp;TimeRemaining[#Headers],Upgrades[#Headers],0),FALSE),0)*MAX(0,SUM('Construction Dashboard'!$G35:M35)),0)</f>
        <v>0</v>
      </c>
      <c r="M78" s="78">
        <f>IF(VALUE(TimeRemaining[#Headers])&lt;='Construction Dashboard'!$F35,IFERROR(VLOOKUP(TimeRemaining[[#This Row],[Time]],Upgrades[],MATCH("T"&amp;TimeRemaining[#Headers],Upgrades[#Headers],0),FALSE),0)*MAX(0,SUM('Construction Dashboard'!$G35:N35)),0)</f>
        <v>0</v>
      </c>
      <c r="N78" s="78">
        <f>IF(VALUE(TimeRemaining[#Headers])&lt;='Construction Dashboard'!$F35,IFERROR(VLOOKUP(TimeRemaining[[#This Row],[Time]],Upgrades[],MATCH("T"&amp;TimeRemaining[#Headers],Upgrades[#Headers],0),FALSE),0)*MAX(0,SUM('Construction Dashboard'!$G35:O35)),0)</f>
        <v>0</v>
      </c>
      <c r="O78" s="78">
        <f>IF(VALUE(TimeRemaining[#Headers])&lt;='Construction Dashboard'!$F35,IFERROR(VLOOKUP(TimeRemaining[[#This Row],[Time]],Upgrades[],MATCH("T"&amp;TimeRemaining[#Headers],Upgrades[#Headers],0),FALSE),0)*MAX(0,SUM('Construction Dashboard'!$G35:P35)),0)</f>
        <v>0</v>
      </c>
      <c r="P78" s="78">
        <f>IF(VALUE(TimeRemaining[#Headers])&lt;='Construction Dashboard'!$F35,IFERROR(VLOOKUP(TimeRemaining[[#This Row],[Time]],Upgrades[],MATCH("T"&amp;TimeRemaining[#Headers],Upgrades[#Headers],0),FALSE),0)*MAX(0,SUM('Construction Dashboard'!$G35:Q35)),0)</f>
        <v>0</v>
      </c>
      <c r="Q78" s="78">
        <f>IF(VALUE(TimeRemaining[#Headers])&lt;='Construction Dashboard'!$F35,IFERROR(VLOOKUP(TimeRemaining[[#This Row],[Time]],Upgrades[],MATCH("T"&amp;TimeRemaining[#Headers],Upgrades[#Headers],0),FALSE),0)*MAX(0,SUM('Construction Dashboard'!$G35:R35)),0)</f>
        <v>0</v>
      </c>
      <c r="R78" s="78">
        <f>IF(TimeRemaining[[#This Row],[MatchStr]]="IGNORE",0,SUM(TimeRemaining[[#This Row],[1]:[12]]))</f>
        <v>0</v>
      </c>
    </row>
    <row r="79" spans="1:18">
      <c r="A79" s="26" t="s">
        <v>5</v>
      </c>
      <c r="B79" s="26" t="str">
        <f>VLOOKUP(TimeRemaining[[#This Row],[Time]],Upgrades[],2,FALSE)</f>
        <v>Building</v>
      </c>
      <c r="C79" s="26" t="str">
        <f>VLOOKUP(TimeRemaining[[#This Row],[Time]],Upgrades[],3,FALSE)</f>
        <v>Gold</v>
      </c>
      <c r="D79" s="171" t="str">
        <f>IF((IFERROR(MATCH(TimeRemaining[[#This Row],[Time]],'Construction Dashboard'!$P$19:$S$19,0),0)+IFERROR(MATCH(TimeRemaining[[#This Row],[Time]],'Construction Dashboard'!$P$20:$S$20,0),0))&gt;0,"IGNORE",TimeRemaining[Kind]&amp;"-"&amp;TimeRemaining[Resource])</f>
        <v>Building-Gold</v>
      </c>
      <c r="E79" s="71" t="str">
        <f>IFERROR(VLOOKUP(TimeRemaining[[#This Row],[Time]],Upgrades[],MATCH("T"&amp;MATCH(TRUE,INDEX(TimeRemaining[[#This Row],[1]:[12]]&lt;&gt;0,),0),Upgrades[#Headers],0),FALSE),"")</f>
        <v/>
      </c>
      <c r="F79" s="78">
        <f>IF(VALUE(TimeRemaining[#Headers])&lt;='Construction Dashboard'!$F36,IFERROR(VLOOKUP(TimeRemaining[[#This Row],[Time]],Upgrades[],MATCH("T"&amp;TimeRemaining[#Headers],Upgrades[#Headers],0),FALSE),0)*MAX(0,SUM('Construction Dashboard'!$G36:G36)),0)</f>
        <v>0</v>
      </c>
      <c r="G79" s="78">
        <f>IF(VALUE(TimeRemaining[#Headers])&lt;='Construction Dashboard'!$F36,IFERROR(VLOOKUP(TimeRemaining[[#This Row],[Time]],Upgrades[],MATCH("T"&amp;TimeRemaining[#Headers],Upgrades[#Headers],0),FALSE),0)*MAX(0,SUM('Construction Dashboard'!$G36:H36)),0)</f>
        <v>0</v>
      </c>
      <c r="H79" s="78">
        <f>IF(VALUE(TimeRemaining[#Headers])&lt;='Construction Dashboard'!$F36,IFERROR(VLOOKUP(TimeRemaining[[#This Row],[Time]],Upgrades[],MATCH("T"&amp;TimeRemaining[#Headers],Upgrades[#Headers],0),FALSE),0)*MAX(0,SUM('Construction Dashboard'!$G36:I36)),0)</f>
        <v>0</v>
      </c>
      <c r="I79" s="78">
        <f>IF(VALUE(TimeRemaining[#Headers])&lt;='Construction Dashboard'!$F36,IFERROR(VLOOKUP(TimeRemaining[[#This Row],[Time]],Upgrades[],MATCH("T"&amp;TimeRemaining[#Headers],Upgrades[#Headers],0),FALSE),0)*MAX(0,SUM('Construction Dashboard'!$G36:J36)),0)</f>
        <v>0</v>
      </c>
      <c r="J79" s="78">
        <f>IF(VALUE(TimeRemaining[#Headers])&lt;='Construction Dashboard'!$F36,IFERROR(VLOOKUP(TimeRemaining[[#This Row],[Time]],Upgrades[],MATCH("T"&amp;TimeRemaining[#Headers],Upgrades[#Headers],0),FALSE),0)*MAX(0,SUM('Construction Dashboard'!$G36:K36)),0)</f>
        <v>0</v>
      </c>
      <c r="K79" s="78">
        <f>IF(VALUE(TimeRemaining[#Headers])&lt;='Construction Dashboard'!$F36,IFERROR(VLOOKUP(TimeRemaining[[#This Row],[Time]],Upgrades[],MATCH("T"&amp;TimeRemaining[#Headers],Upgrades[#Headers],0),FALSE),0)*MAX(0,SUM('Construction Dashboard'!$G36:L36)),0)</f>
        <v>0</v>
      </c>
      <c r="L79" s="78">
        <f>IF(VALUE(TimeRemaining[#Headers])&lt;='Construction Dashboard'!$F36,IFERROR(VLOOKUP(TimeRemaining[[#This Row],[Time]],Upgrades[],MATCH("T"&amp;TimeRemaining[#Headers],Upgrades[#Headers],0),FALSE),0)*MAX(0,SUM('Construction Dashboard'!$G36:M36)),0)</f>
        <v>0</v>
      </c>
      <c r="M79" s="78">
        <f>IF(VALUE(TimeRemaining[#Headers])&lt;='Construction Dashboard'!$F36,IFERROR(VLOOKUP(TimeRemaining[[#This Row],[Time]],Upgrades[],MATCH("T"&amp;TimeRemaining[#Headers],Upgrades[#Headers],0),FALSE),0)*MAX(0,SUM('Construction Dashboard'!$G36:N36)),0)</f>
        <v>0</v>
      </c>
      <c r="N79" s="78">
        <f>IF(VALUE(TimeRemaining[#Headers])&lt;='Construction Dashboard'!$F36,IFERROR(VLOOKUP(TimeRemaining[[#This Row],[Time]],Upgrades[],MATCH("T"&amp;TimeRemaining[#Headers],Upgrades[#Headers],0),FALSE),0)*MAX(0,SUM('Construction Dashboard'!$G36:O36)),0)</f>
        <v>0</v>
      </c>
      <c r="O79" s="78">
        <f>IF(VALUE(TimeRemaining[#Headers])&lt;='Construction Dashboard'!$F36,IFERROR(VLOOKUP(TimeRemaining[[#This Row],[Time]],Upgrades[],MATCH("T"&amp;TimeRemaining[#Headers],Upgrades[#Headers],0),FALSE),0)*MAX(0,SUM('Construction Dashboard'!$G36:P36)),0)</f>
        <v>0</v>
      </c>
      <c r="P79" s="78">
        <f>IF(VALUE(TimeRemaining[#Headers])&lt;='Construction Dashboard'!$F36,IFERROR(VLOOKUP(TimeRemaining[[#This Row],[Time]],Upgrades[],MATCH("T"&amp;TimeRemaining[#Headers],Upgrades[#Headers],0),FALSE),0)*MAX(0,SUM('Construction Dashboard'!$G36:Q36)),0)</f>
        <v>0</v>
      </c>
      <c r="Q79" s="78">
        <f>IF(VALUE(TimeRemaining[#Headers])&lt;='Construction Dashboard'!$F36,IFERROR(VLOOKUP(TimeRemaining[[#This Row],[Time]],Upgrades[],MATCH("T"&amp;TimeRemaining[#Headers],Upgrades[#Headers],0),FALSE),0)*MAX(0,SUM('Construction Dashboard'!$G36:R36)),0)</f>
        <v>0</v>
      </c>
      <c r="R79" s="78">
        <f>IF(TimeRemaining[[#This Row],[MatchStr]]="IGNORE",0,SUM(TimeRemaining[[#This Row],[1]:[12]]))</f>
        <v>0</v>
      </c>
    </row>
    <row r="80" spans="1:18">
      <c r="A80" s="26" t="s">
        <v>6</v>
      </c>
      <c r="B80" s="26" t="str">
        <f>VLOOKUP(TimeRemaining[[#This Row],[Time]],Upgrades[],2,FALSE)</f>
        <v>Building</v>
      </c>
      <c r="C80" s="26" t="str">
        <f>VLOOKUP(TimeRemaining[[#This Row],[Time]],Upgrades[],3,FALSE)</f>
        <v>Gold</v>
      </c>
      <c r="D80" s="171" t="str">
        <f>IF((IFERROR(MATCH(TimeRemaining[[#This Row],[Time]],'Construction Dashboard'!$P$19:$S$19,0),0)+IFERROR(MATCH(TimeRemaining[[#This Row],[Time]],'Construction Dashboard'!$P$20:$S$20,0),0))&gt;0,"IGNORE",TimeRemaining[Kind]&amp;"-"&amp;TimeRemaining[Resource])</f>
        <v>Building-Gold</v>
      </c>
      <c r="E80" s="71" t="str">
        <f>IFERROR(VLOOKUP(TimeRemaining[[#This Row],[Time]],Upgrades[],MATCH("T"&amp;MATCH(TRUE,INDEX(TimeRemaining[[#This Row],[1]:[12]]&lt;&gt;0,),0),Upgrades[#Headers],0),FALSE),"")</f>
        <v/>
      </c>
      <c r="F80" s="78">
        <f>IF(VALUE(TimeRemaining[#Headers])&lt;='Construction Dashboard'!$F37,IFERROR(VLOOKUP(TimeRemaining[[#This Row],[Time]],Upgrades[],MATCH("T"&amp;TimeRemaining[#Headers],Upgrades[#Headers],0),FALSE),0)*MAX(0,SUM('Construction Dashboard'!$G37:G37)),0)</f>
        <v>0</v>
      </c>
      <c r="G80" s="78">
        <f>IF(VALUE(TimeRemaining[#Headers])&lt;='Construction Dashboard'!$F37,IFERROR(VLOOKUP(TimeRemaining[[#This Row],[Time]],Upgrades[],MATCH("T"&amp;TimeRemaining[#Headers],Upgrades[#Headers],0),FALSE),0)*MAX(0,SUM('Construction Dashboard'!$G37:H37)),0)</f>
        <v>0</v>
      </c>
      <c r="H80" s="78">
        <f>IF(VALUE(TimeRemaining[#Headers])&lt;='Construction Dashboard'!$F37,IFERROR(VLOOKUP(TimeRemaining[[#This Row],[Time]],Upgrades[],MATCH("T"&amp;TimeRemaining[#Headers],Upgrades[#Headers],0),FALSE),0)*MAX(0,SUM('Construction Dashboard'!$G37:I37)),0)</f>
        <v>0</v>
      </c>
      <c r="I80" s="78">
        <f>IF(VALUE(TimeRemaining[#Headers])&lt;='Construction Dashboard'!$F37,IFERROR(VLOOKUP(TimeRemaining[[#This Row],[Time]],Upgrades[],MATCH("T"&amp;TimeRemaining[#Headers],Upgrades[#Headers],0),FALSE),0)*MAX(0,SUM('Construction Dashboard'!$G37:J37)),0)</f>
        <v>0</v>
      </c>
      <c r="J80" s="78">
        <f>IF(VALUE(TimeRemaining[#Headers])&lt;='Construction Dashboard'!$F37,IFERROR(VLOOKUP(TimeRemaining[[#This Row],[Time]],Upgrades[],MATCH("T"&amp;TimeRemaining[#Headers],Upgrades[#Headers],0),FALSE),0)*MAX(0,SUM('Construction Dashboard'!$G37:K37)),0)</f>
        <v>0</v>
      </c>
      <c r="K80" s="78">
        <f>IF(VALUE(TimeRemaining[#Headers])&lt;='Construction Dashboard'!$F37,IFERROR(VLOOKUP(TimeRemaining[[#This Row],[Time]],Upgrades[],MATCH("T"&amp;TimeRemaining[#Headers],Upgrades[#Headers],0),FALSE),0)*MAX(0,SUM('Construction Dashboard'!$G37:L37)),0)</f>
        <v>0</v>
      </c>
      <c r="L80" s="78">
        <f>IF(VALUE(TimeRemaining[#Headers])&lt;='Construction Dashboard'!$F37,IFERROR(VLOOKUP(TimeRemaining[[#This Row],[Time]],Upgrades[],MATCH("T"&amp;TimeRemaining[#Headers],Upgrades[#Headers],0),FALSE),0)*MAX(0,SUM('Construction Dashboard'!$G37:M37)),0)</f>
        <v>0</v>
      </c>
      <c r="M80" s="78">
        <f>IF(VALUE(TimeRemaining[#Headers])&lt;='Construction Dashboard'!$F37,IFERROR(VLOOKUP(TimeRemaining[[#This Row],[Time]],Upgrades[],MATCH("T"&amp;TimeRemaining[#Headers],Upgrades[#Headers],0),FALSE),0)*MAX(0,SUM('Construction Dashboard'!$G37:N37)),0)</f>
        <v>0</v>
      </c>
      <c r="N80" s="78">
        <f>IF(VALUE(TimeRemaining[#Headers])&lt;='Construction Dashboard'!$F37,IFERROR(VLOOKUP(TimeRemaining[[#This Row],[Time]],Upgrades[],MATCH("T"&amp;TimeRemaining[#Headers],Upgrades[#Headers],0),FALSE),0)*MAX(0,SUM('Construction Dashboard'!$G37:O37)),0)</f>
        <v>0</v>
      </c>
      <c r="O80" s="78">
        <f>IF(VALUE(TimeRemaining[#Headers])&lt;='Construction Dashboard'!$F37,IFERROR(VLOOKUP(TimeRemaining[[#This Row],[Time]],Upgrades[],MATCH("T"&amp;TimeRemaining[#Headers],Upgrades[#Headers],0),FALSE),0)*MAX(0,SUM('Construction Dashboard'!$G37:P37)),0)</f>
        <v>0</v>
      </c>
      <c r="P80" s="78">
        <f>IF(VALUE(TimeRemaining[#Headers])&lt;='Construction Dashboard'!$F37,IFERROR(VLOOKUP(TimeRemaining[[#This Row],[Time]],Upgrades[],MATCH("T"&amp;TimeRemaining[#Headers],Upgrades[#Headers],0),FALSE),0)*MAX(0,SUM('Construction Dashboard'!$G37:Q37)),0)</f>
        <v>0</v>
      </c>
      <c r="Q80" s="78">
        <f>IF(VALUE(TimeRemaining[#Headers])&lt;='Construction Dashboard'!$F37,IFERROR(VLOOKUP(TimeRemaining[[#This Row],[Time]],Upgrades[],MATCH("T"&amp;TimeRemaining[#Headers],Upgrades[#Headers],0),FALSE),0)*MAX(0,SUM('Construction Dashboard'!$G37:R37)),0)</f>
        <v>0</v>
      </c>
      <c r="R80" s="78">
        <f>IF(TimeRemaining[[#This Row],[MatchStr]]="IGNORE",0,SUM(TimeRemaining[[#This Row],[1]:[12]]))</f>
        <v>0</v>
      </c>
    </row>
    <row r="81" spans="1:18">
      <c r="A81" s="26" t="s">
        <v>23</v>
      </c>
      <c r="B81" s="26" t="str">
        <f>VLOOKUP(TimeRemaining[[#This Row],[Time]],Upgrades[],2,FALSE)</f>
        <v>Building</v>
      </c>
      <c r="C81" s="26" t="str">
        <f>VLOOKUP(TimeRemaining[[#This Row],[Time]],Upgrades[],3,FALSE)</f>
        <v>Gold</v>
      </c>
      <c r="D81" s="171" t="str">
        <f>IF((IFERROR(MATCH(TimeRemaining[[#This Row],[Time]],'Construction Dashboard'!$P$19:$S$19,0),0)+IFERROR(MATCH(TimeRemaining[[#This Row],[Time]],'Construction Dashboard'!$P$20:$S$20,0),0))&gt;0,"IGNORE",TimeRemaining[Kind]&amp;"-"&amp;TimeRemaining[Resource])</f>
        <v>Building-Gold</v>
      </c>
      <c r="E81" s="71" t="str">
        <f>IFERROR(VLOOKUP(TimeRemaining[[#This Row],[Time]],Upgrades[],MATCH("T"&amp;MATCH(TRUE,INDEX(TimeRemaining[[#This Row],[1]:[12]]&lt;&gt;0,),0),Upgrades[#Headers],0),FALSE),"")</f>
        <v/>
      </c>
      <c r="F81" s="78">
        <f>IF(VALUE(TimeRemaining[#Headers])&lt;='Construction Dashboard'!$F38,IFERROR(VLOOKUP(TimeRemaining[[#This Row],[Time]],Upgrades[],MATCH("T"&amp;TimeRemaining[#Headers],Upgrades[#Headers],0),FALSE),0)*MAX(0,SUM('Construction Dashboard'!$G38:G38)),0)</f>
        <v>0</v>
      </c>
      <c r="G81" s="78">
        <f>IF(VALUE(TimeRemaining[#Headers])&lt;='Construction Dashboard'!$F38,IFERROR(VLOOKUP(TimeRemaining[[#This Row],[Time]],Upgrades[],MATCH("T"&amp;TimeRemaining[#Headers],Upgrades[#Headers],0),FALSE),0)*MAX(0,SUM('Construction Dashboard'!$G38:H38)),0)</f>
        <v>0</v>
      </c>
      <c r="H81" s="78">
        <f>IF(VALUE(TimeRemaining[#Headers])&lt;='Construction Dashboard'!$F38,IFERROR(VLOOKUP(TimeRemaining[[#This Row],[Time]],Upgrades[],MATCH("T"&amp;TimeRemaining[#Headers],Upgrades[#Headers],0),FALSE),0)*MAX(0,SUM('Construction Dashboard'!$G38:I38)),0)</f>
        <v>0</v>
      </c>
      <c r="I81" s="78">
        <f>IF(VALUE(TimeRemaining[#Headers])&lt;='Construction Dashboard'!$F38,IFERROR(VLOOKUP(TimeRemaining[[#This Row],[Time]],Upgrades[],MATCH("T"&amp;TimeRemaining[#Headers],Upgrades[#Headers],0),FALSE),0)*MAX(0,SUM('Construction Dashboard'!$G38:J38)),0)</f>
        <v>0</v>
      </c>
      <c r="J81" s="78">
        <f>IF(VALUE(TimeRemaining[#Headers])&lt;='Construction Dashboard'!$F38,IFERROR(VLOOKUP(TimeRemaining[[#This Row],[Time]],Upgrades[],MATCH("T"&amp;TimeRemaining[#Headers],Upgrades[#Headers],0),FALSE),0)*MAX(0,SUM('Construction Dashboard'!$G38:K38)),0)</f>
        <v>0</v>
      </c>
      <c r="K81" s="78">
        <f>IF(VALUE(TimeRemaining[#Headers])&lt;='Construction Dashboard'!$F38,IFERROR(VLOOKUP(TimeRemaining[[#This Row],[Time]],Upgrades[],MATCH("T"&amp;TimeRemaining[#Headers],Upgrades[#Headers],0),FALSE),0)*MAX(0,SUM('Construction Dashboard'!$G38:L38)),0)</f>
        <v>0</v>
      </c>
      <c r="L81" s="78">
        <f>IF(VALUE(TimeRemaining[#Headers])&lt;='Construction Dashboard'!$F38,IFERROR(VLOOKUP(TimeRemaining[[#This Row],[Time]],Upgrades[],MATCH("T"&amp;TimeRemaining[#Headers],Upgrades[#Headers],0),FALSE),0)*MAX(0,SUM('Construction Dashboard'!$G38:M38)),0)</f>
        <v>0</v>
      </c>
      <c r="M81" s="78">
        <f>IF(VALUE(TimeRemaining[#Headers])&lt;='Construction Dashboard'!$F38,IFERROR(VLOOKUP(TimeRemaining[[#This Row],[Time]],Upgrades[],MATCH("T"&amp;TimeRemaining[#Headers],Upgrades[#Headers],0),FALSE),0)*MAX(0,SUM('Construction Dashboard'!$G38:N38)),0)</f>
        <v>0</v>
      </c>
      <c r="N81" s="78">
        <f>IF(VALUE(TimeRemaining[#Headers])&lt;='Construction Dashboard'!$F38,IFERROR(VLOOKUP(TimeRemaining[[#This Row],[Time]],Upgrades[],MATCH("T"&amp;TimeRemaining[#Headers],Upgrades[#Headers],0),FALSE),0)*MAX(0,SUM('Construction Dashboard'!$G38:O38)),0)</f>
        <v>0</v>
      </c>
      <c r="O81" s="78">
        <f>IF(VALUE(TimeRemaining[#Headers])&lt;='Construction Dashboard'!$F38,IFERROR(VLOOKUP(TimeRemaining[[#This Row],[Time]],Upgrades[],MATCH("T"&amp;TimeRemaining[#Headers],Upgrades[#Headers],0),FALSE),0)*MAX(0,SUM('Construction Dashboard'!$G38:P38)),0)</f>
        <v>0</v>
      </c>
      <c r="P81" s="78">
        <f>IF(VALUE(TimeRemaining[#Headers])&lt;='Construction Dashboard'!$F38,IFERROR(VLOOKUP(TimeRemaining[[#This Row],[Time]],Upgrades[],MATCH("T"&amp;TimeRemaining[#Headers],Upgrades[#Headers],0),FALSE),0)*MAX(0,SUM('Construction Dashboard'!$G38:Q38)),0)</f>
        <v>0</v>
      </c>
      <c r="Q81" s="78">
        <f>IF(VALUE(TimeRemaining[#Headers])&lt;='Construction Dashboard'!$F38,IFERROR(VLOOKUP(TimeRemaining[[#This Row],[Time]],Upgrades[],MATCH("T"&amp;TimeRemaining[#Headers],Upgrades[#Headers],0),FALSE),0)*MAX(0,SUM('Construction Dashboard'!$G38:R38)),0)</f>
        <v>0</v>
      </c>
      <c r="R81" s="78">
        <f>IF(TimeRemaining[[#This Row],[MatchStr]]="IGNORE",0,SUM(TimeRemaining[[#This Row],[1]:[12]]))</f>
        <v>0</v>
      </c>
    </row>
    <row r="82" spans="1:18">
      <c r="A82" s="26" t="s">
        <v>24</v>
      </c>
      <c r="B82" s="26" t="str">
        <f>VLOOKUP(TimeRemaining[[#This Row],[Time]],Upgrades[],2,FALSE)</f>
        <v>Wall</v>
      </c>
      <c r="C82" s="26" t="str">
        <f>VLOOKUP(TimeRemaining[[#This Row],[Time]],Upgrades[],3,FALSE)</f>
        <v>Gold</v>
      </c>
      <c r="D82" s="171" t="str">
        <f>IF((IFERROR(MATCH(TimeRemaining[[#This Row],[Time]],'Construction Dashboard'!$P$19:$S$19,0),0)+IFERROR(MATCH(TimeRemaining[[#This Row],[Time]],'Construction Dashboard'!$P$20:$S$20,0),0))&gt;0,"IGNORE",TimeRemaining[Kind]&amp;"-"&amp;TimeRemaining[Resource])</f>
        <v>Wall-Gold</v>
      </c>
      <c r="E82" s="71" t="str">
        <f>IFERROR(VLOOKUP(TimeRemaining[[#This Row],[Time]],Upgrades[],MATCH("T"&amp;MATCH(TRUE,INDEX(TimeRemaining[[#This Row],[1]:[12]]&lt;&gt;0,),0),Upgrades[#Headers],0),FALSE),"")</f>
        <v/>
      </c>
      <c r="F82" s="78">
        <f>IF(VALUE(TimeRemaining[#Headers])&lt;='Construction Dashboard'!$F39,IFERROR(VLOOKUP(TimeRemaining[[#This Row],[Time]],Upgrades[],MATCH("T"&amp;TimeRemaining[#Headers],Upgrades[#Headers],0),FALSE),0)*MAX(0,SUM('Construction Dashboard'!$G39:G39)),0)</f>
        <v>0</v>
      </c>
      <c r="G82" s="78">
        <f>IF(VALUE(TimeRemaining[#Headers])&lt;='Construction Dashboard'!$F39,IFERROR(VLOOKUP(TimeRemaining[[#This Row],[Time]],Upgrades[],MATCH("T"&amp;TimeRemaining[#Headers],Upgrades[#Headers],0),FALSE),0)*MAX(0,SUM('Construction Dashboard'!$G39:H39)),0)</f>
        <v>0</v>
      </c>
      <c r="H82" s="78">
        <f>IF(VALUE(TimeRemaining[#Headers])&lt;='Construction Dashboard'!$F39,IFERROR(VLOOKUP(TimeRemaining[[#This Row],[Time]],Upgrades[],MATCH("T"&amp;TimeRemaining[#Headers],Upgrades[#Headers],0),FALSE),0)*MAX(0,SUM('Construction Dashboard'!$G39:I39)),0)</f>
        <v>0</v>
      </c>
      <c r="I82" s="78">
        <f>IF(VALUE(TimeRemaining[#Headers])&lt;='Construction Dashboard'!$F39,IFERROR(VLOOKUP(TimeRemaining[[#This Row],[Time]],Upgrades[],MATCH("T"&amp;TimeRemaining[#Headers],Upgrades[#Headers],0),FALSE),0)*MAX(0,SUM('Construction Dashboard'!$G39:J39)),0)</f>
        <v>0</v>
      </c>
      <c r="J82" s="78">
        <f>IF(VALUE(TimeRemaining[#Headers])&lt;='Construction Dashboard'!$F39,IFERROR(VLOOKUP(TimeRemaining[[#This Row],[Time]],Upgrades[],MATCH("T"&amp;TimeRemaining[#Headers],Upgrades[#Headers],0),FALSE),0)*MAX(0,SUM('Construction Dashboard'!$G39:K39)),0)</f>
        <v>0</v>
      </c>
      <c r="K82" s="78">
        <f>IF(VALUE(TimeRemaining[#Headers])&lt;='Construction Dashboard'!$F39,IFERROR(VLOOKUP(TimeRemaining[[#This Row],[Time]],Upgrades[],MATCH("T"&amp;TimeRemaining[#Headers],Upgrades[#Headers],0),FALSE),0)*MAX(0,SUM('Construction Dashboard'!$G39:L39)),0)</f>
        <v>0</v>
      </c>
      <c r="L82" s="78">
        <f>IF(VALUE(TimeRemaining[#Headers])&lt;='Construction Dashboard'!$F39,IFERROR(VLOOKUP(TimeRemaining[[#This Row],[Time]],Upgrades[],MATCH("T"&amp;TimeRemaining[#Headers],Upgrades[#Headers],0),FALSE),0)*MAX(0,SUM('Construction Dashboard'!$G39:M39)),0)</f>
        <v>0</v>
      </c>
      <c r="M82" s="78">
        <f>IF(VALUE(TimeRemaining[#Headers])&lt;='Construction Dashboard'!$F39,IFERROR(VLOOKUP(TimeRemaining[[#This Row],[Time]],Upgrades[],MATCH("T"&amp;TimeRemaining[#Headers],Upgrades[#Headers],0),FALSE),0)*MAX(0,SUM('Construction Dashboard'!$G39:N39)),0)</f>
        <v>0</v>
      </c>
      <c r="N82" s="78">
        <f>IF(VALUE(TimeRemaining[#Headers])&lt;='Construction Dashboard'!$F39,IFERROR(VLOOKUP(TimeRemaining[[#This Row],[Time]],Upgrades[],MATCH("T"&amp;TimeRemaining[#Headers],Upgrades[#Headers],0),FALSE),0)*MAX(0,SUM('Construction Dashboard'!$G39:O39)),0)</f>
        <v>0</v>
      </c>
      <c r="O82" s="78">
        <f>IF(VALUE(TimeRemaining[#Headers])&lt;='Construction Dashboard'!$F39,IFERROR(VLOOKUP(TimeRemaining[[#This Row],[Time]],Upgrades[],MATCH("T"&amp;TimeRemaining[#Headers],Upgrades[#Headers],0),FALSE),0)*MAX(0,SUM('Construction Dashboard'!$G39:P39)),0)</f>
        <v>0</v>
      </c>
      <c r="P82" s="78">
        <f>IF(VALUE(TimeRemaining[#Headers])&lt;='Construction Dashboard'!$F39,IFERROR(VLOOKUP(TimeRemaining[[#This Row],[Time]],Upgrades[],MATCH("T"&amp;TimeRemaining[#Headers],Upgrades[#Headers],0),FALSE),0)*MAX(0,SUM('Construction Dashboard'!$G39:Q39)),0)</f>
        <v>0</v>
      </c>
      <c r="Q82" s="78">
        <f>IF(VALUE(TimeRemaining[#Headers])&lt;='Construction Dashboard'!$F39,IFERROR(VLOOKUP(TimeRemaining[[#This Row],[Time]],Upgrades[],MATCH("T"&amp;TimeRemaining[#Headers],Upgrades[#Headers],0),FALSE),0)*MAX(0,SUM('Construction Dashboard'!$G39:R39)),0)</f>
        <v>0</v>
      </c>
      <c r="R82" s="78">
        <f>IF(TimeRemaining[[#This Row],[MatchStr]]="IGNORE",0,SUM(TimeRemaining[[#This Row],[1]:[12]]))</f>
        <v>0</v>
      </c>
    </row>
    <row r="83" spans="1:18">
      <c r="A83" s="26" t="s">
        <v>7</v>
      </c>
      <c r="B83" s="26" t="str">
        <f>VLOOKUP(TimeRemaining[[#This Row],[Time]],Upgrades[],2,FALSE)</f>
        <v>Building</v>
      </c>
      <c r="C83" s="26" t="str">
        <f>VLOOKUP(TimeRemaining[[#This Row],[Time]],Upgrades[],3,FALSE)</f>
        <v>Gold</v>
      </c>
      <c r="D83" s="171" t="str">
        <f>IF((IFERROR(MATCH(TimeRemaining[[#This Row],[Time]],'Construction Dashboard'!$P$19:$S$19,0),0)+IFERROR(MATCH(TimeRemaining[[#This Row],[Time]],'Construction Dashboard'!$P$20:$S$20,0),0))&gt;0,"IGNORE",TimeRemaining[Kind]&amp;"-"&amp;TimeRemaining[Resource])</f>
        <v>Building-Gold</v>
      </c>
      <c r="E83" s="71" t="str">
        <f>IFERROR(VLOOKUP(TimeRemaining[[#This Row],[Time]],Upgrades[],MATCH("T"&amp;MATCH(TRUE,INDEX(TimeRemaining[[#This Row],[1]:[12]]&lt;&gt;0,),0),Upgrades[#Headers],0),FALSE),"")</f>
        <v/>
      </c>
      <c r="F83" s="78">
        <f>IF(VALUE(TimeRemaining[#Headers])&lt;='Construction Dashboard'!$F40,IFERROR(VLOOKUP(TimeRemaining[[#This Row],[Time]],Upgrades[],MATCH("T"&amp;TimeRemaining[#Headers],Upgrades[#Headers],0),FALSE),0)*MAX(0,SUM('Construction Dashboard'!$G40:G40)),0)</f>
        <v>0</v>
      </c>
      <c r="G83" s="78">
        <f>IF(VALUE(TimeRemaining[#Headers])&lt;='Construction Dashboard'!$F40,IFERROR(VLOOKUP(TimeRemaining[[#This Row],[Time]],Upgrades[],MATCH("T"&amp;TimeRemaining[#Headers],Upgrades[#Headers],0),FALSE),0)*MAX(0,SUM('Construction Dashboard'!$G40:H40)),0)</f>
        <v>0</v>
      </c>
      <c r="H83" s="78">
        <f>IF(VALUE(TimeRemaining[#Headers])&lt;='Construction Dashboard'!$F40,IFERROR(VLOOKUP(TimeRemaining[[#This Row],[Time]],Upgrades[],MATCH("T"&amp;TimeRemaining[#Headers],Upgrades[#Headers],0),FALSE),0)*MAX(0,SUM('Construction Dashboard'!$G40:I40)),0)</f>
        <v>0</v>
      </c>
      <c r="I83" s="78">
        <f>IF(VALUE(TimeRemaining[#Headers])&lt;='Construction Dashboard'!$F40,IFERROR(VLOOKUP(TimeRemaining[[#This Row],[Time]],Upgrades[],MATCH("T"&amp;TimeRemaining[#Headers],Upgrades[#Headers],0),FALSE),0)*MAX(0,SUM('Construction Dashboard'!$G40:J40)),0)</f>
        <v>0</v>
      </c>
      <c r="J83" s="78">
        <f>IF(VALUE(TimeRemaining[#Headers])&lt;='Construction Dashboard'!$F40,IFERROR(VLOOKUP(TimeRemaining[[#This Row],[Time]],Upgrades[],MATCH("T"&amp;TimeRemaining[#Headers],Upgrades[#Headers],0),FALSE),0)*MAX(0,SUM('Construction Dashboard'!$G40:K40)),0)</f>
        <v>0</v>
      </c>
      <c r="K83" s="78">
        <f>IF(VALUE(TimeRemaining[#Headers])&lt;='Construction Dashboard'!$F40,IFERROR(VLOOKUP(TimeRemaining[[#This Row],[Time]],Upgrades[],MATCH("T"&amp;TimeRemaining[#Headers],Upgrades[#Headers],0),FALSE),0)*MAX(0,SUM('Construction Dashboard'!$G40:L40)),0)</f>
        <v>0</v>
      </c>
      <c r="L83" s="78">
        <f>IF(VALUE(TimeRemaining[#Headers])&lt;='Construction Dashboard'!$F40,IFERROR(VLOOKUP(TimeRemaining[[#This Row],[Time]],Upgrades[],MATCH("T"&amp;TimeRemaining[#Headers],Upgrades[#Headers],0),FALSE),0)*MAX(0,SUM('Construction Dashboard'!$G40:M40)),0)</f>
        <v>0</v>
      </c>
      <c r="M83" s="78">
        <f>IF(VALUE(TimeRemaining[#Headers])&lt;='Construction Dashboard'!$F40,IFERROR(VLOOKUP(TimeRemaining[[#This Row],[Time]],Upgrades[],MATCH("T"&amp;TimeRemaining[#Headers],Upgrades[#Headers],0),FALSE),0)*MAX(0,SUM('Construction Dashboard'!$G40:N40)),0)</f>
        <v>0</v>
      </c>
      <c r="N83" s="78">
        <f>IF(VALUE(TimeRemaining[#Headers])&lt;='Construction Dashboard'!$F40,IFERROR(VLOOKUP(TimeRemaining[[#This Row],[Time]],Upgrades[],MATCH("T"&amp;TimeRemaining[#Headers],Upgrades[#Headers],0),FALSE),0)*MAX(0,SUM('Construction Dashboard'!$G40:O40)),0)</f>
        <v>0</v>
      </c>
      <c r="O83" s="78">
        <f>IF(VALUE(TimeRemaining[#Headers])&lt;='Construction Dashboard'!$F40,IFERROR(VLOOKUP(TimeRemaining[[#This Row],[Time]],Upgrades[],MATCH("T"&amp;TimeRemaining[#Headers],Upgrades[#Headers],0),FALSE),0)*MAX(0,SUM('Construction Dashboard'!$G40:P40)),0)</f>
        <v>0</v>
      </c>
      <c r="P83" s="78">
        <f>IF(VALUE(TimeRemaining[#Headers])&lt;='Construction Dashboard'!$F40,IFERROR(VLOOKUP(TimeRemaining[[#This Row],[Time]],Upgrades[],MATCH("T"&amp;TimeRemaining[#Headers],Upgrades[#Headers],0),FALSE),0)*MAX(0,SUM('Construction Dashboard'!$G40:Q40)),0)</f>
        <v>0</v>
      </c>
      <c r="Q83" s="78">
        <f>IF(VALUE(TimeRemaining[#Headers])&lt;='Construction Dashboard'!$F40,IFERROR(VLOOKUP(TimeRemaining[[#This Row],[Time]],Upgrades[],MATCH("T"&amp;TimeRemaining[#Headers],Upgrades[#Headers],0),FALSE),0)*MAX(0,SUM('Construction Dashboard'!$G40:R40)),0)</f>
        <v>0</v>
      </c>
      <c r="R83" s="78">
        <f>IF(TimeRemaining[[#This Row],[MatchStr]]="IGNORE",0,SUM(TimeRemaining[[#This Row],[1]:[12]]))</f>
        <v>0</v>
      </c>
    </row>
    <row r="84" spans="1:18">
      <c r="A84" s="26" t="s">
        <v>8</v>
      </c>
      <c r="B84" s="26" t="str">
        <f>VLOOKUP(TimeRemaining[[#This Row],[Time]],Upgrades[],2,FALSE)</f>
        <v>Building</v>
      </c>
      <c r="C84" s="26" t="str">
        <f>VLOOKUP(TimeRemaining[[#This Row],[Time]],Upgrades[],3,FALSE)</f>
        <v>Gold</v>
      </c>
      <c r="D84" s="171" t="str">
        <f>IF((IFERROR(MATCH(TimeRemaining[[#This Row],[Time]],'Construction Dashboard'!$P$19:$S$19,0),0)+IFERROR(MATCH(TimeRemaining[[#This Row],[Time]],'Construction Dashboard'!$P$20:$S$20,0),0))&gt;0,"IGNORE",TimeRemaining[Kind]&amp;"-"&amp;TimeRemaining[Resource])</f>
        <v>Building-Gold</v>
      </c>
      <c r="E84" s="71" t="str">
        <f>IFERROR(VLOOKUP(TimeRemaining[[#This Row],[Time]],Upgrades[],MATCH("T"&amp;MATCH(TRUE,INDEX(TimeRemaining[[#This Row],[1]:[12]]&lt;&gt;0,),0),Upgrades[#Headers],0),FALSE),"")</f>
        <v/>
      </c>
      <c r="F84" s="78">
        <f>IF(VALUE(TimeRemaining[#Headers])&lt;='Construction Dashboard'!$F41,IFERROR(VLOOKUP(TimeRemaining[[#This Row],[Time]],Upgrades[],MATCH("T"&amp;TimeRemaining[#Headers],Upgrades[#Headers],0),FALSE),0)*MAX(0,SUM('Construction Dashboard'!$G41:G41)),0)</f>
        <v>0</v>
      </c>
      <c r="G84" s="78">
        <f>IF(VALUE(TimeRemaining[#Headers])&lt;='Construction Dashboard'!$F41,IFERROR(VLOOKUP(TimeRemaining[[#This Row],[Time]],Upgrades[],MATCH("T"&amp;TimeRemaining[#Headers],Upgrades[#Headers],0),FALSE),0)*MAX(0,SUM('Construction Dashboard'!$G41:H41)),0)</f>
        <v>0</v>
      </c>
      <c r="H84" s="78">
        <f>IF(VALUE(TimeRemaining[#Headers])&lt;='Construction Dashboard'!$F41,IFERROR(VLOOKUP(TimeRemaining[[#This Row],[Time]],Upgrades[],MATCH("T"&amp;TimeRemaining[#Headers],Upgrades[#Headers],0),FALSE),0)*MAX(0,SUM('Construction Dashboard'!$G41:I41)),0)</f>
        <v>0</v>
      </c>
      <c r="I84" s="78">
        <f>IF(VALUE(TimeRemaining[#Headers])&lt;='Construction Dashboard'!$F41,IFERROR(VLOOKUP(TimeRemaining[[#This Row],[Time]],Upgrades[],MATCH("T"&amp;TimeRemaining[#Headers],Upgrades[#Headers],0),FALSE),0)*MAX(0,SUM('Construction Dashboard'!$G41:J41)),0)</f>
        <v>0</v>
      </c>
      <c r="J84" s="78">
        <f>IF(VALUE(TimeRemaining[#Headers])&lt;='Construction Dashboard'!$F41,IFERROR(VLOOKUP(TimeRemaining[[#This Row],[Time]],Upgrades[],MATCH("T"&amp;TimeRemaining[#Headers],Upgrades[#Headers],0),FALSE),0)*MAX(0,SUM('Construction Dashboard'!$G41:K41)),0)</f>
        <v>0</v>
      </c>
      <c r="K84" s="78">
        <f>IF(VALUE(TimeRemaining[#Headers])&lt;='Construction Dashboard'!$F41,IFERROR(VLOOKUP(TimeRemaining[[#This Row],[Time]],Upgrades[],MATCH("T"&amp;TimeRemaining[#Headers],Upgrades[#Headers],0),FALSE),0)*MAX(0,SUM('Construction Dashboard'!$G41:L41)),0)</f>
        <v>0</v>
      </c>
      <c r="L84" s="78">
        <f>IF(VALUE(TimeRemaining[#Headers])&lt;='Construction Dashboard'!$F41,IFERROR(VLOOKUP(TimeRemaining[[#This Row],[Time]],Upgrades[],MATCH("T"&amp;TimeRemaining[#Headers],Upgrades[#Headers],0),FALSE),0)*MAX(0,SUM('Construction Dashboard'!$G41:M41)),0)</f>
        <v>0</v>
      </c>
      <c r="M84" s="78">
        <f>IF(VALUE(TimeRemaining[#Headers])&lt;='Construction Dashboard'!$F41,IFERROR(VLOOKUP(TimeRemaining[[#This Row],[Time]],Upgrades[],MATCH("T"&amp;TimeRemaining[#Headers],Upgrades[#Headers],0),FALSE),0)*MAX(0,SUM('Construction Dashboard'!$G41:N41)),0)</f>
        <v>0</v>
      </c>
      <c r="N84" s="78">
        <f>IF(VALUE(TimeRemaining[#Headers])&lt;='Construction Dashboard'!$F41,IFERROR(VLOOKUP(TimeRemaining[[#This Row],[Time]],Upgrades[],MATCH("T"&amp;TimeRemaining[#Headers],Upgrades[#Headers],0),FALSE),0)*MAX(0,SUM('Construction Dashboard'!$G41:O41)),0)</f>
        <v>0</v>
      </c>
      <c r="O84" s="78">
        <f>IF(VALUE(TimeRemaining[#Headers])&lt;='Construction Dashboard'!$F41,IFERROR(VLOOKUP(TimeRemaining[[#This Row],[Time]],Upgrades[],MATCH("T"&amp;TimeRemaining[#Headers],Upgrades[#Headers],0),FALSE),0)*MAX(0,SUM('Construction Dashboard'!$G41:P41)),0)</f>
        <v>0</v>
      </c>
      <c r="P84" s="78">
        <f>IF(VALUE(TimeRemaining[#Headers])&lt;='Construction Dashboard'!$F41,IFERROR(VLOOKUP(TimeRemaining[[#This Row],[Time]],Upgrades[],MATCH("T"&amp;TimeRemaining[#Headers],Upgrades[#Headers],0),FALSE),0)*MAX(0,SUM('Construction Dashboard'!$G41:Q41)),0)</f>
        <v>0</v>
      </c>
      <c r="Q84" s="78">
        <f>IF(VALUE(TimeRemaining[#Headers])&lt;='Construction Dashboard'!$F41,IFERROR(VLOOKUP(TimeRemaining[[#This Row],[Time]],Upgrades[],MATCH("T"&amp;TimeRemaining[#Headers],Upgrades[#Headers],0),FALSE),0)*MAX(0,SUM('Construction Dashboard'!$G41:R41)),0)</f>
        <v>0</v>
      </c>
      <c r="R84" s="78">
        <f>IF(TimeRemaining[[#This Row],[MatchStr]]="IGNORE",0,SUM(TimeRemaining[[#This Row],[1]:[12]]))</f>
        <v>0</v>
      </c>
    </row>
    <row r="85" spans="1:18">
      <c r="A85" s="26" t="s">
        <v>25</v>
      </c>
      <c r="B85" s="26" t="str">
        <f>VLOOKUP(TimeRemaining[[#This Row],[Time]],Upgrades[],2,FALSE)</f>
        <v>Building</v>
      </c>
      <c r="C85" s="26" t="str">
        <f>VLOOKUP(TimeRemaining[[#This Row],[Time]],Upgrades[],3,FALSE)</f>
        <v>Gold</v>
      </c>
      <c r="D85" s="171" t="str">
        <f>IF((IFERROR(MATCH(TimeRemaining[[#This Row],[Time]],'Construction Dashboard'!$P$19:$S$19,0),0)+IFERROR(MATCH(TimeRemaining[[#This Row],[Time]],'Construction Dashboard'!$P$20:$S$20,0),0))&gt;0,"IGNORE",TimeRemaining[Kind]&amp;"-"&amp;TimeRemaining[Resource])</f>
        <v>Building-Gold</v>
      </c>
      <c r="E85" s="71">
        <f>IFERROR(VLOOKUP(TimeRemaining[[#This Row],[Time]],Upgrades[],MATCH("T"&amp;MATCH(TRUE,INDEX(TimeRemaining[[#This Row],[1]:[12]]&lt;&gt;0,),0),Upgrades[#Headers],0),FALSE),"")</f>
        <v>6</v>
      </c>
      <c r="F85" s="78">
        <f>IF(VALUE(TimeRemaining[#Headers])&lt;='Construction Dashboard'!$F42,IFERROR(VLOOKUP(TimeRemaining[[#This Row],[Time]],Upgrades[],MATCH("T"&amp;TimeRemaining[#Headers],Upgrades[#Headers],0),FALSE),0)*MAX(0,SUM('Construction Dashboard'!$G42:G42)),0)</f>
        <v>0</v>
      </c>
      <c r="G85" s="78">
        <f>IF(VALUE(TimeRemaining[#Headers])&lt;='Construction Dashboard'!$F42,IFERROR(VLOOKUP(TimeRemaining[[#This Row],[Time]],Upgrades[],MATCH("T"&amp;TimeRemaining[#Headers],Upgrades[#Headers],0),FALSE),0)*MAX(0,SUM('Construction Dashboard'!$G42:H42)),0)</f>
        <v>0</v>
      </c>
      <c r="H85" s="78">
        <f>IF(VALUE(TimeRemaining[#Headers])&lt;='Construction Dashboard'!$F42,IFERROR(VLOOKUP(TimeRemaining[[#This Row],[Time]],Upgrades[],MATCH("T"&amp;TimeRemaining[#Headers],Upgrades[#Headers],0),FALSE),0)*MAX(0,SUM('Construction Dashboard'!$G42:I42)),0)</f>
        <v>0</v>
      </c>
      <c r="I85" s="78">
        <f>IF(VALUE(TimeRemaining[#Headers])&lt;='Construction Dashboard'!$F42,IFERROR(VLOOKUP(TimeRemaining[[#This Row],[Time]],Upgrades[],MATCH("T"&amp;TimeRemaining[#Headers],Upgrades[#Headers],0),FALSE),0)*MAX(0,SUM('Construction Dashboard'!$G42:J42)),0)</f>
        <v>0</v>
      </c>
      <c r="J85" s="78">
        <f>IF(VALUE(TimeRemaining[#Headers])&lt;='Construction Dashboard'!$F42,IFERROR(VLOOKUP(TimeRemaining[[#This Row],[Time]],Upgrades[],MATCH("T"&amp;TimeRemaining[#Headers],Upgrades[#Headers],0),FALSE),0)*MAX(0,SUM('Construction Dashboard'!$G42:K42)),0)</f>
        <v>6</v>
      </c>
      <c r="K85" s="78">
        <f>IF(VALUE(TimeRemaining[#Headers])&lt;='Construction Dashboard'!$F42,IFERROR(VLOOKUP(TimeRemaining[[#This Row],[Time]],Upgrades[],MATCH("T"&amp;TimeRemaining[#Headers],Upgrades[#Headers],0),FALSE),0)*MAX(0,SUM('Construction Dashboard'!$G42:L42)),0)</f>
        <v>0</v>
      </c>
      <c r="L85" s="78">
        <f>IF(VALUE(TimeRemaining[#Headers])&lt;='Construction Dashboard'!$F42,IFERROR(VLOOKUP(TimeRemaining[[#This Row],[Time]],Upgrades[],MATCH("T"&amp;TimeRemaining[#Headers],Upgrades[#Headers],0),FALSE),0)*MAX(0,SUM('Construction Dashboard'!$G42:M42)),0)</f>
        <v>0</v>
      </c>
      <c r="M85" s="78">
        <f>IF(VALUE(TimeRemaining[#Headers])&lt;='Construction Dashboard'!$F42,IFERROR(VLOOKUP(TimeRemaining[[#This Row],[Time]],Upgrades[],MATCH("T"&amp;TimeRemaining[#Headers],Upgrades[#Headers],0),FALSE),0)*MAX(0,SUM('Construction Dashboard'!$G42:N42)),0)</f>
        <v>0</v>
      </c>
      <c r="N85" s="78">
        <f>IF(VALUE(TimeRemaining[#Headers])&lt;='Construction Dashboard'!$F42,IFERROR(VLOOKUP(TimeRemaining[[#This Row],[Time]],Upgrades[],MATCH("T"&amp;TimeRemaining[#Headers],Upgrades[#Headers],0),FALSE),0)*MAX(0,SUM('Construction Dashboard'!$G42:O42)),0)</f>
        <v>0</v>
      </c>
      <c r="O85" s="78">
        <f>IF(VALUE(TimeRemaining[#Headers])&lt;='Construction Dashboard'!$F42,IFERROR(VLOOKUP(TimeRemaining[[#This Row],[Time]],Upgrades[],MATCH("T"&amp;TimeRemaining[#Headers],Upgrades[#Headers],0),FALSE),0)*MAX(0,SUM('Construction Dashboard'!$G42:P42)),0)</f>
        <v>0</v>
      </c>
      <c r="P85" s="78">
        <f>IF(VALUE(TimeRemaining[#Headers])&lt;='Construction Dashboard'!$F42,IFERROR(VLOOKUP(TimeRemaining[[#This Row],[Time]],Upgrades[],MATCH("T"&amp;TimeRemaining[#Headers],Upgrades[#Headers],0),FALSE),0)*MAX(0,SUM('Construction Dashboard'!$G42:Q42)),0)</f>
        <v>0</v>
      </c>
      <c r="Q85" s="78">
        <f>IF(VALUE(TimeRemaining[#Headers])&lt;='Construction Dashboard'!$F42,IFERROR(VLOOKUP(TimeRemaining[[#This Row],[Time]],Upgrades[],MATCH("T"&amp;TimeRemaining[#Headers],Upgrades[#Headers],0),FALSE),0)*MAX(0,SUM('Construction Dashboard'!$G42:R42)),0)</f>
        <v>0</v>
      </c>
      <c r="R85" s="78">
        <f>IF(TimeRemaining[[#This Row],[MatchStr]]="IGNORE",0,SUM(TimeRemaining[[#This Row],[1]:[12]]))</f>
        <v>6</v>
      </c>
    </row>
    <row r="86" spans="1:18">
      <c r="A86" s="26" t="s">
        <v>26</v>
      </c>
      <c r="B86" s="26" t="str">
        <f>VLOOKUP(TimeRemaining[[#This Row],[Time]],Upgrades[],2,FALSE)</f>
        <v>Building</v>
      </c>
      <c r="C86" s="26" t="str">
        <f>VLOOKUP(TimeRemaining[[#This Row],[Time]],Upgrades[],3,FALSE)</f>
        <v>Gold</v>
      </c>
      <c r="D86" s="171" t="str">
        <f>IF((IFERROR(MATCH(TimeRemaining[[#This Row],[Time]],'Construction Dashboard'!$P$19:$S$19,0),0)+IFERROR(MATCH(TimeRemaining[[#This Row],[Time]],'Construction Dashboard'!$P$20:$S$20,0),0))&gt;0,"IGNORE",TimeRemaining[Kind]&amp;"-"&amp;TimeRemaining[Resource])</f>
        <v>Building-Gold</v>
      </c>
      <c r="E86" s="71" t="str">
        <f>IFERROR(VLOOKUP(TimeRemaining[[#This Row],[Time]],Upgrades[],MATCH("T"&amp;MATCH(TRUE,INDEX(TimeRemaining[[#This Row],[1]:[12]]&lt;&gt;0,),0),Upgrades[#Headers],0),FALSE),"")</f>
        <v/>
      </c>
      <c r="F86" s="78">
        <f>IF(VALUE(TimeRemaining[#Headers])&lt;='Construction Dashboard'!$F43,IFERROR(VLOOKUP(TimeRemaining[[#This Row],[Time]],Upgrades[],MATCH("T"&amp;TimeRemaining[#Headers],Upgrades[#Headers],0),FALSE),0)*MAX(0,SUM('Construction Dashboard'!$G43:G43)),0)</f>
        <v>0</v>
      </c>
      <c r="G86" s="78">
        <f>IF(VALUE(TimeRemaining[#Headers])&lt;='Construction Dashboard'!$F43,IFERROR(VLOOKUP(TimeRemaining[[#This Row],[Time]],Upgrades[],MATCH("T"&amp;TimeRemaining[#Headers],Upgrades[#Headers],0),FALSE),0)*MAX(0,SUM('Construction Dashboard'!$G43:H43)),0)</f>
        <v>0</v>
      </c>
      <c r="H86" s="78">
        <f>IF(VALUE(TimeRemaining[#Headers])&lt;='Construction Dashboard'!$F43,IFERROR(VLOOKUP(TimeRemaining[[#This Row],[Time]],Upgrades[],MATCH("T"&amp;TimeRemaining[#Headers],Upgrades[#Headers],0),FALSE),0)*MAX(0,SUM('Construction Dashboard'!$G43:I43)),0)</f>
        <v>0</v>
      </c>
      <c r="I86" s="78">
        <f>IF(VALUE(TimeRemaining[#Headers])&lt;='Construction Dashboard'!$F43,IFERROR(VLOOKUP(TimeRemaining[[#This Row],[Time]],Upgrades[],MATCH("T"&amp;TimeRemaining[#Headers],Upgrades[#Headers],0),FALSE),0)*MAX(0,SUM('Construction Dashboard'!$G43:J43)),0)</f>
        <v>0</v>
      </c>
      <c r="J86" s="78">
        <f>IF(VALUE(TimeRemaining[#Headers])&lt;='Construction Dashboard'!$F43,IFERROR(VLOOKUP(TimeRemaining[[#This Row],[Time]],Upgrades[],MATCH("T"&amp;TimeRemaining[#Headers],Upgrades[#Headers],0),FALSE),0)*MAX(0,SUM('Construction Dashboard'!$G43:K43)),0)</f>
        <v>0</v>
      </c>
      <c r="K86" s="78">
        <f>IF(VALUE(TimeRemaining[#Headers])&lt;='Construction Dashboard'!$F43,IFERROR(VLOOKUP(TimeRemaining[[#This Row],[Time]],Upgrades[],MATCH("T"&amp;TimeRemaining[#Headers],Upgrades[#Headers],0),FALSE),0)*MAX(0,SUM('Construction Dashboard'!$G43:L43)),0)</f>
        <v>0</v>
      </c>
      <c r="L86" s="78">
        <f>IF(VALUE(TimeRemaining[#Headers])&lt;='Construction Dashboard'!$F43,IFERROR(VLOOKUP(TimeRemaining[[#This Row],[Time]],Upgrades[],MATCH("T"&amp;TimeRemaining[#Headers],Upgrades[#Headers],0),FALSE),0)*MAX(0,SUM('Construction Dashboard'!$G43:M43)),0)</f>
        <v>0</v>
      </c>
      <c r="M86" s="78">
        <f>IF(VALUE(TimeRemaining[#Headers])&lt;='Construction Dashboard'!$F43,IFERROR(VLOOKUP(TimeRemaining[[#This Row],[Time]],Upgrades[],MATCH("T"&amp;TimeRemaining[#Headers],Upgrades[#Headers],0),FALSE),0)*MAX(0,SUM('Construction Dashboard'!$G43:N43)),0)</f>
        <v>0</v>
      </c>
      <c r="N86" s="78">
        <f>IF(VALUE(TimeRemaining[#Headers])&lt;='Construction Dashboard'!$F43,IFERROR(VLOOKUP(TimeRemaining[[#This Row],[Time]],Upgrades[],MATCH("T"&amp;TimeRemaining[#Headers],Upgrades[#Headers],0),FALSE),0)*MAX(0,SUM('Construction Dashboard'!$G43:O43)),0)</f>
        <v>0</v>
      </c>
      <c r="O86" s="78">
        <f>IF(VALUE(TimeRemaining[#Headers])&lt;='Construction Dashboard'!$F43,IFERROR(VLOOKUP(TimeRemaining[[#This Row],[Time]],Upgrades[],MATCH("T"&amp;TimeRemaining[#Headers],Upgrades[#Headers],0),FALSE),0)*MAX(0,SUM('Construction Dashboard'!$G43:P43)),0)</f>
        <v>0</v>
      </c>
      <c r="P86" s="78">
        <f>IF(VALUE(TimeRemaining[#Headers])&lt;='Construction Dashboard'!$F43,IFERROR(VLOOKUP(TimeRemaining[[#This Row],[Time]],Upgrades[],MATCH("T"&amp;TimeRemaining[#Headers],Upgrades[#Headers],0),FALSE),0)*MAX(0,SUM('Construction Dashboard'!$G43:Q43)),0)</f>
        <v>0</v>
      </c>
      <c r="Q86" s="78">
        <f>IF(VALUE(TimeRemaining[#Headers])&lt;='Construction Dashboard'!$F43,IFERROR(VLOOKUP(TimeRemaining[[#This Row],[Time]],Upgrades[],MATCH("T"&amp;TimeRemaining[#Headers],Upgrades[#Headers],0),FALSE),0)*MAX(0,SUM('Construction Dashboard'!$G43:R43)),0)</f>
        <v>0</v>
      </c>
      <c r="R86" s="78">
        <f>IF(TimeRemaining[[#This Row],[MatchStr]]="IGNORE",0,SUM(TimeRemaining[[#This Row],[1]:[12]]))</f>
        <v>0</v>
      </c>
    </row>
    <row r="87" spans="1:18">
      <c r="A87" s="26" t="s">
        <v>27</v>
      </c>
      <c r="B87" s="26" t="str">
        <f>VLOOKUP(TimeRemaining[[#This Row],[Time]],Upgrades[],2,FALSE)</f>
        <v>Building</v>
      </c>
      <c r="C87" s="26" t="str">
        <f>VLOOKUP(TimeRemaining[[#This Row],[Time]],Upgrades[],3,FALSE)</f>
        <v>Gold</v>
      </c>
      <c r="D87" s="171" t="str">
        <f>IF((IFERROR(MATCH(TimeRemaining[[#This Row],[Time]],'Construction Dashboard'!$P$19:$S$19,0),0)+IFERROR(MATCH(TimeRemaining[[#This Row],[Time]],'Construction Dashboard'!$P$20:$S$20,0),0))&gt;0,"IGNORE",TimeRemaining[Kind]&amp;"-"&amp;TimeRemaining[Resource])</f>
        <v>Building-Gold</v>
      </c>
      <c r="E87" s="71" t="str">
        <f>IFERROR(VLOOKUP(TimeRemaining[[#This Row],[Time]],Upgrades[],MATCH("T"&amp;MATCH(TRUE,INDEX(TimeRemaining[[#This Row],[1]:[12]]&lt;&gt;0,),0),Upgrades[#Headers],0),FALSE),"")</f>
        <v/>
      </c>
      <c r="F87" s="78">
        <f>IF(VALUE(TimeRemaining[#Headers])&lt;='Construction Dashboard'!$F44,IFERROR(VLOOKUP(TimeRemaining[[#This Row],[Time]],Upgrades[],MATCH("T"&amp;TimeRemaining[#Headers],Upgrades[#Headers],0),FALSE),0)*MAX(0,SUM('Construction Dashboard'!$G44:G44)),0)</f>
        <v>0</v>
      </c>
      <c r="G87" s="78">
        <f>IF(VALUE(TimeRemaining[#Headers])&lt;='Construction Dashboard'!$F44,IFERROR(VLOOKUP(TimeRemaining[[#This Row],[Time]],Upgrades[],MATCH("T"&amp;TimeRemaining[#Headers],Upgrades[#Headers],0),FALSE),0)*MAX(0,SUM('Construction Dashboard'!$G44:H44)),0)</f>
        <v>0</v>
      </c>
      <c r="H87" s="78">
        <f>IF(VALUE(TimeRemaining[#Headers])&lt;='Construction Dashboard'!$F44,IFERROR(VLOOKUP(TimeRemaining[[#This Row],[Time]],Upgrades[],MATCH("T"&amp;TimeRemaining[#Headers],Upgrades[#Headers],0),FALSE),0)*MAX(0,SUM('Construction Dashboard'!$G44:I44)),0)</f>
        <v>0</v>
      </c>
      <c r="I87" s="78">
        <f>IF(VALUE(TimeRemaining[#Headers])&lt;='Construction Dashboard'!$F44,IFERROR(VLOOKUP(TimeRemaining[[#This Row],[Time]],Upgrades[],MATCH("T"&amp;TimeRemaining[#Headers],Upgrades[#Headers],0),FALSE),0)*MAX(0,SUM('Construction Dashboard'!$G44:J44)),0)</f>
        <v>0</v>
      </c>
      <c r="J87" s="78">
        <f>IF(VALUE(TimeRemaining[#Headers])&lt;='Construction Dashboard'!$F44,IFERROR(VLOOKUP(TimeRemaining[[#This Row],[Time]],Upgrades[],MATCH("T"&amp;TimeRemaining[#Headers],Upgrades[#Headers],0),FALSE),0)*MAX(0,SUM('Construction Dashboard'!$G44:K44)),0)</f>
        <v>0</v>
      </c>
      <c r="K87" s="78">
        <f>IF(VALUE(TimeRemaining[#Headers])&lt;='Construction Dashboard'!$F44,IFERROR(VLOOKUP(TimeRemaining[[#This Row],[Time]],Upgrades[],MATCH("T"&amp;TimeRemaining[#Headers],Upgrades[#Headers],0),FALSE),0)*MAX(0,SUM('Construction Dashboard'!$G44:L44)),0)</f>
        <v>0</v>
      </c>
      <c r="L87" s="78">
        <f>IF(VALUE(TimeRemaining[#Headers])&lt;='Construction Dashboard'!$F44,IFERROR(VLOOKUP(TimeRemaining[[#This Row],[Time]],Upgrades[],MATCH("T"&amp;TimeRemaining[#Headers],Upgrades[#Headers],0),FALSE),0)*MAX(0,SUM('Construction Dashboard'!$G44:M44)),0)</f>
        <v>0</v>
      </c>
      <c r="M87" s="78">
        <f>IF(VALUE(TimeRemaining[#Headers])&lt;='Construction Dashboard'!$F44,IFERROR(VLOOKUP(TimeRemaining[[#This Row],[Time]],Upgrades[],MATCH("T"&amp;TimeRemaining[#Headers],Upgrades[#Headers],0),FALSE),0)*MAX(0,SUM('Construction Dashboard'!$G44:N44)),0)</f>
        <v>0</v>
      </c>
      <c r="N87" s="78">
        <f>IF(VALUE(TimeRemaining[#Headers])&lt;='Construction Dashboard'!$F44,IFERROR(VLOOKUP(TimeRemaining[[#This Row],[Time]],Upgrades[],MATCH("T"&amp;TimeRemaining[#Headers],Upgrades[#Headers],0),FALSE),0)*MAX(0,SUM('Construction Dashboard'!$G44:O44)),0)</f>
        <v>0</v>
      </c>
      <c r="O87" s="78">
        <f>IF(VALUE(TimeRemaining[#Headers])&lt;='Construction Dashboard'!$F44,IFERROR(VLOOKUP(TimeRemaining[[#This Row],[Time]],Upgrades[],MATCH("T"&amp;TimeRemaining[#Headers],Upgrades[#Headers],0),FALSE),0)*MAX(0,SUM('Construction Dashboard'!$G44:P44)),0)</f>
        <v>0</v>
      </c>
      <c r="P87" s="78">
        <f>IF(VALUE(TimeRemaining[#Headers])&lt;='Construction Dashboard'!$F44,IFERROR(VLOOKUP(TimeRemaining[[#This Row],[Time]],Upgrades[],MATCH("T"&amp;TimeRemaining[#Headers],Upgrades[#Headers],0),FALSE),0)*MAX(0,SUM('Construction Dashboard'!$G44:Q44)),0)</f>
        <v>0</v>
      </c>
      <c r="Q87" s="78">
        <f>IF(VALUE(TimeRemaining[#Headers])&lt;='Construction Dashboard'!$F44,IFERROR(VLOOKUP(TimeRemaining[[#This Row],[Time]],Upgrades[],MATCH("T"&amp;TimeRemaining[#Headers],Upgrades[#Headers],0),FALSE),0)*MAX(0,SUM('Construction Dashboard'!$G44:R44)),0)</f>
        <v>0</v>
      </c>
      <c r="R87" s="78">
        <f>IF(TimeRemaining[[#This Row],[MatchStr]]="IGNORE",0,SUM(TimeRemaining[[#This Row],[1]:[12]]))</f>
        <v>0</v>
      </c>
    </row>
    <row r="88" spans="1:18">
      <c r="A88" s="26" t="s">
        <v>9</v>
      </c>
      <c r="B88" s="26" t="str">
        <f>VLOOKUP(TimeRemaining[[#This Row],[Time]],Upgrades[],2,FALSE)</f>
        <v>Building</v>
      </c>
      <c r="C88" s="26" t="str">
        <f>VLOOKUP(TimeRemaining[[#This Row],[Time]],Upgrades[],3,FALSE)</f>
        <v>Gold</v>
      </c>
      <c r="D88" s="171" t="str">
        <f>IF((IFERROR(MATCH(TimeRemaining[[#This Row],[Time]],'Construction Dashboard'!$P$19:$S$19,0),0)+IFERROR(MATCH(TimeRemaining[[#This Row],[Time]],'Construction Dashboard'!$P$20:$S$20,0),0))&gt;0,"IGNORE",TimeRemaining[Kind]&amp;"-"&amp;TimeRemaining[Resource])</f>
        <v>Building-Gold</v>
      </c>
      <c r="E88" s="71" t="str">
        <f>IFERROR(VLOOKUP(TimeRemaining[[#This Row],[Time]],Upgrades[],MATCH("T"&amp;MATCH(TRUE,INDEX(TimeRemaining[[#This Row],[1]:[12]]&lt;&gt;0,),0),Upgrades[#Headers],0),FALSE),"")</f>
        <v/>
      </c>
      <c r="F88" s="78">
        <f>IF(VALUE(TimeRemaining[#Headers])&lt;='Construction Dashboard'!$F45,IFERROR(VLOOKUP(TimeRemaining[[#This Row],[Time]],Upgrades[],MATCH("T"&amp;TimeRemaining[#Headers],Upgrades[#Headers],0),FALSE),0)*MAX(0,SUM('Construction Dashboard'!$G45:G45)),0)</f>
        <v>0</v>
      </c>
      <c r="G88" s="78">
        <f>IF(VALUE(TimeRemaining[#Headers])&lt;='Construction Dashboard'!$F45,IFERROR(VLOOKUP(TimeRemaining[[#This Row],[Time]],Upgrades[],MATCH("T"&amp;TimeRemaining[#Headers],Upgrades[#Headers],0),FALSE),0)*MAX(0,SUM('Construction Dashboard'!$G45:H45)),0)</f>
        <v>0</v>
      </c>
      <c r="H88" s="78">
        <f>IF(VALUE(TimeRemaining[#Headers])&lt;='Construction Dashboard'!$F45,IFERROR(VLOOKUP(TimeRemaining[[#This Row],[Time]],Upgrades[],MATCH("T"&amp;TimeRemaining[#Headers],Upgrades[#Headers],0),FALSE),0)*MAX(0,SUM('Construction Dashboard'!$G45:I45)),0)</f>
        <v>0</v>
      </c>
      <c r="I88" s="78">
        <f>IF(VALUE(TimeRemaining[#Headers])&lt;='Construction Dashboard'!$F45,IFERROR(VLOOKUP(TimeRemaining[[#This Row],[Time]],Upgrades[],MATCH("T"&amp;TimeRemaining[#Headers],Upgrades[#Headers],0),FALSE),0)*MAX(0,SUM('Construction Dashboard'!$G45:J45)),0)</f>
        <v>0</v>
      </c>
      <c r="J88" s="78">
        <f>IF(VALUE(TimeRemaining[#Headers])&lt;='Construction Dashboard'!$F45,IFERROR(VLOOKUP(TimeRemaining[[#This Row],[Time]],Upgrades[],MATCH("T"&amp;TimeRemaining[#Headers],Upgrades[#Headers],0),FALSE),0)*MAX(0,SUM('Construction Dashboard'!$G45:K45)),0)</f>
        <v>0</v>
      </c>
      <c r="K88" s="78">
        <f>IF(VALUE(TimeRemaining[#Headers])&lt;='Construction Dashboard'!$F45,IFERROR(VLOOKUP(TimeRemaining[[#This Row],[Time]],Upgrades[],MATCH("T"&amp;TimeRemaining[#Headers],Upgrades[#Headers],0),FALSE),0)*MAX(0,SUM('Construction Dashboard'!$G45:L45)),0)</f>
        <v>0</v>
      </c>
      <c r="L88" s="78">
        <f>IF(VALUE(TimeRemaining[#Headers])&lt;='Construction Dashboard'!$F45,IFERROR(VLOOKUP(TimeRemaining[[#This Row],[Time]],Upgrades[],MATCH("T"&amp;TimeRemaining[#Headers],Upgrades[#Headers],0),FALSE),0)*MAX(0,SUM('Construction Dashboard'!$G45:M45)),0)</f>
        <v>0</v>
      </c>
      <c r="M88" s="78">
        <f>IF(VALUE(TimeRemaining[#Headers])&lt;='Construction Dashboard'!$F45,IFERROR(VLOOKUP(TimeRemaining[[#This Row],[Time]],Upgrades[],MATCH("T"&amp;TimeRemaining[#Headers],Upgrades[#Headers],0),FALSE),0)*MAX(0,SUM('Construction Dashboard'!$G45:N45)),0)</f>
        <v>0</v>
      </c>
      <c r="N88" s="78">
        <f>IF(VALUE(TimeRemaining[#Headers])&lt;='Construction Dashboard'!$F45,IFERROR(VLOOKUP(TimeRemaining[[#This Row],[Time]],Upgrades[],MATCH("T"&amp;TimeRemaining[#Headers],Upgrades[#Headers],0),FALSE),0)*MAX(0,SUM('Construction Dashboard'!$G45:O45)),0)</f>
        <v>0</v>
      </c>
      <c r="O88" s="78">
        <f>IF(VALUE(TimeRemaining[#Headers])&lt;='Construction Dashboard'!$F45,IFERROR(VLOOKUP(TimeRemaining[[#This Row],[Time]],Upgrades[],MATCH("T"&amp;TimeRemaining[#Headers],Upgrades[#Headers],0),FALSE),0)*MAX(0,SUM('Construction Dashboard'!$G45:P45)),0)</f>
        <v>0</v>
      </c>
      <c r="P88" s="78">
        <f>IF(VALUE(TimeRemaining[#Headers])&lt;='Construction Dashboard'!$F45,IFERROR(VLOOKUP(TimeRemaining[[#This Row],[Time]],Upgrades[],MATCH("T"&amp;TimeRemaining[#Headers],Upgrades[#Headers],0),FALSE),0)*MAX(0,SUM('Construction Dashboard'!$G45:Q45)),0)</f>
        <v>0</v>
      </c>
      <c r="Q88" s="78">
        <f>IF(VALUE(TimeRemaining[#Headers])&lt;='Construction Dashboard'!$F45,IFERROR(VLOOKUP(TimeRemaining[[#This Row],[Time]],Upgrades[],MATCH("T"&amp;TimeRemaining[#Headers],Upgrades[#Headers],0),FALSE),0)*MAX(0,SUM('Construction Dashboard'!$G45:R45)),0)</f>
        <v>0</v>
      </c>
      <c r="R88" s="78">
        <f>IF(TimeRemaining[[#This Row],[MatchStr]]="IGNORE",0,SUM(TimeRemaining[[#This Row],[1]:[12]]))</f>
        <v>0</v>
      </c>
    </row>
    <row r="89" spans="1:18">
      <c r="A89" s="26" t="s">
        <v>10</v>
      </c>
      <c r="B89" s="26" t="str">
        <f>VLOOKUP(TimeRemaining[[#This Row],[Time]],Upgrades[],2,FALSE)</f>
        <v>Building</v>
      </c>
      <c r="C89" s="26" t="str">
        <f>VLOOKUP(TimeRemaining[[#This Row],[Time]],Upgrades[],3,FALSE)</f>
        <v>Gold</v>
      </c>
      <c r="D89" s="171" t="str">
        <f>IF((IFERROR(MATCH(TimeRemaining[[#This Row],[Time]],'Construction Dashboard'!$P$19:$S$19,0),0)+IFERROR(MATCH(TimeRemaining[[#This Row],[Time]],'Construction Dashboard'!$P$20:$S$20,0),0))&gt;0,"IGNORE",TimeRemaining[Kind]&amp;"-"&amp;TimeRemaining[Resource])</f>
        <v>Building-Gold</v>
      </c>
      <c r="E89" s="71" t="str">
        <f>IFERROR(VLOOKUP(TimeRemaining[[#This Row],[Time]],Upgrades[],MATCH("T"&amp;MATCH(TRUE,INDEX(TimeRemaining[[#This Row],[1]:[12]]&lt;&gt;0,),0),Upgrades[#Headers],0),FALSE),"")</f>
        <v/>
      </c>
      <c r="F89" s="78">
        <f>IF(VALUE(TimeRemaining[#Headers])&lt;='Construction Dashboard'!$F46,IFERROR(VLOOKUP(TimeRemaining[[#This Row],[Time]],Upgrades[],MATCH("T"&amp;TimeRemaining[#Headers],Upgrades[#Headers],0),FALSE),0)*MAX(0,SUM('Construction Dashboard'!$G46:G46)),0)</f>
        <v>0</v>
      </c>
      <c r="G89" s="78">
        <f>IF(VALUE(TimeRemaining[#Headers])&lt;='Construction Dashboard'!$F46,IFERROR(VLOOKUP(TimeRemaining[[#This Row],[Time]],Upgrades[],MATCH("T"&amp;TimeRemaining[#Headers],Upgrades[#Headers],0),FALSE),0)*MAX(0,SUM('Construction Dashboard'!$G46:H46)),0)</f>
        <v>0</v>
      </c>
      <c r="H89" s="78">
        <f>IF(VALUE(TimeRemaining[#Headers])&lt;='Construction Dashboard'!$F46,IFERROR(VLOOKUP(TimeRemaining[[#This Row],[Time]],Upgrades[],MATCH("T"&amp;TimeRemaining[#Headers],Upgrades[#Headers],0),FALSE),0)*MAX(0,SUM('Construction Dashboard'!$G46:I46)),0)</f>
        <v>0</v>
      </c>
      <c r="I89" s="78">
        <f>IF(VALUE(TimeRemaining[#Headers])&lt;='Construction Dashboard'!$F46,IFERROR(VLOOKUP(TimeRemaining[[#This Row],[Time]],Upgrades[],MATCH("T"&amp;TimeRemaining[#Headers],Upgrades[#Headers],0),FALSE),0)*MAX(0,SUM('Construction Dashboard'!$G46:J46)),0)</f>
        <v>0</v>
      </c>
      <c r="J89" s="78">
        <f>IF(VALUE(TimeRemaining[#Headers])&lt;='Construction Dashboard'!$F46,IFERROR(VLOOKUP(TimeRemaining[[#This Row],[Time]],Upgrades[],MATCH("T"&amp;TimeRemaining[#Headers],Upgrades[#Headers],0),FALSE),0)*MAX(0,SUM('Construction Dashboard'!$G46:K46)),0)</f>
        <v>0</v>
      </c>
      <c r="K89" s="78">
        <f>IF(VALUE(TimeRemaining[#Headers])&lt;='Construction Dashboard'!$F46,IFERROR(VLOOKUP(TimeRemaining[[#This Row],[Time]],Upgrades[],MATCH("T"&amp;TimeRemaining[#Headers],Upgrades[#Headers],0),FALSE),0)*MAX(0,SUM('Construction Dashboard'!$G46:L46)),0)</f>
        <v>0</v>
      </c>
      <c r="L89" s="78">
        <f>IF(VALUE(TimeRemaining[#Headers])&lt;='Construction Dashboard'!$F46,IFERROR(VLOOKUP(TimeRemaining[[#This Row],[Time]],Upgrades[],MATCH("T"&amp;TimeRemaining[#Headers],Upgrades[#Headers],0),FALSE),0)*MAX(0,SUM('Construction Dashboard'!$G46:M46)),0)</f>
        <v>0</v>
      </c>
      <c r="M89" s="78">
        <f>IF(VALUE(TimeRemaining[#Headers])&lt;='Construction Dashboard'!$F46,IFERROR(VLOOKUP(TimeRemaining[[#This Row],[Time]],Upgrades[],MATCH("T"&amp;TimeRemaining[#Headers],Upgrades[#Headers],0),FALSE),0)*MAX(0,SUM('Construction Dashboard'!$G46:N46)),0)</f>
        <v>0</v>
      </c>
      <c r="N89" s="78">
        <f>IF(VALUE(TimeRemaining[#Headers])&lt;='Construction Dashboard'!$F46,IFERROR(VLOOKUP(TimeRemaining[[#This Row],[Time]],Upgrades[],MATCH("T"&amp;TimeRemaining[#Headers],Upgrades[#Headers],0),FALSE),0)*MAX(0,SUM('Construction Dashboard'!$G46:O46)),0)</f>
        <v>0</v>
      </c>
      <c r="O89" s="78">
        <f>IF(VALUE(TimeRemaining[#Headers])&lt;='Construction Dashboard'!$F46,IFERROR(VLOOKUP(TimeRemaining[[#This Row],[Time]],Upgrades[],MATCH("T"&amp;TimeRemaining[#Headers],Upgrades[#Headers],0),FALSE),0)*MAX(0,SUM('Construction Dashboard'!$G46:P46)),0)</f>
        <v>0</v>
      </c>
      <c r="P89" s="78">
        <f>IF(VALUE(TimeRemaining[#Headers])&lt;='Construction Dashboard'!$F46,IFERROR(VLOOKUP(TimeRemaining[[#This Row],[Time]],Upgrades[],MATCH("T"&amp;TimeRemaining[#Headers],Upgrades[#Headers],0),FALSE),0)*MAX(0,SUM('Construction Dashboard'!$G46:Q46)),0)</f>
        <v>0</v>
      </c>
      <c r="Q89" s="78">
        <f>IF(VALUE(TimeRemaining[#Headers])&lt;='Construction Dashboard'!$F46,IFERROR(VLOOKUP(TimeRemaining[[#This Row],[Time]],Upgrades[],MATCH("T"&amp;TimeRemaining[#Headers],Upgrades[#Headers],0),FALSE),0)*MAX(0,SUM('Construction Dashboard'!$G46:R46)),0)</f>
        <v>0</v>
      </c>
      <c r="R89" s="78">
        <f>IF(TimeRemaining[[#This Row],[MatchStr]]="IGNORE",0,SUM(TimeRemaining[[#This Row],[1]:[12]]))</f>
        <v>0</v>
      </c>
    </row>
    <row r="90" spans="1:18">
      <c r="A90" s="26" t="s">
        <v>28</v>
      </c>
      <c r="B90" s="26" t="str">
        <f>VLOOKUP(TimeRemaining[[#This Row],[Time]],Upgrades[],2,FALSE)</f>
        <v>Building</v>
      </c>
      <c r="C90" s="26" t="str">
        <f>VLOOKUP(TimeRemaining[[#This Row],[Time]],Upgrades[],3,FALSE)</f>
        <v>Gold</v>
      </c>
      <c r="D90" s="171" t="str">
        <f>IF((IFERROR(MATCH(TimeRemaining[[#This Row],[Time]],'Construction Dashboard'!$P$19:$S$19,0),0)+IFERROR(MATCH(TimeRemaining[[#This Row],[Time]],'Construction Dashboard'!$P$20:$S$20,0),0))&gt;0,"IGNORE",TimeRemaining[Kind]&amp;"-"&amp;TimeRemaining[Resource])</f>
        <v>Building-Gold</v>
      </c>
      <c r="E90" s="71" t="str">
        <f>IFERROR(VLOOKUP(TimeRemaining[[#This Row],[Time]],Upgrades[],MATCH("T"&amp;MATCH(TRUE,INDEX(TimeRemaining[[#This Row],[1]:[12]]&lt;&gt;0,),0),Upgrades[#Headers],0),FALSE),"")</f>
        <v/>
      </c>
      <c r="F90" s="78">
        <f>IF(VALUE(TimeRemaining[#Headers])&lt;='Construction Dashboard'!$F47,IFERROR(VLOOKUP(TimeRemaining[[#This Row],[Time]],Upgrades[],MATCH("T"&amp;TimeRemaining[#Headers],Upgrades[#Headers],0),FALSE),0)*MAX(0,SUM('Construction Dashboard'!$G47:G47)),0)</f>
        <v>0</v>
      </c>
      <c r="G90" s="78">
        <f>IF(VALUE(TimeRemaining[#Headers])&lt;='Construction Dashboard'!$F47,IFERROR(VLOOKUP(TimeRemaining[[#This Row],[Time]],Upgrades[],MATCH("T"&amp;TimeRemaining[#Headers],Upgrades[#Headers],0),FALSE),0)*MAX(0,SUM('Construction Dashboard'!$G47:H47)),0)</f>
        <v>0</v>
      </c>
      <c r="H90" s="78">
        <f>IF(VALUE(TimeRemaining[#Headers])&lt;='Construction Dashboard'!$F47,IFERROR(VLOOKUP(TimeRemaining[[#This Row],[Time]],Upgrades[],MATCH("T"&amp;TimeRemaining[#Headers],Upgrades[#Headers],0),FALSE),0)*MAX(0,SUM('Construction Dashboard'!$G47:I47)),0)</f>
        <v>0</v>
      </c>
      <c r="I90" s="78">
        <f>IF(VALUE(TimeRemaining[#Headers])&lt;='Construction Dashboard'!$F47,IFERROR(VLOOKUP(TimeRemaining[[#This Row],[Time]],Upgrades[],MATCH("T"&amp;TimeRemaining[#Headers],Upgrades[#Headers],0),FALSE),0)*MAX(0,SUM('Construction Dashboard'!$G47:J47)),0)</f>
        <v>0</v>
      </c>
      <c r="J90" s="78">
        <f>IF(VALUE(TimeRemaining[#Headers])&lt;='Construction Dashboard'!$F47,IFERROR(VLOOKUP(TimeRemaining[[#This Row],[Time]],Upgrades[],MATCH("T"&amp;TimeRemaining[#Headers],Upgrades[#Headers],0),FALSE),0)*MAX(0,SUM('Construction Dashboard'!$G47:K47)),0)</f>
        <v>0</v>
      </c>
      <c r="K90" s="78">
        <f>IF(VALUE(TimeRemaining[#Headers])&lt;='Construction Dashboard'!$F47,IFERROR(VLOOKUP(TimeRemaining[[#This Row],[Time]],Upgrades[],MATCH("T"&amp;TimeRemaining[#Headers],Upgrades[#Headers],0),FALSE),0)*MAX(0,SUM('Construction Dashboard'!$G47:L47)),0)</f>
        <v>0</v>
      </c>
      <c r="L90" s="78">
        <f>IF(VALUE(TimeRemaining[#Headers])&lt;='Construction Dashboard'!$F47,IFERROR(VLOOKUP(TimeRemaining[[#This Row],[Time]],Upgrades[],MATCH("T"&amp;TimeRemaining[#Headers],Upgrades[#Headers],0),FALSE),0)*MAX(0,SUM('Construction Dashboard'!$G47:M47)),0)</f>
        <v>0</v>
      </c>
      <c r="M90" s="78">
        <f>IF(VALUE(TimeRemaining[#Headers])&lt;='Construction Dashboard'!$F47,IFERROR(VLOOKUP(TimeRemaining[[#This Row],[Time]],Upgrades[],MATCH("T"&amp;TimeRemaining[#Headers],Upgrades[#Headers],0),FALSE),0)*MAX(0,SUM('Construction Dashboard'!$G47:N47)),0)</f>
        <v>0</v>
      </c>
      <c r="N90" s="78">
        <f>IF(VALUE(TimeRemaining[#Headers])&lt;='Construction Dashboard'!$F47,IFERROR(VLOOKUP(TimeRemaining[[#This Row],[Time]],Upgrades[],MATCH("T"&amp;TimeRemaining[#Headers],Upgrades[#Headers],0),FALSE),0)*MAX(0,SUM('Construction Dashboard'!$G47:O47)),0)</f>
        <v>0</v>
      </c>
      <c r="O90" s="78">
        <f>IF(VALUE(TimeRemaining[#Headers])&lt;='Construction Dashboard'!$F47,IFERROR(VLOOKUP(TimeRemaining[[#This Row],[Time]],Upgrades[],MATCH("T"&amp;TimeRemaining[#Headers],Upgrades[#Headers],0),FALSE),0)*MAX(0,SUM('Construction Dashboard'!$G47:P47)),0)</f>
        <v>0</v>
      </c>
      <c r="P90" s="78">
        <f>IF(VALUE(TimeRemaining[#Headers])&lt;='Construction Dashboard'!$F47,IFERROR(VLOOKUP(TimeRemaining[[#This Row],[Time]],Upgrades[],MATCH("T"&amp;TimeRemaining[#Headers],Upgrades[#Headers],0),FALSE),0)*MAX(0,SUM('Construction Dashboard'!$G47:Q47)),0)</f>
        <v>0</v>
      </c>
      <c r="Q90" s="78">
        <f>IF(VALUE(TimeRemaining[#Headers])&lt;='Construction Dashboard'!$F47,IFERROR(VLOOKUP(TimeRemaining[[#This Row],[Time]],Upgrades[],MATCH("T"&amp;TimeRemaining[#Headers],Upgrades[#Headers],0),FALSE),0)*MAX(0,SUM('Construction Dashboard'!$G47:R47)),0)</f>
        <v>0</v>
      </c>
      <c r="R90" s="78">
        <f>IF(TimeRemaining[[#This Row],[MatchStr]]="IGNORE",0,SUM(TimeRemaining[[#This Row],[1]:[12]]))</f>
        <v>0</v>
      </c>
    </row>
    <row r="91" spans="1:18">
      <c r="A91" s="26" t="s">
        <v>11</v>
      </c>
      <c r="B91" s="26" t="str">
        <f>VLOOKUP(TimeRemaining[[#This Row],[Time]],Upgrades[],2,FALSE)</f>
        <v>Building</v>
      </c>
      <c r="C91" s="26" t="str">
        <f>VLOOKUP(TimeRemaining[[#This Row],[Time]],Upgrades[],3,FALSE)</f>
        <v>Gold</v>
      </c>
      <c r="D91" s="171" t="str">
        <f>IF((IFERROR(MATCH(TimeRemaining[[#This Row],[Time]],'Construction Dashboard'!$P$19:$S$19,0),0)+IFERROR(MATCH(TimeRemaining[[#This Row],[Time]],'Construction Dashboard'!$P$20:$S$20,0),0))&gt;0,"IGNORE",TimeRemaining[Kind]&amp;"-"&amp;TimeRemaining[Resource])</f>
        <v>Building-Gold</v>
      </c>
      <c r="E91" s="71" t="str">
        <f>IFERROR(VLOOKUP(TimeRemaining[[#This Row],[Time]],Upgrades[],MATCH("T"&amp;MATCH(TRUE,INDEX(TimeRemaining[[#This Row],[1]:[12]]&lt;&gt;0,),0),Upgrades[#Headers],0),FALSE),"")</f>
        <v/>
      </c>
      <c r="F91" s="78">
        <f>IF(VALUE(TimeRemaining[#Headers])&lt;='Construction Dashboard'!$F48,IFERROR(VLOOKUP(TimeRemaining[[#This Row],[Time]],Upgrades[],MATCH("T"&amp;TimeRemaining[#Headers],Upgrades[#Headers],0),FALSE),0)*MAX(0,SUM('Construction Dashboard'!$G48:G48)),0)</f>
        <v>0</v>
      </c>
      <c r="G91" s="78">
        <f>IF(VALUE(TimeRemaining[#Headers])&lt;='Construction Dashboard'!$F48,IFERROR(VLOOKUP(TimeRemaining[[#This Row],[Time]],Upgrades[],MATCH("T"&amp;TimeRemaining[#Headers],Upgrades[#Headers],0),FALSE),0)*MAX(0,SUM('Construction Dashboard'!$G48:H48)),0)</f>
        <v>0</v>
      </c>
      <c r="H91" s="78">
        <f>IF(VALUE(TimeRemaining[#Headers])&lt;='Construction Dashboard'!$F48,IFERROR(VLOOKUP(TimeRemaining[[#This Row],[Time]],Upgrades[],MATCH("T"&amp;TimeRemaining[#Headers],Upgrades[#Headers],0),FALSE),0)*MAX(0,SUM('Construction Dashboard'!$G48:I48)),0)</f>
        <v>0</v>
      </c>
      <c r="I91" s="78">
        <f>IF(VALUE(TimeRemaining[#Headers])&lt;='Construction Dashboard'!$F48,IFERROR(VLOOKUP(TimeRemaining[[#This Row],[Time]],Upgrades[],MATCH("T"&amp;TimeRemaining[#Headers],Upgrades[#Headers],0),FALSE),0)*MAX(0,SUM('Construction Dashboard'!$G48:J48)),0)</f>
        <v>0</v>
      </c>
      <c r="J91" s="78">
        <f>IF(VALUE(TimeRemaining[#Headers])&lt;='Construction Dashboard'!$F48,IFERROR(VLOOKUP(TimeRemaining[[#This Row],[Time]],Upgrades[],MATCH("T"&amp;TimeRemaining[#Headers],Upgrades[#Headers],0),FALSE),0)*MAX(0,SUM('Construction Dashboard'!$G48:K48)),0)</f>
        <v>0</v>
      </c>
      <c r="K91" s="78">
        <f>IF(VALUE(TimeRemaining[#Headers])&lt;='Construction Dashboard'!$F48,IFERROR(VLOOKUP(TimeRemaining[[#This Row],[Time]],Upgrades[],MATCH("T"&amp;TimeRemaining[#Headers],Upgrades[#Headers],0),FALSE),0)*MAX(0,SUM('Construction Dashboard'!$G48:L48)),0)</f>
        <v>0</v>
      </c>
      <c r="L91" s="78">
        <f>IF(VALUE(TimeRemaining[#Headers])&lt;='Construction Dashboard'!$F48,IFERROR(VLOOKUP(TimeRemaining[[#This Row],[Time]],Upgrades[],MATCH("T"&amp;TimeRemaining[#Headers],Upgrades[#Headers],0),FALSE),0)*MAX(0,SUM('Construction Dashboard'!$G48:M48)),0)</f>
        <v>0</v>
      </c>
      <c r="M91" s="78">
        <f>IF(VALUE(TimeRemaining[#Headers])&lt;='Construction Dashboard'!$F48,IFERROR(VLOOKUP(TimeRemaining[[#This Row],[Time]],Upgrades[],MATCH("T"&amp;TimeRemaining[#Headers],Upgrades[#Headers],0),FALSE),0)*MAX(0,SUM('Construction Dashboard'!$G48:N48)),0)</f>
        <v>0</v>
      </c>
      <c r="N91" s="78">
        <f>IF(VALUE(TimeRemaining[#Headers])&lt;='Construction Dashboard'!$F48,IFERROR(VLOOKUP(TimeRemaining[[#This Row],[Time]],Upgrades[],MATCH("T"&amp;TimeRemaining[#Headers],Upgrades[#Headers],0),FALSE),0)*MAX(0,SUM('Construction Dashboard'!$G48:O48)),0)</f>
        <v>0</v>
      </c>
      <c r="O91" s="78">
        <f>IF(VALUE(TimeRemaining[#Headers])&lt;='Construction Dashboard'!$F48,IFERROR(VLOOKUP(TimeRemaining[[#This Row],[Time]],Upgrades[],MATCH("T"&amp;TimeRemaining[#Headers],Upgrades[#Headers],0),FALSE),0)*MAX(0,SUM('Construction Dashboard'!$G48:P48)),0)</f>
        <v>0</v>
      </c>
      <c r="P91" s="78">
        <f>IF(VALUE(TimeRemaining[#Headers])&lt;='Construction Dashboard'!$F48,IFERROR(VLOOKUP(TimeRemaining[[#This Row],[Time]],Upgrades[],MATCH("T"&amp;TimeRemaining[#Headers],Upgrades[#Headers],0),FALSE),0)*MAX(0,SUM('Construction Dashboard'!$G48:Q48)),0)</f>
        <v>0</v>
      </c>
      <c r="Q91" s="78">
        <f>IF(VALUE(TimeRemaining[#Headers])&lt;='Construction Dashboard'!$F48,IFERROR(VLOOKUP(TimeRemaining[[#This Row],[Time]],Upgrades[],MATCH("T"&amp;TimeRemaining[#Headers],Upgrades[#Headers],0),FALSE),0)*MAX(0,SUM('Construction Dashboard'!$G48:R48)),0)</f>
        <v>0</v>
      </c>
      <c r="R91" s="78">
        <f>IF(TimeRemaining[[#This Row],[MatchStr]]="IGNORE",0,SUM(TimeRemaining[[#This Row],[1]:[12]]))</f>
        <v>0</v>
      </c>
    </row>
    <row r="92" spans="1:18">
      <c r="A92" s="26" t="s">
        <v>12</v>
      </c>
      <c r="B92" s="26" t="str">
        <f>VLOOKUP(TimeRemaining[[#This Row],[Time]],Upgrades[],2,FALSE)</f>
        <v>Building</v>
      </c>
      <c r="C92" s="26" t="str">
        <f>VLOOKUP(TimeRemaining[[#This Row],[Time]],Upgrades[],3,FALSE)</f>
        <v>Gold</v>
      </c>
      <c r="D92" s="171" t="str">
        <f>IF((IFERROR(MATCH(TimeRemaining[[#This Row],[Time]],'Construction Dashboard'!$P$19:$S$19,0),0)+IFERROR(MATCH(TimeRemaining[[#This Row],[Time]],'Construction Dashboard'!$P$20:$S$20,0),0))&gt;0,"IGNORE",TimeRemaining[Kind]&amp;"-"&amp;TimeRemaining[Resource])</f>
        <v>Building-Gold</v>
      </c>
      <c r="E92" s="71" t="str">
        <f>IFERROR(VLOOKUP(TimeRemaining[[#This Row],[Time]],Upgrades[],MATCH("T"&amp;MATCH(TRUE,INDEX(TimeRemaining[[#This Row],[1]:[12]]&lt;&gt;0,),0),Upgrades[#Headers],0),FALSE),"")</f>
        <v/>
      </c>
      <c r="F92" s="78">
        <f>IF(VALUE(TimeRemaining[#Headers])&lt;='Construction Dashboard'!$F49,IFERROR(VLOOKUP(TimeRemaining[[#This Row],[Time]],Upgrades[],MATCH("T"&amp;TimeRemaining[#Headers],Upgrades[#Headers],0),FALSE),0)*MAX(0,SUM('Construction Dashboard'!$G49:G49)),0)</f>
        <v>0</v>
      </c>
      <c r="G92" s="78">
        <f>IF(VALUE(TimeRemaining[#Headers])&lt;='Construction Dashboard'!$F49,IFERROR(VLOOKUP(TimeRemaining[[#This Row],[Time]],Upgrades[],MATCH("T"&amp;TimeRemaining[#Headers],Upgrades[#Headers],0),FALSE),0)*MAX(0,SUM('Construction Dashboard'!$G49:H49)),0)</f>
        <v>0</v>
      </c>
      <c r="H92" s="78">
        <f>IF(VALUE(TimeRemaining[#Headers])&lt;='Construction Dashboard'!$F49,IFERROR(VLOOKUP(TimeRemaining[[#This Row],[Time]],Upgrades[],MATCH("T"&amp;TimeRemaining[#Headers],Upgrades[#Headers],0),FALSE),0)*MAX(0,SUM('Construction Dashboard'!$G49:I49)),0)</f>
        <v>0</v>
      </c>
      <c r="I92" s="78">
        <f>IF(VALUE(TimeRemaining[#Headers])&lt;='Construction Dashboard'!$F49,IFERROR(VLOOKUP(TimeRemaining[[#This Row],[Time]],Upgrades[],MATCH("T"&amp;TimeRemaining[#Headers],Upgrades[#Headers],0),FALSE),0)*MAX(0,SUM('Construction Dashboard'!$G49:J49)),0)</f>
        <v>0</v>
      </c>
      <c r="J92" s="78">
        <f>IF(VALUE(TimeRemaining[#Headers])&lt;='Construction Dashboard'!$F49,IFERROR(VLOOKUP(TimeRemaining[[#This Row],[Time]],Upgrades[],MATCH("T"&amp;TimeRemaining[#Headers],Upgrades[#Headers],0),FALSE),0)*MAX(0,SUM('Construction Dashboard'!$G49:K49)),0)</f>
        <v>0</v>
      </c>
      <c r="K92" s="78">
        <f>IF(VALUE(TimeRemaining[#Headers])&lt;='Construction Dashboard'!$F49,IFERROR(VLOOKUP(TimeRemaining[[#This Row],[Time]],Upgrades[],MATCH("T"&amp;TimeRemaining[#Headers],Upgrades[#Headers],0),FALSE),0)*MAX(0,SUM('Construction Dashboard'!$G49:L49)),0)</f>
        <v>0</v>
      </c>
      <c r="L92" s="78">
        <f>IF(VALUE(TimeRemaining[#Headers])&lt;='Construction Dashboard'!$F49,IFERROR(VLOOKUP(TimeRemaining[[#This Row],[Time]],Upgrades[],MATCH("T"&amp;TimeRemaining[#Headers],Upgrades[#Headers],0),FALSE),0)*MAX(0,SUM('Construction Dashboard'!$G49:M49)),0)</f>
        <v>0</v>
      </c>
      <c r="M92" s="78">
        <f>IF(VALUE(TimeRemaining[#Headers])&lt;='Construction Dashboard'!$F49,IFERROR(VLOOKUP(TimeRemaining[[#This Row],[Time]],Upgrades[],MATCH("T"&amp;TimeRemaining[#Headers],Upgrades[#Headers],0),FALSE),0)*MAX(0,SUM('Construction Dashboard'!$G49:N49)),0)</f>
        <v>0</v>
      </c>
      <c r="N92" s="78">
        <f>IF(VALUE(TimeRemaining[#Headers])&lt;='Construction Dashboard'!$F49,IFERROR(VLOOKUP(TimeRemaining[[#This Row],[Time]],Upgrades[],MATCH("T"&amp;TimeRemaining[#Headers],Upgrades[#Headers],0),FALSE),0)*MAX(0,SUM('Construction Dashboard'!$G49:O49)),0)</f>
        <v>0</v>
      </c>
      <c r="O92" s="78">
        <f>IF(VALUE(TimeRemaining[#Headers])&lt;='Construction Dashboard'!$F49,IFERROR(VLOOKUP(TimeRemaining[[#This Row],[Time]],Upgrades[],MATCH("T"&amp;TimeRemaining[#Headers],Upgrades[#Headers],0),FALSE),0)*MAX(0,SUM('Construction Dashboard'!$G49:P49)),0)</f>
        <v>0</v>
      </c>
      <c r="P92" s="78">
        <f>IF(VALUE(TimeRemaining[#Headers])&lt;='Construction Dashboard'!$F49,IFERROR(VLOOKUP(TimeRemaining[[#This Row],[Time]],Upgrades[],MATCH("T"&amp;TimeRemaining[#Headers],Upgrades[#Headers],0),FALSE),0)*MAX(0,SUM('Construction Dashboard'!$G49:Q49)),0)</f>
        <v>0</v>
      </c>
      <c r="Q92" s="78">
        <f>IF(VALUE(TimeRemaining[#Headers])&lt;='Construction Dashboard'!$F49,IFERROR(VLOOKUP(TimeRemaining[[#This Row],[Time]],Upgrades[],MATCH("T"&amp;TimeRemaining[#Headers],Upgrades[#Headers],0),FALSE),0)*MAX(0,SUM('Construction Dashboard'!$G49:R49)),0)</f>
        <v>0</v>
      </c>
      <c r="R92" s="78">
        <f>IF(TimeRemaining[[#This Row],[MatchStr]]="IGNORE",0,SUM(TimeRemaining[[#This Row],[1]:[12]]))</f>
        <v>0</v>
      </c>
    </row>
    <row r="93" spans="1:18">
      <c r="A93" s="26" t="s">
        <v>29</v>
      </c>
      <c r="B93" s="26" t="str">
        <f>VLOOKUP(TimeRemaining[[#This Row],[Time]],Upgrades[],2,FALSE)</f>
        <v>Building</v>
      </c>
      <c r="C93" s="26" t="str">
        <f>VLOOKUP(TimeRemaining[[#This Row],[Time]],Upgrades[],3,FALSE)</f>
        <v>Gold</v>
      </c>
      <c r="D93" s="171" t="str">
        <f>IF((IFERROR(MATCH(TimeRemaining[[#This Row],[Time]],'Construction Dashboard'!$P$19:$S$19,0),0)+IFERROR(MATCH(TimeRemaining[[#This Row],[Time]],'Construction Dashboard'!$P$20:$S$20,0),0))&gt;0,"IGNORE",TimeRemaining[Kind]&amp;"-"&amp;TimeRemaining[Resource])</f>
        <v>Building-Gold</v>
      </c>
      <c r="E93" s="71" t="str">
        <f>IFERROR(VLOOKUP(TimeRemaining[[#This Row],[Time]],Upgrades[],MATCH("T"&amp;MATCH(TRUE,INDEX(TimeRemaining[[#This Row],[1]:[12]]&lt;&gt;0,),0),Upgrades[#Headers],0),FALSE),"")</f>
        <v/>
      </c>
      <c r="F93" s="78">
        <f>IF(VALUE(TimeRemaining[#Headers])&lt;='Construction Dashboard'!$F50,IFERROR(VLOOKUP(TimeRemaining[[#This Row],[Time]],Upgrades[],MATCH("T"&amp;TimeRemaining[#Headers],Upgrades[#Headers],0),FALSE),0)*MAX(0,SUM('Construction Dashboard'!$G50:G50)),0)</f>
        <v>0</v>
      </c>
      <c r="G93" s="78">
        <f>IF(VALUE(TimeRemaining[#Headers])&lt;='Construction Dashboard'!$F50,IFERROR(VLOOKUP(TimeRemaining[[#This Row],[Time]],Upgrades[],MATCH("T"&amp;TimeRemaining[#Headers],Upgrades[#Headers],0),FALSE),0)*MAX(0,SUM('Construction Dashboard'!$G50:H50)),0)</f>
        <v>0</v>
      </c>
      <c r="H93" s="78">
        <f>IF(VALUE(TimeRemaining[#Headers])&lt;='Construction Dashboard'!$F50,IFERROR(VLOOKUP(TimeRemaining[[#This Row],[Time]],Upgrades[],MATCH("T"&amp;TimeRemaining[#Headers],Upgrades[#Headers],0),FALSE),0)*MAX(0,SUM('Construction Dashboard'!$G50:I50)),0)</f>
        <v>0</v>
      </c>
      <c r="I93" s="78">
        <f>IF(VALUE(TimeRemaining[#Headers])&lt;='Construction Dashboard'!$F50,IFERROR(VLOOKUP(TimeRemaining[[#This Row],[Time]],Upgrades[],MATCH("T"&amp;TimeRemaining[#Headers],Upgrades[#Headers],0),FALSE),0)*MAX(0,SUM('Construction Dashboard'!$G50:J50)),0)</f>
        <v>0</v>
      </c>
      <c r="J93" s="78">
        <f>IF(VALUE(TimeRemaining[#Headers])&lt;='Construction Dashboard'!$F50,IFERROR(VLOOKUP(TimeRemaining[[#This Row],[Time]],Upgrades[],MATCH("T"&amp;TimeRemaining[#Headers],Upgrades[#Headers],0),FALSE),0)*MAX(0,SUM('Construction Dashboard'!$G50:K50)),0)</f>
        <v>0</v>
      </c>
      <c r="K93" s="78">
        <f>IF(VALUE(TimeRemaining[#Headers])&lt;='Construction Dashboard'!$F50,IFERROR(VLOOKUP(TimeRemaining[[#This Row],[Time]],Upgrades[],MATCH("T"&amp;TimeRemaining[#Headers],Upgrades[#Headers],0),FALSE),0)*MAX(0,SUM('Construction Dashboard'!$G50:L50)),0)</f>
        <v>0</v>
      </c>
      <c r="L93" s="78">
        <f>IF(VALUE(TimeRemaining[#Headers])&lt;='Construction Dashboard'!$F50,IFERROR(VLOOKUP(TimeRemaining[[#This Row],[Time]],Upgrades[],MATCH("T"&amp;TimeRemaining[#Headers],Upgrades[#Headers],0),FALSE),0)*MAX(0,SUM('Construction Dashboard'!$G50:M50)),0)</f>
        <v>0</v>
      </c>
      <c r="M93" s="78">
        <f>IF(VALUE(TimeRemaining[#Headers])&lt;='Construction Dashboard'!$F50,IFERROR(VLOOKUP(TimeRemaining[[#This Row],[Time]],Upgrades[],MATCH("T"&amp;TimeRemaining[#Headers],Upgrades[#Headers],0),FALSE),0)*MAX(0,SUM('Construction Dashboard'!$G50:N50)),0)</f>
        <v>0</v>
      </c>
      <c r="N93" s="78">
        <f>IF(VALUE(TimeRemaining[#Headers])&lt;='Construction Dashboard'!$F50,IFERROR(VLOOKUP(TimeRemaining[[#This Row],[Time]],Upgrades[],MATCH("T"&amp;TimeRemaining[#Headers],Upgrades[#Headers],0),FALSE),0)*MAX(0,SUM('Construction Dashboard'!$G50:O50)),0)</f>
        <v>0</v>
      </c>
      <c r="O93" s="78">
        <f>IF(VALUE(TimeRemaining[#Headers])&lt;='Construction Dashboard'!$F50,IFERROR(VLOOKUP(TimeRemaining[[#This Row],[Time]],Upgrades[],MATCH("T"&amp;TimeRemaining[#Headers],Upgrades[#Headers],0),FALSE),0)*MAX(0,SUM('Construction Dashboard'!$G50:P50)),0)</f>
        <v>0</v>
      </c>
      <c r="P93" s="78">
        <f>IF(VALUE(TimeRemaining[#Headers])&lt;='Construction Dashboard'!$F50,IFERROR(VLOOKUP(TimeRemaining[[#This Row],[Time]],Upgrades[],MATCH("T"&amp;TimeRemaining[#Headers],Upgrades[#Headers],0),FALSE),0)*MAX(0,SUM('Construction Dashboard'!$G50:Q50)),0)</f>
        <v>0</v>
      </c>
      <c r="Q93" s="78">
        <f>IF(VALUE(TimeRemaining[#Headers])&lt;='Construction Dashboard'!$F50,IFERROR(VLOOKUP(TimeRemaining[[#This Row],[Time]],Upgrades[],MATCH("T"&amp;TimeRemaining[#Headers],Upgrades[#Headers],0),FALSE),0)*MAX(0,SUM('Construction Dashboard'!$G50:R50)),0)</f>
        <v>0</v>
      </c>
      <c r="R93" s="78">
        <f>IF(TimeRemaining[[#This Row],[MatchStr]]="IGNORE",0,SUM(TimeRemaining[[#This Row],[1]:[12]]))</f>
        <v>0</v>
      </c>
    </row>
    <row r="94" spans="1:18">
      <c r="A94" s="26" t="s">
        <v>106</v>
      </c>
      <c r="B94" s="73" t="str">
        <f>VLOOKUP(TimeRemaining[[#This Row],[Time]],Upgrades[],2,FALSE)</f>
        <v>Building</v>
      </c>
      <c r="C94" s="73" t="str">
        <f>VLOOKUP(TimeRemaining[[#This Row],[Time]],Upgrades[],3,FALSE)</f>
        <v>Dark Elixir</v>
      </c>
      <c r="D94" s="172" t="str">
        <f>IF((IFERROR(MATCH(TimeRemaining[[#This Row],[Time]],'Construction Dashboard'!$P$19:$S$19,0),0)+IFERROR(MATCH(TimeRemaining[[#This Row],[Time]],'Construction Dashboard'!$P$20:$S$20,0),0))&gt;0,"IGNORE",TimeRemaining[Kind]&amp;"-"&amp;TimeRemaining[Resource])</f>
        <v>Building-Dark Elixir</v>
      </c>
      <c r="E94" s="71" t="str">
        <f>IFERROR(VLOOKUP(TimeRemaining[[#This Row],[Time]],Upgrades[],MATCH("T"&amp;MATCH(TRUE,INDEX(TimeRemaining[[#This Row],[1]:[12]]&lt;&gt;0,),0),Upgrades[#Headers],0),FALSE),"")</f>
        <v/>
      </c>
      <c r="F94" s="78">
        <f>IF(VALUE(TimeRemaining[#Headers])&lt;='Construction Dashboard'!$F51,IFERROR(VLOOKUP(TimeRemaining[[#This Row],[Time]],Upgrades[],MATCH("T"&amp;TimeRemaining[#Headers],Upgrades[#Headers],0),FALSE),0)*MAX(0,SUM('Construction Dashboard'!$G51:G51)),0)</f>
        <v>0</v>
      </c>
      <c r="G94" s="78">
        <f>IF(VALUE(TimeRemaining[#Headers])&lt;='Construction Dashboard'!$F51,IFERROR(VLOOKUP(TimeRemaining[[#This Row],[Time]],Upgrades[],MATCH("T"&amp;TimeRemaining[#Headers],Upgrades[#Headers],0),FALSE),0)*MAX(0,SUM('Construction Dashboard'!$G51:H51)),0)</f>
        <v>0</v>
      </c>
      <c r="H94" s="78">
        <f>IF(VALUE(TimeRemaining[#Headers])&lt;='Construction Dashboard'!$F51,IFERROR(VLOOKUP(TimeRemaining[[#This Row],[Time]],Upgrades[],MATCH("T"&amp;TimeRemaining[#Headers],Upgrades[#Headers],0),FALSE),0)*MAX(0,SUM('Construction Dashboard'!$G51:I51)),0)</f>
        <v>0</v>
      </c>
      <c r="I94" s="78">
        <f>IF(VALUE(TimeRemaining[#Headers])&lt;='Construction Dashboard'!$F51,IFERROR(VLOOKUP(TimeRemaining[[#This Row],[Time]],Upgrades[],MATCH("T"&amp;TimeRemaining[#Headers],Upgrades[#Headers],0),FALSE),0)*MAX(0,SUM('Construction Dashboard'!$G51:J51)),0)</f>
        <v>0</v>
      </c>
      <c r="J94" s="78">
        <f>IF(VALUE(TimeRemaining[#Headers])&lt;='Construction Dashboard'!$F51,IFERROR(VLOOKUP(TimeRemaining[[#This Row],[Time]],Upgrades[],MATCH("T"&amp;TimeRemaining[#Headers],Upgrades[#Headers],0),FALSE),0)*MAX(0,SUM('Construction Dashboard'!$G51:K51)),0)</f>
        <v>0</v>
      </c>
      <c r="K94" s="78">
        <f>IF(VALUE(TimeRemaining[#Headers])&lt;='Construction Dashboard'!$F51,IFERROR(VLOOKUP(TimeRemaining[[#This Row],[Time]],Upgrades[],MATCH("T"&amp;TimeRemaining[#Headers],Upgrades[#Headers],0),FALSE),0)*MAX(0,SUM('Construction Dashboard'!$G51:L51)),0)</f>
        <v>0</v>
      </c>
      <c r="L94" s="78">
        <f>IF(VALUE(TimeRemaining[#Headers])&lt;='Construction Dashboard'!$F51,IFERROR(VLOOKUP(TimeRemaining[[#This Row],[Time]],Upgrades[],MATCH("T"&amp;TimeRemaining[#Headers],Upgrades[#Headers],0),FALSE),0)*MAX(0,SUM('Construction Dashboard'!$G51:M51)),0)</f>
        <v>0</v>
      </c>
      <c r="M94" s="78">
        <f>IF(VALUE(TimeRemaining[#Headers])&lt;='Construction Dashboard'!$F51,IFERROR(VLOOKUP(TimeRemaining[[#This Row],[Time]],Upgrades[],MATCH("T"&amp;TimeRemaining[#Headers],Upgrades[#Headers],0),FALSE),0)*MAX(0,SUM('Construction Dashboard'!$G51:N51)),0)</f>
        <v>0</v>
      </c>
      <c r="N94" s="78">
        <f>IF(VALUE(TimeRemaining[#Headers])&lt;='Construction Dashboard'!$F51,IFERROR(VLOOKUP(TimeRemaining[[#This Row],[Time]],Upgrades[],MATCH("T"&amp;TimeRemaining[#Headers],Upgrades[#Headers],0),FALSE),0)*MAX(0,SUM('Construction Dashboard'!$G51:O51)),0)</f>
        <v>0</v>
      </c>
      <c r="O94" s="78">
        <f>IF(VALUE(TimeRemaining[#Headers])&lt;='Construction Dashboard'!$F51,IFERROR(VLOOKUP(TimeRemaining[[#This Row],[Time]],Upgrades[],MATCH("T"&amp;TimeRemaining[#Headers],Upgrades[#Headers],0),FALSE),0)*MAX(0,SUM('Construction Dashboard'!$G51:P51)),0)</f>
        <v>0</v>
      </c>
      <c r="P94" s="78">
        <f>IF(VALUE(TimeRemaining[#Headers])&lt;='Construction Dashboard'!$F51,IFERROR(VLOOKUP(TimeRemaining[[#This Row],[Time]],Upgrades[],MATCH("T"&amp;TimeRemaining[#Headers],Upgrades[#Headers],0),FALSE),0)*MAX(0,SUM('Construction Dashboard'!$G51:Q51)),0)</f>
        <v>0</v>
      </c>
      <c r="Q94" s="78">
        <f>IF(VALUE(TimeRemaining[#Headers])&lt;='Construction Dashboard'!$F51,IFERROR(VLOOKUP(TimeRemaining[[#This Row],[Time]],Upgrades[],MATCH("T"&amp;TimeRemaining[#Headers],Upgrades[#Headers],0),FALSE),0)*MAX(0,SUM('Construction Dashboard'!$G51:R51)),0)</f>
        <v>0</v>
      </c>
      <c r="R94" s="78">
        <f>IF(TimeRemaining[[#This Row],[MatchStr]]="IGNORE",0,SUM(TimeRemaining[[#This Row],[1]:[12]]))</f>
        <v>0</v>
      </c>
    </row>
    <row r="95" spans="1:18">
      <c r="A95" s="26" t="s">
        <v>107</v>
      </c>
      <c r="B95" s="73" t="str">
        <f>VLOOKUP(TimeRemaining[[#This Row],[Time]],Upgrades[],2,FALSE)</f>
        <v>Building</v>
      </c>
      <c r="C95" s="73" t="str">
        <f>VLOOKUP(TimeRemaining[[#This Row],[Time]],Upgrades[],3,FALSE)</f>
        <v>Dark Elixir</v>
      </c>
      <c r="D95" s="172" t="str">
        <f>IF((IFERROR(MATCH(TimeRemaining[[#This Row],[Time]],'Construction Dashboard'!$P$19:$S$19,0),0)+IFERROR(MATCH(TimeRemaining[[#This Row],[Time]],'Construction Dashboard'!$P$20:$S$20,0),0))&gt;0,"IGNORE",TimeRemaining[Kind]&amp;"-"&amp;TimeRemaining[Resource])</f>
        <v>Building-Dark Elixir</v>
      </c>
      <c r="E95" s="71" t="str">
        <f>IFERROR(VLOOKUP(TimeRemaining[[#This Row],[Time]],Upgrades[],MATCH("T"&amp;MATCH(TRUE,INDEX(TimeRemaining[[#This Row],[1]:[12]]&lt;&gt;0,),0),Upgrades[#Headers],0),FALSE),"")</f>
        <v/>
      </c>
      <c r="F95" s="78">
        <f>IF(VALUE(TimeRemaining[#Headers])&lt;='Construction Dashboard'!$F52,IFERROR(VLOOKUP(TimeRemaining[[#This Row],[Time]],Upgrades[],MATCH("T"&amp;TimeRemaining[#Headers],Upgrades[#Headers],0),FALSE),0)*MAX(0,SUM('Construction Dashboard'!$G52:G52)),0)</f>
        <v>0</v>
      </c>
      <c r="G95" s="78">
        <f>IF(VALUE(TimeRemaining[#Headers])&lt;='Construction Dashboard'!$F52,IFERROR(VLOOKUP(TimeRemaining[[#This Row],[Time]],Upgrades[],MATCH("T"&amp;TimeRemaining[#Headers],Upgrades[#Headers],0),FALSE),0)*MAX(0,SUM('Construction Dashboard'!$G52:H52)),0)</f>
        <v>0</v>
      </c>
      <c r="H95" s="78">
        <f>IF(VALUE(TimeRemaining[#Headers])&lt;='Construction Dashboard'!$F52,IFERROR(VLOOKUP(TimeRemaining[[#This Row],[Time]],Upgrades[],MATCH("T"&amp;TimeRemaining[#Headers],Upgrades[#Headers],0),FALSE),0)*MAX(0,SUM('Construction Dashboard'!$G52:I52)),0)</f>
        <v>0</v>
      </c>
      <c r="I95" s="78">
        <f>IF(VALUE(TimeRemaining[#Headers])&lt;='Construction Dashboard'!$F52,IFERROR(VLOOKUP(TimeRemaining[[#This Row],[Time]],Upgrades[],MATCH("T"&amp;TimeRemaining[#Headers],Upgrades[#Headers],0),FALSE),0)*MAX(0,SUM('Construction Dashboard'!$G52:J52)),0)</f>
        <v>0</v>
      </c>
      <c r="J95" s="78">
        <f>IF(VALUE(TimeRemaining[#Headers])&lt;='Construction Dashboard'!$F52,IFERROR(VLOOKUP(TimeRemaining[[#This Row],[Time]],Upgrades[],MATCH("T"&amp;TimeRemaining[#Headers],Upgrades[#Headers],0),FALSE),0)*MAX(0,SUM('Construction Dashboard'!$G52:K52)),0)</f>
        <v>0</v>
      </c>
      <c r="K95" s="78">
        <f>IF(VALUE(TimeRemaining[#Headers])&lt;='Construction Dashboard'!$F52,IFERROR(VLOOKUP(TimeRemaining[[#This Row],[Time]],Upgrades[],MATCH("T"&amp;TimeRemaining[#Headers],Upgrades[#Headers],0),FALSE),0)*MAX(0,SUM('Construction Dashboard'!$G52:L52)),0)</f>
        <v>0</v>
      </c>
      <c r="L95" s="78">
        <f>IF(VALUE(TimeRemaining[#Headers])&lt;='Construction Dashboard'!$F52,IFERROR(VLOOKUP(TimeRemaining[[#This Row],[Time]],Upgrades[],MATCH("T"&amp;TimeRemaining[#Headers],Upgrades[#Headers],0),FALSE),0)*MAX(0,SUM('Construction Dashboard'!$G52:M52)),0)</f>
        <v>0</v>
      </c>
      <c r="M95" s="78">
        <f>IF(VALUE(TimeRemaining[#Headers])&lt;='Construction Dashboard'!$F52,IFERROR(VLOOKUP(TimeRemaining[[#This Row],[Time]],Upgrades[],MATCH("T"&amp;TimeRemaining[#Headers],Upgrades[#Headers],0),FALSE),0)*MAX(0,SUM('Construction Dashboard'!$G52:N52)),0)</f>
        <v>0</v>
      </c>
      <c r="N95" s="78">
        <f>IF(VALUE(TimeRemaining[#Headers])&lt;='Construction Dashboard'!$F52,IFERROR(VLOOKUP(TimeRemaining[[#This Row],[Time]],Upgrades[],MATCH("T"&amp;TimeRemaining[#Headers],Upgrades[#Headers],0),FALSE),0)*MAX(0,SUM('Construction Dashboard'!$G52:O52)),0)</f>
        <v>0</v>
      </c>
      <c r="O95" s="78">
        <f>IF(VALUE(TimeRemaining[#Headers])&lt;='Construction Dashboard'!$F52,IFERROR(VLOOKUP(TimeRemaining[[#This Row],[Time]],Upgrades[],MATCH("T"&amp;TimeRemaining[#Headers],Upgrades[#Headers],0),FALSE),0)*MAX(0,SUM('Construction Dashboard'!$G52:P52)),0)</f>
        <v>0</v>
      </c>
      <c r="P95" s="78">
        <f>IF(VALUE(TimeRemaining[#Headers])&lt;='Construction Dashboard'!$F52,IFERROR(VLOOKUP(TimeRemaining[[#This Row],[Time]],Upgrades[],MATCH("T"&amp;TimeRemaining[#Headers],Upgrades[#Headers],0),FALSE),0)*MAX(0,SUM('Construction Dashboard'!$G52:Q52)),0)</f>
        <v>0</v>
      </c>
      <c r="Q95" s="78">
        <f>IF(VALUE(TimeRemaining[#Headers])&lt;='Construction Dashboard'!$F52,IFERROR(VLOOKUP(TimeRemaining[[#This Row],[Time]],Upgrades[],MATCH("T"&amp;TimeRemaining[#Headers],Upgrades[#Headers],0),FALSE),0)*MAX(0,SUM('Construction Dashboard'!$G52:R52)),0)</f>
        <v>0</v>
      </c>
      <c r="R95" s="78">
        <f>IF(TimeRemaining[[#This Row],[MatchStr]]="IGNORE",0,SUM(TimeRemaining[[#This Row],[1]:[12]]))</f>
        <v>0</v>
      </c>
    </row>
    <row r="96" spans="1:18">
      <c r="A96" s="26" t="s">
        <v>83</v>
      </c>
      <c r="B96" s="73" t="str">
        <f>VLOOKUP(TimeRemaining[[#This Row],[Time]],Upgrades[],2,FALSE)</f>
        <v>Upgrade</v>
      </c>
      <c r="C96" s="73" t="str">
        <f>VLOOKUP(TimeRemaining[[#This Row],[Time]],Upgrades[],3,FALSE)</f>
        <v>Elixir</v>
      </c>
      <c r="D96" s="172" t="str">
        <f>IF((IFERROR(MATCH(TimeRemaining[[#This Row],[Time]],'Construction Dashboard'!$P$19:$S$19,0),0)+IFERROR(MATCH(TimeRemaining[[#This Row],[Time]],'Construction Dashboard'!$P$20:$S$20,0),0))&gt;0,"IGNORE",TimeRemaining[Kind]&amp;"-"&amp;TimeRemaining[Resource])</f>
        <v>Upgrade-Elixir</v>
      </c>
      <c r="E96" s="71" t="str">
        <f>IFERROR(VLOOKUP(TimeRemaining[[#This Row],[Time]],Upgrades[],MATCH("T"&amp;MATCH(TRUE,INDEX(TimeRemaining[[#This Row],[1]:[12]]&lt;&gt;0,),0),Upgrades[#Headers],0),FALSE),"")</f>
        <v/>
      </c>
      <c r="F96" s="78">
        <f>IF(VALUE(TimeRemaining[#Headers])&lt;='Construction Dashboard'!$F53,IFERROR(VLOOKUP(TimeRemaining[[#This Row],[Time]],Upgrades[],MATCH("T"&amp;TimeRemaining[#Headers],Upgrades[#Headers],0),FALSE),0)*MAX(0,SUM('Construction Dashboard'!$G53:G53)),0)</f>
        <v>0</v>
      </c>
      <c r="G96" s="78">
        <f>IF(VALUE(TimeRemaining[#Headers])&lt;='Construction Dashboard'!$F53,IFERROR(VLOOKUP(TimeRemaining[[#This Row],[Time]],Upgrades[],MATCH("T"&amp;TimeRemaining[#Headers],Upgrades[#Headers],0),FALSE),0)*MAX(0,SUM('Construction Dashboard'!$G53:H53)),0)</f>
        <v>0</v>
      </c>
      <c r="H96" s="78">
        <f>IF(VALUE(TimeRemaining[#Headers])&lt;='Construction Dashboard'!$F53,IFERROR(VLOOKUP(TimeRemaining[[#This Row],[Time]],Upgrades[],MATCH("T"&amp;TimeRemaining[#Headers],Upgrades[#Headers],0),FALSE),0)*MAX(0,SUM('Construction Dashboard'!$G53:I53)),0)</f>
        <v>0</v>
      </c>
      <c r="I96" s="78">
        <f>IF(VALUE(TimeRemaining[#Headers])&lt;='Construction Dashboard'!$F53,IFERROR(VLOOKUP(TimeRemaining[[#This Row],[Time]],Upgrades[],MATCH("T"&amp;TimeRemaining[#Headers],Upgrades[#Headers],0),FALSE),0)*MAX(0,SUM('Construction Dashboard'!$G53:J53)),0)</f>
        <v>0</v>
      </c>
      <c r="J96" s="78">
        <f>IF(VALUE(TimeRemaining[#Headers])&lt;='Construction Dashboard'!$F53,IFERROR(VLOOKUP(TimeRemaining[[#This Row],[Time]],Upgrades[],MATCH("T"&amp;TimeRemaining[#Headers],Upgrades[#Headers],0),FALSE),0)*MAX(0,SUM('Construction Dashboard'!$G53:K53)),0)</f>
        <v>0</v>
      </c>
      <c r="K96" s="78">
        <f>IF(VALUE(TimeRemaining[#Headers])&lt;='Construction Dashboard'!$F53,IFERROR(VLOOKUP(TimeRemaining[[#This Row],[Time]],Upgrades[],MATCH("T"&amp;TimeRemaining[#Headers],Upgrades[#Headers],0),FALSE),0)*MAX(0,SUM('Construction Dashboard'!$G53:L53)),0)</f>
        <v>0</v>
      </c>
      <c r="L96" s="78">
        <f>IF(VALUE(TimeRemaining[#Headers])&lt;='Construction Dashboard'!$F53,IFERROR(VLOOKUP(TimeRemaining[[#This Row],[Time]],Upgrades[],MATCH("T"&amp;TimeRemaining[#Headers],Upgrades[#Headers],0),FALSE),0)*MAX(0,SUM('Construction Dashboard'!$G53:M53)),0)</f>
        <v>0</v>
      </c>
      <c r="M96" s="78">
        <f>IF(VALUE(TimeRemaining[#Headers])&lt;='Construction Dashboard'!$F53,IFERROR(VLOOKUP(TimeRemaining[[#This Row],[Time]],Upgrades[],MATCH("T"&amp;TimeRemaining[#Headers],Upgrades[#Headers],0),FALSE),0)*MAX(0,SUM('Construction Dashboard'!$G53:N53)),0)</f>
        <v>0</v>
      </c>
      <c r="N96" s="78">
        <f>IF(VALUE(TimeRemaining[#Headers])&lt;='Construction Dashboard'!$F53,IFERROR(VLOOKUP(TimeRemaining[[#This Row],[Time]],Upgrades[],MATCH("T"&amp;TimeRemaining[#Headers],Upgrades[#Headers],0),FALSE),0)*MAX(0,SUM('Construction Dashboard'!$G53:O53)),0)</f>
        <v>0</v>
      </c>
      <c r="O96" s="78">
        <f>IF(VALUE(TimeRemaining[#Headers])&lt;='Construction Dashboard'!$F53,IFERROR(VLOOKUP(TimeRemaining[[#This Row],[Time]],Upgrades[],MATCH("T"&amp;TimeRemaining[#Headers],Upgrades[#Headers],0),FALSE),0)*MAX(0,SUM('Construction Dashboard'!$G53:P53)),0)</f>
        <v>0</v>
      </c>
      <c r="P96" s="78">
        <f>IF(VALUE(TimeRemaining[#Headers])&lt;='Construction Dashboard'!$F53,IFERROR(VLOOKUP(TimeRemaining[[#This Row],[Time]],Upgrades[],MATCH("T"&amp;TimeRemaining[#Headers],Upgrades[#Headers],0),FALSE),0)*MAX(0,SUM('Construction Dashboard'!$G53:Q53)),0)</f>
        <v>0</v>
      </c>
      <c r="Q96" s="78">
        <f>IF(VALUE(TimeRemaining[#Headers])&lt;='Construction Dashboard'!$F53,IFERROR(VLOOKUP(TimeRemaining[[#This Row],[Time]],Upgrades[],MATCH("T"&amp;TimeRemaining[#Headers],Upgrades[#Headers],0),FALSE),0)*MAX(0,SUM('Construction Dashboard'!$G53:R53)),0)</f>
        <v>0</v>
      </c>
      <c r="R96" s="78">
        <f>IF(TimeRemaining[[#This Row],[MatchStr]]="IGNORE",0,SUM(TimeRemaining[[#This Row],[1]:[12]]))</f>
        <v>0</v>
      </c>
    </row>
    <row r="97" spans="1:18">
      <c r="A97" s="26" t="s">
        <v>84</v>
      </c>
      <c r="B97" s="73" t="str">
        <f>VLOOKUP(TimeRemaining[[#This Row],[Time]],Upgrades[],2,FALSE)</f>
        <v>Upgrade</v>
      </c>
      <c r="C97" s="73" t="str">
        <f>VLOOKUP(TimeRemaining[[#This Row],[Time]],Upgrades[],3,FALSE)</f>
        <v>Elixir</v>
      </c>
      <c r="D97" s="172" t="str">
        <f>IF((IFERROR(MATCH(TimeRemaining[[#This Row],[Time]],'Construction Dashboard'!$P$19:$S$19,0),0)+IFERROR(MATCH(TimeRemaining[[#This Row],[Time]],'Construction Dashboard'!$P$20:$S$20,0),0))&gt;0,"IGNORE",TimeRemaining[Kind]&amp;"-"&amp;TimeRemaining[Resource])</f>
        <v>Upgrade-Elixir</v>
      </c>
      <c r="E97" s="71" t="str">
        <f>IFERROR(VLOOKUP(TimeRemaining[[#This Row],[Time]],Upgrades[],MATCH("T"&amp;MATCH(TRUE,INDEX(TimeRemaining[[#This Row],[1]:[12]]&lt;&gt;0,),0),Upgrades[#Headers],0),FALSE),"")</f>
        <v/>
      </c>
      <c r="F97" s="78">
        <f>IF(VALUE(TimeRemaining[#Headers])&lt;='Construction Dashboard'!$F54,IFERROR(VLOOKUP(TimeRemaining[[#This Row],[Time]],Upgrades[],MATCH("T"&amp;TimeRemaining[#Headers],Upgrades[#Headers],0),FALSE),0)*MAX(0,SUM('Construction Dashboard'!$G54:G54)),0)</f>
        <v>0</v>
      </c>
      <c r="G97" s="78">
        <f>IF(VALUE(TimeRemaining[#Headers])&lt;='Construction Dashboard'!$F54,IFERROR(VLOOKUP(TimeRemaining[[#This Row],[Time]],Upgrades[],MATCH("T"&amp;TimeRemaining[#Headers],Upgrades[#Headers],0),FALSE),0)*MAX(0,SUM('Construction Dashboard'!$G54:H54)),0)</f>
        <v>0</v>
      </c>
      <c r="H97" s="78">
        <f>IF(VALUE(TimeRemaining[#Headers])&lt;='Construction Dashboard'!$F54,IFERROR(VLOOKUP(TimeRemaining[[#This Row],[Time]],Upgrades[],MATCH("T"&amp;TimeRemaining[#Headers],Upgrades[#Headers],0),FALSE),0)*MAX(0,SUM('Construction Dashboard'!$G54:I54)),0)</f>
        <v>0</v>
      </c>
      <c r="I97" s="78">
        <f>IF(VALUE(TimeRemaining[#Headers])&lt;='Construction Dashboard'!$F54,IFERROR(VLOOKUP(TimeRemaining[[#This Row],[Time]],Upgrades[],MATCH("T"&amp;TimeRemaining[#Headers],Upgrades[#Headers],0),FALSE),0)*MAX(0,SUM('Construction Dashboard'!$G54:J54)),0)</f>
        <v>0</v>
      </c>
      <c r="J97" s="78">
        <f>IF(VALUE(TimeRemaining[#Headers])&lt;='Construction Dashboard'!$F54,IFERROR(VLOOKUP(TimeRemaining[[#This Row],[Time]],Upgrades[],MATCH("T"&amp;TimeRemaining[#Headers],Upgrades[#Headers],0),FALSE),0)*MAX(0,SUM('Construction Dashboard'!$G54:K54)),0)</f>
        <v>0</v>
      </c>
      <c r="K97" s="78">
        <f>IF(VALUE(TimeRemaining[#Headers])&lt;='Construction Dashboard'!$F54,IFERROR(VLOOKUP(TimeRemaining[[#This Row],[Time]],Upgrades[],MATCH("T"&amp;TimeRemaining[#Headers],Upgrades[#Headers],0),FALSE),0)*MAX(0,SUM('Construction Dashboard'!$G54:L54)),0)</f>
        <v>0</v>
      </c>
      <c r="L97" s="78">
        <f>IF(VALUE(TimeRemaining[#Headers])&lt;='Construction Dashboard'!$F54,IFERROR(VLOOKUP(TimeRemaining[[#This Row],[Time]],Upgrades[],MATCH("T"&amp;TimeRemaining[#Headers],Upgrades[#Headers],0),FALSE),0)*MAX(0,SUM('Construction Dashboard'!$G54:M54)),0)</f>
        <v>0</v>
      </c>
      <c r="M97" s="78">
        <f>IF(VALUE(TimeRemaining[#Headers])&lt;='Construction Dashboard'!$F54,IFERROR(VLOOKUP(TimeRemaining[[#This Row],[Time]],Upgrades[],MATCH("T"&amp;TimeRemaining[#Headers],Upgrades[#Headers],0),FALSE),0)*MAX(0,SUM('Construction Dashboard'!$G54:N54)),0)</f>
        <v>0</v>
      </c>
      <c r="N97" s="78">
        <f>IF(VALUE(TimeRemaining[#Headers])&lt;='Construction Dashboard'!$F54,IFERROR(VLOOKUP(TimeRemaining[[#This Row],[Time]],Upgrades[],MATCH("T"&amp;TimeRemaining[#Headers],Upgrades[#Headers],0),FALSE),0)*MAX(0,SUM('Construction Dashboard'!$G54:O54)),0)</f>
        <v>0</v>
      </c>
      <c r="O97" s="78">
        <f>IF(VALUE(TimeRemaining[#Headers])&lt;='Construction Dashboard'!$F54,IFERROR(VLOOKUP(TimeRemaining[[#This Row],[Time]],Upgrades[],MATCH("T"&amp;TimeRemaining[#Headers],Upgrades[#Headers],0),FALSE),0)*MAX(0,SUM('Construction Dashboard'!$G54:P54)),0)</f>
        <v>0</v>
      </c>
      <c r="P97" s="78">
        <f>IF(VALUE(TimeRemaining[#Headers])&lt;='Construction Dashboard'!$F54,IFERROR(VLOOKUP(TimeRemaining[[#This Row],[Time]],Upgrades[],MATCH("T"&amp;TimeRemaining[#Headers],Upgrades[#Headers],0),FALSE),0)*MAX(0,SUM('Construction Dashboard'!$G54:Q54)),0)</f>
        <v>0</v>
      </c>
      <c r="Q97" s="78">
        <f>IF(VALUE(TimeRemaining[#Headers])&lt;='Construction Dashboard'!$F54,IFERROR(VLOOKUP(TimeRemaining[[#This Row],[Time]],Upgrades[],MATCH("T"&amp;TimeRemaining[#Headers],Upgrades[#Headers],0),FALSE),0)*MAX(0,SUM('Construction Dashboard'!$G54:R54)),0)</f>
        <v>0</v>
      </c>
      <c r="R97" s="78">
        <f>IF(TimeRemaining[[#This Row],[MatchStr]]="IGNORE",0,SUM(TimeRemaining[[#This Row],[1]:[12]]))</f>
        <v>0</v>
      </c>
    </row>
    <row r="98" spans="1:18">
      <c r="A98" s="26" t="s">
        <v>85</v>
      </c>
      <c r="B98" s="73" t="str">
        <f>VLOOKUP(TimeRemaining[[#This Row],[Time]],Upgrades[],2,FALSE)</f>
        <v>Upgrade</v>
      </c>
      <c r="C98" s="73" t="str">
        <f>VLOOKUP(TimeRemaining[[#This Row],[Time]],Upgrades[],3,FALSE)</f>
        <v>Elixir</v>
      </c>
      <c r="D98" s="172" t="str">
        <f>IF((IFERROR(MATCH(TimeRemaining[[#This Row],[Time]],'Construction Dashboard'!$P$19:$S$19,0),0)+IFERROR(MATCH(TimeRemaining[[#This Row],[Time]],'Construction Dashboard'!$P$20:$S$20,0),0))&gt;0,"IGNORE",TimeRemaining[Kind]&amp;"-"&amp;TimeRemaining[Resource])</f>
        <v>Upgrade-Elixir</v>
      </c>
      <c r="E98" s="71" t="str">
        <f>IFERROR(VLOOKUP(TimeRemaining[[#This Row],[Time]],Upgrades[],MATCH("T"&amp;MATCH(TRUE,INDEX(TimeRemaining[[#This Row],[1]:[12]]&lt;&gt;0,),0),Upgrades[#Headers],0),FALSE),"")</f>
        <v/>
      </c>
      <c r="F98" s="78">
        <f>IF(VALUE(TimeRemaining[#Headers])&lt;='Construction Dashboard'!$F55,IFERROR(VLOOKUP(TimeRemaining[[#This Row],[Time]],Upgrades[],MATCH("T"&amp;TimeRemaining[#Headers],Upgrades[#Headers],0),FALSE),0)*MAX(0,SUM('Construction Dashboard'!$G55:G55)),0)</f>
        <v>0</v>
      </c>
      <c r="G98" s="78">
        <f>IF(VALUE(TimeRemaining[#Headers])&lt;='Construction Dashboard'!$F55,IFERROR(VLOOKUP(TimeRemaining[[#This Row],[Time]],Upgrades[],MATCH("T"&amp;TimeRemaining[#Headers],Upgrades[#Headers],0),FALSE),0)*MAX(0,SUM('Construction Dashboard'!$G55:H55)),0)</f>
        <v>0</v>
      </c>
      <c r="H98" s="78">
        <f>IF(VALUE(TimeRemaining[#Headers])&lt;='Construction Dashboard'!$F55,IFERROR(VLOOKUP(TimeRemaining[[#This Row],[Time]],Upgrades[],MATCH("T"&amp;TimeRemaining[#Headers],Upgrades[#Headers],0),FALSE),0)*MAX(0,SUM('Construction Dashboard'!$G55:I55)),0)</f>
        <v>0</v>
      </c>
      <c r="I98" s="78">
        <f>IF(VALUE(TimeRemaining[#Headers])&lt;='Construction Dashboard'!$F55,IFERROR(VLOOKUP(TimeRemaining[[#This Row],[Time]],Upgrades[],MATCH("T"&amp;TimeRemaining[#Headers],Upgrades[#Headers],0),FALSE),0)*MAX(0,SUM('Construction Dashboard'!$G55:J55)),0)</f>
        <v>0</v>
      </c>
      <c r="J98" s="78">
        <f>IF(VALUE(TimeRemaining[#Headers])&lt;='Construction Dashboard'!$F55,IFERROR(VLOOKUP(TimeRemaining[[#This Row],[Time]],Upgrades[],MATCH("T"&amp;TimeRemaining[#Headers],Upgrades[#Headers],0),FALSE),0)*MAX(0,SUM('Construction Dashboard'!$G55:K55)),0)</f>
        <v>0</v>
      </c>
      <c r="K98" s="78">
        <f>IF(VALUE(TimeRemaining[#Headers])&lt;='Construction Dashboard'!$F55,IFERROR(VLOOKUP(TimeRemaining[[#This Row],[Time]],Upgrades[],MATCH("T"&amp;TimeRemaining[#Headers],Upgrades[#Headers],0),FALSE),0)*MAX(0,SUM('Construction Dashboard'!$G55:L55)),0)</f>
        <v>0</v>
      </c>
      <c r="L98" s="78">
        <f>IF(VALUE(TimeRemaining[#Headers])&lt;='Construction Dashboard'!$F55,IFERROR(VLOOKUP(TimeRemaining[[#This Row],[Time]],Upgrades[],MATCH("T"&amp;TimeRemaining[#Headers],Upgrades[#Headers],0),FALSE),0)*MAX(0,SUM('Construction Dashboard'!$G55:M55)),0)</f>
        <v>0</v>
      </c>
      <c r="M98" s="78">
        <f>IF(VALUE(TimeRemaining[#Headers])&lt;='Construction Dashboard'!$F55,IFERROR(VLOOKUP(TimeRemaining[[#This Row],[Time]],Upgrades[],MATCH("T"&amp;TimeRemaining[#Headers],Upgrades[#Headers],0),FALSE),0)*MAX(0,SUM('Construction Dashboard'!$G55:N55)),0)</f>
        <v>0</v>
      </c>
      <c r="N98" s="78">
        <f>IF(VALUE(TimeRemaining[#Headers])&lt;='Construction Dashboard'!$F55,IFERROR(VLOOKUP(TimeRemaining[[#This Row],[Time]],Upgrades[],MATCH("T"&amp;TimeRemaining[#Headers],Upgrades[#Headers],0),FALSE),0)*MAX(0,SUM('Construction Dashboard'!$G55:O55)),0)</f>
        <v>0</v>
      </c>
      <c r="O98" s="78">
        <f>IF(VALUE(TimeRemaining[#Headers])&lt;='Construction Dashboard'!$F55,IFERROR(VLOOKUP(TimeRemaining[[#This Row],[Time]],Upgrades[],MATCH("T"&amp;TimeRemaining[#Headers],Upgrades[#Headers],0),FALSE),0)*MAX(0,SUM('Construction Dashboard'!$G55:P55)),0)</f>
        <v>0</v>
      </c>
      <c r="P98" s="78">
        <f>IF(VALUE(TimeRemaining[#Headers])&lt;='Construction Dashboard'!$F55,IFERROR(VLOOKUP(TimeRemaining[[#This Row],[Time]],Upgrades[],MATCH("T"&amp;TimeRemaining[#Headers],Upgrades[#Headers],0),FALSE),0)*MAX(0,SUM('Construction Dashboard'!$G55:Q55)),0)</f>
        <v>0</v>
      </c>
      <c r="Q98" s="78">
        <f>IF(VALUE(TimeRemaining[#Headers])&lt;='Construction Dashboard'!$F55,IFERROR(VLOOKUP(TimeRemaining[[#This Row],[Time]],Upgrades[],MATCH("T"&amp;TimeRemaining[#Headers],Upgrades[#Headers],0),FALSE),0)*MAX(0,SUM('Construction Dashboard'!$G55:R55)),0)</f>
        <v>0</v>
      </c>
      <c r="R98" s="78">
        <f>IF(TimeRemaining[[#This Row],[MatchStr]]="IGNORE",0,SUM(TimeRemaining[[#This Row],[1]:[12]]))</f>
        <v>0</v>
      </c>
    </row>
    <row r="99" spans="1:18">
      <c r="A99" s="26" t="s">
        <v>86</v>
      </c>
      <c r="B99" s="73" t="str">
        <f>VLOOKUP(TimeRemaining[[#This Row],[Time]],Upgrades[],2,FALSE)</f>
        <v>Upgrade</v>
      </c>
      <c r="C99" s="73" t="str">
        <f>VLOOKUP(TimeRemaining[[#This Row],[Time]],Upgrades[],3,FALSE)</f>
        <v>Elixir</v>
      </c>
      <c r="D99" s="172" t="str">
        <f>IF((IFERROR(MATCH(TimeRemaining[[#This Row],[Time]],'Construction Dashboard'!$P$19:$S$19,0),0)+IFERROR(MATCH(TimeRemaining[[#This Row],[Time]],'Construction Dashboard'!$P$20:$S$20,0),0))&gt;0,"IGNORE",TimeRemaining[Kind]&amp;"-"&amp;TimeRemaining[Resource])</f>
        <v>Upgrade-Elixir</v>
      </c>
      <c r="E99" s="71" t="str">
        <f>IFERROR(VLOOKUP(TimeRemaining[[#This Row],[Time]],Upgrades[],MATCH("T"&amp;MATCH(TRUE,INDEX(TimeRemaining[[#This Row],[1]:[12]]&lt;&gt;0,),0),Upgrades[#Headers],0),FALSE),"")</f>
        <v/>
      </c>
      <c r="F99" s="78">
        <f>IF(VALUE(TimeRemaining[#Headers])&lt;='Construction Dashboard'!$F56,IFERROR(VLOOKUP(TimeRemaining[[#This Row],[Time]],Upgrades[],MATCH("T"&amp;TimeRemaining[#Headers],Upgrades[#Headers],0),FALSE),0)*MAX(0,SUM('Construction Dashboard'!$G56:G56)),0)</f>
        <v>0</v>
      </c>
      <c r="G99" s="78">
        <f>IF(VALUE(TimeRemaining[#Headers])&lt;='Construction Dashboard'!$F56,IFERROR(VLOOKUP(TimeRemaining[[#This Row],[Time]],Upgrades[],MATCH("T"&amp;TimeRemaining[#Headers],Upgrades[#Headers],0),FALSE),0)*MAX(0,SUM('Construction Dashboard'!$G56:H56)),0)</f>
        <v>0</v>
      </c>
      <c r="H99" s="78">
        <f>IF(VALUE(TimeRemaining[#Headers])&lt;='Construction Dashboard'!$F56,IFERROR(VLOOKUP(TimeRemaining[[#This Row],[Time]],Upgrades[],MATCH("T"&amp;TimeRemaining[#Headers],Upgrades[#Headers],0),FALSE),0)*MAX(0,SUM('Construction Dashboard'!$G56:I56)),0)</f>
        <v>0</v>
      </c>
      <c r="I99" s="78">
        <f>IF(VALUE(TimeRemaining[#Headers])&lt;='Construction Dashboard'!$F56,IFERROR(VLOOKUP(TimeRemaining[[#This Row],[Time]],Upgrades[],MATCH("T"&amp;TimeRemaining[#Headers],Upgrades[#Headers],0),FALSE),0)*MAX(0,SUM('Construction Dashboard'!$G56:J56)),0)</f>
        <v>0</v>
      </c>
      <c r="J99" s="78">
        <f>IF(VALUE(TimeRemaining[#Headers])&lt;='Construction Dashboard'!$F56,IFERROR(VLOOKUP(TimeRemaining[[#This Row],[Time]],Upgrades[],MATCH("T"&amp;TimeRemaining[#Headers],Upgrades[#Headers],0),FALSE),0)*MAX(0,SUM('Construction Dashboard'!$G56:K56)),0)</f>
        <v>0</v>
      </c>
      <c r="K99" s="78">
        <f>IF(VALUE(TimeRemaining[#Headers])&lt;='Construction Dashboard'!$F56,IFERROR(VLOOKUP(TimeRemaining[[#This Row],[Time]],Upgrades[],MATCH("T"&amp;TimeRemaining[#Headers],Upgrades[#Headers],0),FALSE),0)*MAX(0,SUM('Construction Dashboard'!$G56:L56)),0)</f>
        <v>0</v>
      </c>
      <c r="L99" s="78">
        <f>IF(VALUE(TimeRemaining[#Headers])&lt;='Construction Dashboard'!$F56,IFERROR(VLOOKUP(TimeRemaining[[#This Row],[Time]],Upgrades[],MATCH("T"&amp;TimeRemaining[#Headers],Upgrades[#Headers],0),FALSE),0)*MAX(0,SUM('Construction Dashboard'!$G56:M56)),0)</f>
        <v>0</v>
      </c>
      <c r="M99" s="78">
        <f>IF(VALUE(TimeRemaining[#Headers])&lt;='Construction Dashboard'!$F56,IFERROR(VLOOKUP(TimeRemaining[[#This Row],[Time]],Upgrades[],MATCH("T"&amp;TimeRemaining[#Headers],Upgrades[#Headers],0),FALSE),0)*MAX(0,SUM('Construction Dashboard'!$G56:N56)),0)</f>
        <v>0</v>
      </c>
      <c r="N99" s="78">
        <f>IF(VALUE(TimeRemaining[#Headers])&lt;='Construction Dashboard'!$F56,IFERROR(VLOOKUP(TimeRemaining[[#This Row],[Time]],Upgrades[],MATCH("T"&amp;TimeRemaining[#Headers],Upgrades[#Headers],0),FALSE),0)*MAX(0,SUM('Construction Dashboard'!$G56:O56)),0)</f>
        <v>0</v>
      </c>
      <c r="O99" s="78">
        <f>IF(VALUE(TimeRemaining[#Headers])&lt;='Construction Dashboard'!$F56,IFERROR(VLOOKUP(TimeRemaining[[#This Row],[Time]],Upgrades[],MATCH("T"&amp;TimeRemaining[#Headers],Upgrades[#Headers],0),FALSE),0)*MAX(0,SUM('Construction Dashboard'!$G56:P56)),0)</f>
        <v>0</v>
      </c>
      <c r="P99" s="78">
        <f>IF(VALUE(TimeRemaining[#Headers])&lt;='Construction Dashboard'!$F56,IFERROR(VLOOKUP(TimeRemaining[[#This Row],[Time]],Upgrades[],MATCH("T"&amp;TimeRemaining[#Headers],Upgrades[#Headers],0),FALSE),0)*MAX(0,SUM('Construction Dashboard'!$G56:Q56)),0)</f>
        <v>0</v>
      </c>
      <c r="Q99" s="78">
        <f>IF(VALUE(TimeRemaining[#Headers])&lt;='Construction Dashboard'!$F56,IFERROR(VLOOKUP(TimeRemaining[[#This Row],[Time]],Upgrades[],MATCH("T"&amp;TimeRemaining[#Headers],Upgrades[#Headers],0),FALSE),0)*MAX(0,SUM('Construction Dashboard'!$G56:R56)),0)</f>
        <v>0</v>
      </c>
      <c r="R99" s="78">
        <f>IF(TimeRemaining[[#This Row],[MatchStr]]="IGNORE",0,SUM(TimeRemaining[[#This Row],[1]:[12]]))</f>
        <v>0</v>
      </c>
    </row>
    <row r="100" spans="1:18">
      <c r="A100" s="26" t="s">
        <v>87</v>
      </c>
      <c r="B100" s="73" t="str">
        <f>VLOOKUP(TimeRemaining[[#This Row],[Time]],Upgrades[],2,FALSE)</f>
        <v>Upgrade</v>
      </c>
      <c r="C100" s="73" t="str">
        <f>VLOOKUP(TimeRemaining[[#This Row],[Time]],Upgrades[],3,FALSE)</f>
        <v>Elixir</v>
      </c>
      <c r="D100" s="172" t="str">
        <f>IF((IFERROR(MATCH(TimeRemaining[[#This Row],[Time]],'Construction Dashboard'!$P$19:$S$19,0),0)+IFERROR(MATCH(TimeRemaining[[#This Row],[Time]],'Construction Dashboard'!$P$20:$S$20,0),0))&gt;0,"IGNORE",TimeRemaining[Kind]&amp;"-"&amp;TimeRemaining[Resource])</f>
        <v>Upgrade-Elixir</v>
      </c>
      <c r="E100" s="71" t="str">
        <f>IFERROR(VLOOKUP(TimeRemaining[[#This Row],[Time]],Upgrades[],MATCH("T"&amp;MATCH(TRUE,INDEX(TimeRemaining[[#This Row],[1]:[12]]&lt;&gt;0,),0),Upgrades[#Headers],0),FALSE),"")</f>
        <v/>
      </c>
      <c r="F100" s="78">
        <f>IF(VALUE(TimeRemaining[#Headers])&lt;='Construction Dashboard'!$F57,IFERROR(VLOOKUP(TimeRemaining[[#This Row],[Time]],Upgrades[],MATCH("T"&amp;TimeRemaining[#Headers],Upgrades[#Headers],0),FALSE),0)*MAX(0,SUM('Construction Dashboard'!$G57:G57)),0)</f>
        <v>0</v>
      </c>
      <c r="G100" s="78">
        <f>IF(VALUE(TimeRemaining[#Headers])&lt;='Construction Dashboard'!$F57,IFERROR(VLOOKUP(TimeRemaining[[#This Row],[Time]],Upgrades[],MATCH("T"&amp;TimeRemaining[#Headers],Upgrades[#Headers],0),FALSE),0)*MAX(0,SUM('Construction Dashboard'!$G57:H57)),0)</f>
        <v>0</v>
      </c>
      <c r="H100" s="78">
        <f>IF(VALUE(TimeRemaining[#Headers])&lt;='Construction Dashboard'!$F57,IFERROR(VLOOKUP(TimeRemaining[[#This Row],[Time]],Upgrades[],MATCH("T"&amp;TimeRemaining[#Headers],Upgrades[#Headers],0),FALSE),0)*MAX(0,SUM('Construction Dashboard'!$G57:I57)),0)</f>
        <v>0</v>
      </c>
      <c r="I100" s="78">
        <f>IF(VALUE(TimeRemaining[#Headers])&lt;='Construction Dashboard'!$F57,IFERROR(VLOOKUP(TimeRemaining[[#This Row],[Time]],Upgrades[],MATCH("T"&amp;TimeRemaining[#Headers],Upgrades[#Headers],0),FALSE),0)*MAX(0,SUM('Construction Dashboard'!$G57:J57)),0)</f>
        <v>0</v>
      </c>
      <c r="J100" s="78">
        <f>IF(VALUE(TimeRemaining[#Headers])&lt;='Construction Dashboard'!$F57,IFERROR(VLOOKUP(TimeRemaining[[#This Row],[Time]],Upgrades[],MATCH("T"&amp;TimeRemaining[#Headers],Upgrades[#Headers],0),FALSE),0)*MAX(0,SUM('Construction Dashboard'!$G57:K57)),0)</f>
        <v>0</v>
      </c>
      <c r="K100" s="78">
        <f>IF(VALUE(TimeRemaining[#Headers])&lt;='Construction Dashboard'!$F57,IFERROR(VLOOKUP(TimeRemaining[[#This Row],[Time]],Upgrades[],MATCH("T"&amp;TimeRemaining[#Headers],Upgrades[#Headers],0),FALSE),0)*MAX(0,SUM('Construction Dashboard'!$G57:L57)),0)</f>
        <v>0</v>
      </c>
      <c r="L100" s="78">
        <f>IF(VALUE(TimeRemaining[#Headers])&lt;='Construction Dashboard'!$F57,IFERROR(VLOOKUP(TimeRemaining[[#This Row],[Time]],Upgrades[],MATCH("T"&amp;TimeRemaining[#Headers],Upgrades[#Headers],0),FALSE),0)*MAX(0,SUM('Construction Dashboard'!$G57:M57)),0)</f>
        <v>0</v>
      </c>
      <c r="M100" s="78">
        <f>IF(VALUE(TimeRemaining[#Headers])&lt;='Construction Dashboard'!$F57,IFERROR(VLOOKUP(TimeRemaining[[#This Row],[Time]],Upgrades[],MATCH("T"&amp;TimeRemaining[#Headers],Upgrades[#Headers],0),FALSE),0)*MAX(0,SUM('Construction Dashboard'!$G57:N57)),0)</f>
        <v>0</v>
      </c>
      <c r="N100" s="78">
        <f>IF(VALUE(TimeRemaining[#Headers])&lt;='Construction Dashboard'!$F57,IFERROR(VLOOKUP(TimeRemaining[[#This Row],[Time]],Upgrades[],MATCH("T"&amp;TimeRemaining[#Headers],Upgrades[#Headers],0),FALSE),0)*MAX(0,SUM('Construction Dashboard'!$G57:O57)),0)</f>
        <v>0</v>
      </c>
      <c r="O100" s="78">
        <f>IF(VALUE(TimeRemaining[#Headers])&lt;='Construction Dashboard'!$F57,IFERROR(VLOOKUP(TimeRemaining[[#This Row],[Time]],Upgrades[],MATCH("T"&amp;TimeRemaining[#Headers],Upgrades[#Headers],0),FALSE),0)*MAX(0,SUM('Construction Dashboard'!$G57:P57)),0)</f>
        <v>0</v>
      </c>
      <c r="P100" s="78">
        <f>IF(VALUE(TimeRemaining[#Headers])&lt;='Construction Dashboard'!$F57,IFERROR(VLOOKUP(TimeRemaining[[#This Row],[Time]],Upgrades[],MATCH("T"&amp;TimeRemaining[#Headers],Upgrades[#Headers],0),FALSE),0)*MAX(0,SUM('Construction Dashboard'!$G57:Q57)),0)</f>
        <v>0</v>
      </c>
      <c r="Q100" s="78">
        <f>IF(VALUE(TimeRemaining[#Headers])&lt;='Construction Dashboard'!$F57,IFERROR(VLOOKUP(TimeRemaining[[#This Row],[Time]],Upgrades[],MATCH("T"&amp;TimeRemaining[#Headers],Upgrades[#Headers],0),FALSE),0)*MAX(0,SUM('Construction Dashboard'!$G57:R57)),0)</f>
        <v>0</v>
      </c>
      <c r="R100" s="78">
        <f>IF(TimeRemaining[[#This Row],[MatchStr]]="IGNORE",0,SUM(TimeRemaining[[#This Row],[1]:[12]]))</f>
        <v>0</v>
      </c>
    </row>
    <row r="101" spans="1:18">
      <c r="A101" s="26" t="s">
        <v>88</v>
      </c>
      <c r="B101" s="73" t="str">
        <f>VLOOKUP(TimeRemaining[[#This Row],[Time]],Upgrades[],2,FALSE)</f>
        <v>Upgrade</v>
      </c>
      <c r="C101" s="73" t="str">
        <f>VLOOKUP(TimeRemaining[[#This Row],[Time]],Upgrades[],3,FALSE)</f>
        <v>Elixir</v>
      </c>
      <c r="D101" s="172" t="str">
        <f>IF((IFERROR(MATCH(TimeRemaining[[#This Row],[Time]],'Construction Dashboard'!$P$19:$S$19,0),0)+IFERROR(MATCH(TimeRemaining[[#This Row],[Time]],'Construction Dashboard'!$P$20:$S$20,0),0))&gt;0,"IGNORE",TimeRemaining[Kind]&amp;"-"&amp;TimeRemaining[Resource])</f>
        <v>IGNORE</v>
      </c>
      <c r="E101" s="71">
        <f>IFERROR(VLOOKUP(TimeRemaining[[#This Row],[Time]],Upgrades[],MATCH("T"&amp;MATCH(TRUE,INDEX(TimeRemaining[[#This Row],[1]:[12]]&lt;&gt;0,),0),Upgrades[#Headers],0),FALSE),"")</f>
        <v>2</v>
      </c>
      <c r="F101" s="78">
        <f>IF(VALUE(TimeRemaining[#Headers])&lt;='Construction Dashboard'!$F58,IFERROR(VLOOKUP(TimeRemaining[[#This Row],[Time]],Upgrades[],MATCH("T"&amp;TimeRemaining[#Headers],Upgrades[#Headers],0),FALSE),0)*MAX(0,SUM('Construction Dashboard'!$G58:G58)),0)</f>
        <v>0</v>
      </c>
      <c r="G101" s="78">
        <f>IF(VALUE(TimeRemaining[#Headers])&lt;='Construction Dashboard'!$F58,IFERROR(VLOOKUP(TimeRemaining[[#This Row],[Time]],Upgrades[],MATCH("T"&amp;TimeRemaining[#Headers],Upgrades[#Headers],0),FALSE),0)*MAX(0,SUM('Construction Dashboard'!$G58:H58)),0)</f>
        <v>0</v>
      </c>
      <c r="H101" s="78">
        <f>IF(VALUE(TimeRemaining[#Headers])&lt;='Construction Dashboard'!$F58,IFERROR(VLOOKUP(TimeRemaining[[#This Row],[Time]],Upgrades[],MATCH("T"&amp;TimeRemaining[#Headers],Upgrades[#Headers],0),FALSE),0)*MAX(0,SUM('Construction Dashboard'!$G58:I58)),0)</f>
        <v>2</v>
      </c>
      <c r="I101" s="78">
        <f>IF(VALUE(TimeRemaining[#Headers])&lt;='Construction Dashboard'!$F58,IFERROR(VLOOKUP(TimeRemaining[[#This Row],[Time]],Upgrades[],MATCH("T"&amp;TimeRemaining[#Headers],Upgrades[#Headers],0),FALSE),0)*MAX(0,SUM('Construction Dashboard'!$G58:J58)),0)</f>
        <v>3</v>
      </c>
      <c r="J101" s="78">
        <f>IF(VALUE(TimeRemaining[#Headers])&lt;='Construction Dashboard'!$F58,IFERROR(VLOOKUP(TimeRemaining[[#This Row],[Time]],Upgrades[],MATCH("T"&amp;TimeRemaining[#Headers],Upgrades[#Headers],0),FALSE),0)*MAX(0,SUM('Construction Dashboard'!$G58:K58)),0)</f>
        <v>0</v>
      </c>
      <c r="K101" s="78">
        <f>IF(VALUE(TimeRemaining[#Headers])&lt;='Construction Dashboard'!$F58,IFERROR(VLOOKUP(TimeRemaining[[#This Row],[Time]],Upgrades[],MATCH("T"&amp;TimeRemaining[#Headers],Upgrades[#Headers],0),FALSE),0)*MAX(0,SUM('Construction Dashboard'!$G58:L58)),0)</f>
        <v>0</v>
      </c>
      <c r="L101" s="78">
        <f>IF(VALUE(TimeRemaining[#Headers])&lt;='Construction Dashboard'!$F58,IFERROR(VLOOKUP(TimeRemaining[[#This Row],[Time]],Upgrades[],MATCH("T"&amp;TimeRemaining[#Headers],Upgrades[#Headers],0),FALSE),0)*MAX(0,SUM('Construction Dashboard'!$G58:M58)),0)</f>
        <v>0</v>
      </c>
      <c r="M101" s="78">
        <f>IF(VALUE(TimeRemaining[#Headers])&lt;='Construction Dashboard'!$F58,IFERROR(VLOOKUP(TimeRemaining[[#This Row],[Time]],Upgrades[],MATCH("T"&amp;TimeRemaining[#Headers],Upgrades[#Headers],0),FALSE),0)*MAX(0,SUM('Construction Dashboard'!$G58:N58)),0)</f>
        <v>0</v>
      </c>
      <c r="N101" s="78">
        <f>IF(VALUE(TimeRemaining[#Headers])&lt;='Construction Dashboard'!$F58,IFERROR(VLOOKUP(TimeRemaining[[#This Row],[Time]],Upgrades[],MATCH("T"&amp;TimeRemaining[#Headers],Upgrades[#Headers],0),FALSE),0)*MAX(0,SUM('Construction Dashboard'!$G58:O58)),0)</f>
        <v>0</v>
      </c>
      <c r="O101" s="78">
        <f>IF(VALUE(TimeRemaining[#Headers])&lt;='Construction Dashboard'!$F58,IFERROR(VLOOKUP(TimeRemaining[[#This Row],[Time]],Upgrades[],MATCH("T"&amp;TimeRemaining[#Headers],Upgrades[#Headers],0),FALSE),0)*MAX(0,SUM('Construction Dashboard'!$G58:P58)),0)</f>
        <v>0</v>
      </c>
      <c r="P101" s="78">
        <f>IF(VALUE(TimeRemaining[#Headers])&lt;='Construction Dashboard'!$F58,IFERROR(VLOOKUP(TimeRemaining[[#This Row],[Time]],Upgrades[],MATCH("T"&amp;TimeRemaining[#Headers],Upgrades[#Headers],0),FALSE),0)*MAX(0,SUM('Construction Dashboard'!$G58:Q58)),0)</f>
        <v>0</v>
      </c>
      <c r="Q101" s="78">
        <f>IF(VALUE(TimeRemaining[#Headers])&lt;='Construction Dashboard'!$F58,IFERROR(VLOOKUP(TimeRemaining[[#This Row],[Time]],Upgrades[],MATCH("T"&amp;TimeRemaining[#Headers],Upgrades[#Headers],0),FALSE),0)*MAX(0,SUM('Construction Dashboard'!$G58:R58)),0)</f>
        <v>0</v>
      </c>
      <c r="R101" s="78">
        <f>IF(TimeRemaining[[#This Row],[MatchStr]]="IGNORE",0,SUM(TimeRemaining[[#This Row],[1]:[12]]))</f>
        <v>0</v>
      </c>
    </row>
    <row r="102" spans="1:18">
      <c r="A102" s="26" t="s">
        <v>89</v>
      </c>
      <c r="B102" s="73" t="str">
        <f>VLOOKUP(TimeRemaining[[#This Row],[Time]],Upgrades[],2,FALSE)</f>
        <v>Upgrade</v>
      </c>
      <c r="C102" s="73" t="str">
        <f>VLOOKUP(TimeRemaining[[#This Row],[Time]],Upgrades[],3,FALSE)</f>
        <v>Elixir</v>
      </c>
      <c r="D102" s="172" t="str">
        <f>IF((IFERROR(MATCH(TimeRemaining[[#This Row],[Time]],'Construction Dashboard'!$P$19:$S$19,0),0)+IFERROR(MATCH(TimeRemaining[[#This Row],[Time]],'Construction Dashboard'!$P$20:$S$20,0),0))&gt;0,"IGNORE",TimeRemaining[Kind]&amp;"-"&amp;TimeRemaining[Resource])</f>
        <v>Upgrade-Elixir</v>
      </c>
      <c r="E102" s="71">
        <f>IFERROR(VLOOKUP(TimeRemaining[[#This Row],[Time]],Upgrades[],MATCH("T"&amp;MATCH(TRUE,INDEX(TimeRemaining[[#This Row],[1]:[12]]&lt;&gt;0,),0),Upgrades[#Headers],0),FALSE),"")</f>
        <v>3</v>
      </c>
      <c r="F102" s="78">
        <f>IF(VALUE(TimeRemaining[#Headers])&lt;='Construction Dashboard'!$F59,IFERROR(VLOOKUP(TimeRemaining[[#This Row],[Time]],Upgrades[],MATCH("T"&amp;TimeRemaining[#Headers],Upgrades[#Headers],0),FALSE),0)*MAX(0,SUM('Construction Dashboard'!$G59:G59)),0)</f>
        <v>0</v>
      </c>
      <c r="G102" s="78">
        <f>IF(VALUE(TimeRemaining[#Headers])&lt;='Construction Dashboard'!$F59,IFERROR(VLOOKUP(TimeRemaining[[#This Row],[Time]],Upgrades[],MATCH("T"&amp;TimeRemaining[#Headers],Upgrades[#Headers],0),FALSE),0)*MAX(0,SUM('Construction Dashboard'!$G59:H59)),0)</f>
        <v>0</v>
      </c>
      <c r="H102" s="78">
        <f>IF(VALUE(TimeRemaining[#Headers])&lt;='Construction Dashboard'!$F59,IFERROR(VLOOKUP(TimeRemaining[[#This Row],[Time]],Upgrades[],MATCH("T"&amp;TimeRemaining[#Headers],Upgrades[#Headers],0),FALSE),0)*MAX(0,SUM('Construction Dashboard'!$G59:I59)),0)</f>
        <v>0</v>
      </c>
      <c r="I102" s="78">
        <f>IF(VALUE(TimeRemaining[#Headers])&lt;='Construction Dashboard'!$F59,IFERROR(VLOOKUP(TimeRemaining[[#This Row],[Time]],Upgrades[],MATCH("T"&amp;TimeRemaining[#Headers],Upgrades[#Headers],0),FALSE),0)*MAX(0,SUM('Construction Dashboard'!$G59:J59)),0)</f>
        <v>3</v>
      </c>
      <c r="J102" s="78">
        <f>IF(VALUE(TimeRemaining[#Headers])&lt;='Construction Dashboard'!$F59,IFERROR(VLOOKUP(TimeRemaining[[#This Row],[Time]],Upgrades[],MATCH("T"&amp;TimeRemaining[#Headers],Upgrades[#Headers],0),FALSE),0)*MAX(0,SUM('Construction Dashboard'!$G59:K59)),0)</f>
        <v>0</v>
      </c>
      <c r="K102" s="78">
        <f>IF(VALUE(TimeRemaining[#Headers])&lt;='Construction Dashboard'!$F59,IFERROR(VLOOKUP(TimeRemaining[[#This Row],[Time]],Upgrades[],MATCH("T"&amp;TimeRemaining[#Headers],Upgrades[#Headers],0),FALSE),0)*MAX(0,SUM('Construction Dashboard'!$G59:L59)),0)</f>
        <v>0</v>
      </c>
      <c r="L102" s="78">
        <f>IF(VALUE(TimeRemaining[#Headers])&lt;='Construction Dashboard'!$F59,IFERROR(VLOOKUP(TimeRemaining[[#This Row],[Time]],Upgrades[],MATCH("T"&amp;TimeRemaining[#Headers],Upgrades[#Headers],0),FALSE),0)*MAX(0,SUM('Construction Dashboard'!$G59:M59)),0)</f>
        <v>0</v>
      </c>
      <c r="M102" s="78">
        <f>IF(VALUE(TimeRemaining[#Headers])&lt;='Construction Dashboard'!$F59,IFERROR(VLOOKUP(TimeRemaining[[#This Row],[Time]],Upgrades[],MATCH("T"&amp;TimeRemaining[#Headers],Upgrades[#Headers],0),FALSE),0)*MAX(0,SUM('Construction Dashboard'!$G59:N59)),0)</f>
        <v>0</v>
      </c>
      <c r="N102" s="78">
        <f>IF(VALUE(TimeRemaining[#Headers])&lt;='Construction Dashboard'!$F59,IFERROR(VLOOKUP(TimeRemaining[[#This Row],[Time]],Upgrades[],MATCH("T"&amp;TimeRemaining[#Headers],Upgrades[#Headers],0),FALSE),0)*MAX(0,SUM('Construction Dashboard'!$G59:O59)),0)</f>
        <v>0</v>
      </c>
      <c r="O102" s="78">
        <f>IF(VALUE(TimeRemaining[#Headers])&lt;='Construction Dashboard'!$F59,IFERROR(VLOOKUP(TimeRemaining[[#This Row],[Time]],Upgrades[],MATCH("T"&amp;TimeRemaining[#Headers],Upgrades[#Headers],0),FALSE),0)*MAX(0,SUM('Construction Dashboard'!$G59:P59)),0)</f>
        <v>0</v>
      </c>
      <c r="P102" s="78">
        <f>IF(VALUE(TimeRemaining[#Headers])&lt;='Construction Dashboard'!$F59,IFERROR(VLOOKUP(TimeRemaining[[#This Row],[Time]],Upgrades[],MATCH("T"&amp;TimeRemaining[#Headers],Upgrades[#Headers],0),FALSE),0)*MAX(0,SUM('Construction Dashboard'!$G59:Q59)),0)</f>
        <v>0</v>
      </c>
      <c r="Q102" s="78">
        <f>IF(VALUE(TimeRemaining[#Headers])&lt;='Construction Dashboard'!$F59,IFERROR(VLOOKUP(TimeRemaining[[#This Row],[Time]],Upgrades[],MATCH("T"&amp;TimeRemaining[#Headers],Upgrades[#Headers],0),FALSE),0)*MAX(0,SUM('Construction Dashboard'!$G59:R59)),0)</f>
        <v>0</v>
      </c>
      <c r="R102" s="78">
        <f>IF(TimeRemaining[[#This Row],[MatchStr]]="IGNORE",0,SUM(TimeRemaining[[#This Row],[1]:[12]]))</f>
        <v>3</v>
      </c>
    </row>
    <row r="103" spans="1:18">
      <c r="A103" s="26" t="s">
        <v>90</v>
      </c>
      <c r="B103" s="73" t="str">
        <f>VLOOKUP(TimeRemaining[[#This Row],[Time]],Upgrades[],2,FALSE)</f>
        <v>Upgrade</v>
      </c>
      <c r="C103" s="73" t="str">
        <f>VLOOKUP(TimeRemaining[[#This Row],[Time]],Upgrades[],3,FALSE)</f>
        <v>Elixir</v>
      </c>
      <c r="D103" s="172" t="str">
        <f>IF((IFERROR(MATCH(TimeRemaining[[#This Row],[Time]],'Construction Dashboard'!$P$19:$S$19,0),0)+IFERROR(MATCH(TimeRemaining[[#This Row],[Time]],'Construction Dashboard'!$P$20:$S$20,0),0))&gt;0,"IGNORE",TimeRemaining[Kind]&amp;"-"&amp;TimeRemaining[Resource])</f>
        <v>Upgrade-Elixir</v>
      </c>
      <c r="E103" s="71" t="str">
        <f>IFERROR(VLOOKUP(TimeRemaining[[#This Row],[Time]],Upgrades[],MATCH("T"&amp;MATCH(TRUE,INDEX(TimeRemaining[[#This Row],[1]:[12]]&lt;&gt;0,),0),Upgrades[#Headers],0),FALSE),"")</f>
        <v/>
      </c>
      <c r="F103" s="78">
        <f>IF(VALUE(TimeRemaining[#Headers])&lt;='Construction Dashboard'!$F60,IFERROR(VLOOKUP(TimeRemaining[[#This Row],[Time]],Upgrades[],MATCH("T"&amp;TimeRemaining[#Headers],Upgrades[#Headers],0),FALSE),0)*MAX(0,SUM('Construction Dashboard'!$G60:G60)),0)</f>
        <v>0</v>
      </c>
      <c r="G103" s="78">
        <f>IF(VALUE(TimeRemaining[#Headers])&lt;='Construction Dashboard'!$F60,IFERROR(VLOOKUP(TimeRemaining[[#This Row],[Time]],Upgrades[],MATCH("T"&amp;TimeRemaining[#Headers],Upgrades[#Headers],0),FALSE),0)*MAX(0,SUM('Construction Dashboard'!$G60:H60)),0)</f>
        <v>0</v>
      </c>
      <c r="H103" s="78">
        <f>IF(VALUE(TimeRemaining[#Headers])&lt;='Construction Dashboard'!$F60,IFERROR(VLOOKUP(TimeRemaining[[#This Row],[Time]],Upgrades[],MATCH("T"&amp;TimeRemaining[#Headers],Upgrades[#Headers],0),FALSE),0)*MAX(0,SUM('Construction Dashboard'!$G60:I60)),0)</f>
        <v>0</v>
      </c>
      <c r="I103" s="78">
        <f>IF(VALUE(TimeRemaining[#Headers])&lt;='Construction Dashboard'!$F60,IFERROR(VLOOKUP(TimeRemaining[[#This Row],[Time]],Upgrades[],MATCH("T"&amp;TimeRemaining[#Headers],Upgrades[#Headers],0),FALSE),0)*MAX(0,SUM('Construction Dashboard'!$G60:J60)),0)</f>
        <v>0</v>
      </c>
      <c r="J103" s="78">
        <f>IF(VALUE(TimeRemaining[#Headers])&lt;='Construction Dashboard'!$F60,IFERROR(VLOOKUP(TimeRemaining[[#This Row],[Time]],Upgrades[],MATCH("T"&amp;TimeRemaining[#Headers],Upgrades[#Headers],0),FALSE),0)*MAX(0,SUM('Construction Dashboard'!$G60:K60)),0)</f>
        <v>0</v>
      </c>
      <c r="K103" s="78">
        <f>IF(VALUE(TimeRemaining[#Headers])&lt;='Construction Dashboard'!$F60,IFERROR(VLOOKUP(TimeRemaining[[#This Row],[Time]],Upgrades[],MATCH("T"&amp;TimeRemaining[#Headers],Upgrades[#Headers],0),FALSE),0)*MAX(0,SUM('Construction Dashboard'!$G60:L60)),0)</f>
        <v>0</v>
      </c>
      <c r="L103" s="78">
        <f>IF(VALUE(TimeRemaining[#Headers])&lt;='Construction Dashboard'!$F60,IFERROR(VLOOKUP(TimeRemaining[[#This Row],[Time]],Upgrades[],MATCH("T"&amp;TimeRemaining[#Headers],Upgrades[#Headers],0),FALSE),0)*MAX(0,SUM('Construction Dashboard'!$G60:M60)),0)</f>
        <v>0</v>
      </c>
      <c r="M103" s="78">
        <f>IF(VALUE(TimeRemaining[#Headers])&lt;='Construction Dashboard'!$F60,IFERROR(VLOOKUP(TimeRemaining[[#This Row],[Time]],Upgrades[],MATCH("T"&amp;TimeRemaining[#Headers],Upgrades[#Headers],0),FALSE),0)*MAX(0,SUM('Construction Dashboard'!$G60:N60)),0)</f>
        <v>0</v>
      </c>
      <c r="N103" s="78">
        <f>IF(VALUE(TimeRemaining[#Headers])&lt;='Construction Dashboard'!$F60,IFERROR(VLOOKUP(TimeRemaining[[#This Row],[Time]],Upgrades[],MATCH("T"&amp;TimeRemaining[#Headers],Upgrades[#Headers],0),FALSE),0)*MAX(0,SUM('Construction Dashboard'!$G60:O60)),0)</f>
        <v>0</v>
      </c>
      <c r="O103" s="78">
        <f>IF(VALUE(TimeRemaining[#Headers])&lt;='Construction Dashboard'!$F60,IFERROR(VLOOKUP(TimeRemaining[[#This Row],[Time]],Upgrades[],MATCH("T"&amp;TimeRemaining[#Headers],Upgrades[#Headers],0),FALSE),0)*MAX(0,SUM('Construction Dashboard'!$G60:P60)),0)</f>
        <v>0</v>
      </c>
      <c r="P103" s="78">
        <f>IF(VALUE(TimeRemaining[#Headers])&lt;='Construction Dashboard'!$F60,IFERROR(VLOOKUP(TimeRemaining[[#This Row],[Time]],Upgrades[],MATCH("T"&amp;TimeRemaining[#Headers],Upgrades[#Headers],0),FALSE),0)*MAX(0,SUM('Construction Dashboard'!$G60:Q60)),0)</f>
        <v>0</v>
      </c>
      <c r="Q103" s="78">
        <f>IF(VALUE(TimeRemaining[#Headers])&lt;='Construction Dashboard'!$F60,IFERROR(VLOOKUP(TimeRemaining[[#This Row],[Time]],Upgrades[],MATCH("T"&amp;TimeRemaining[#Headers],Upgrades[#Headers],0),FALSE),0)*MAX(0,SUM('Construction Dashboard'!$G60:R60)),0)</f>
        <v>0</v>
      </c>
      <c r="R103" s="78">
        <f>IF(TimeRemaining[[#This Row],[MatchStr]]="IGNORE",0,SUM(TimeRemaining[[#This Row],[1]:[12]]))</f>
        <v>0</v>
      </c>
    </row>
    <row r="104" spans="1:18">
      <c r="A104" s="26" t="s">
        <v>91</v>
      </c>
      <c r="B104" s="73" t="str">
        <f>VLOOKUP(TimeRemaining[[#This Row],[Time]],Upgrades[],2,FALSE)</f>
        <v>Upgrade</v>
      </c>
      <c r="C104" s="73" t="str">
        <f>VLOOKUP(TimeRemaining[[#This Row],[Time]],Upgrades[],3,FALSE)</f>
        <v>Elixir</v>
      </c>
      <c r="D104" s="172" t="str">
        <f>IF((IFERROR(MATCH(TimeRemaining[[#This Row],[Time]],'Construction Dashboard'!$P$19:$S$19,0),0)+IFERROR(MATCH(TimeRemaining[[#This Row],[Time]],'Construction Dashboard'!$P$20:$S$20,0),0))&gt;0,"IGNORE",TimeRemaining[Kind]&amp;"-"&amp;TimeRemaining[Resource])</f>
        <v>Upgrade-Elixir</v>
      </c>
      <c r="E104" s="71">
        <f>IFERROR(VLOOKUP(TimeRemaining[[#This Row],[Time]],Upgrades[],MATCH("T"&amp;MATCH(TRUE,INDEX(TimeRemaining[[#This Row],[1]:[12]]&lt;&gt;0,),0),Upgrades[#Headers],0),FALSE),"")</f>
        <v>7</v>
      </c>
      <c r="F104" s="78">
        <f>IF(VALUE(TimeRemaining[#Headers])&lt;='Construction Dashboard'!$F61,IFERROR(VLOOKUP(TimeRemaining[[#This Row],[Time]],Upgrades[],MATCH("T"&amp;TimeRemaining[#Headers],Upgrades[#Headers],0),FALSE),0)*MAX(0,SUM('Construction Dashboard'!$G61:G61)),0)</f>
        <v>0</v>
      </c>
      <c r="G104" s="78">
        <f>IF(VALUE(TimeRemaining[#Headers])&lt;='Construction Dashboard'!$F61,IFERROR(VLOOKUP(TimeRemaining[[#This Row],[Time]],Upgrades[],MATCH("T"&amp;TimeRemaining[#Headers],Upgrades[#Headers],0),FALSE),0)*MAX(0,SUM('Construction Dashboard'!$G61:H61)),0)</f>
        <v>7</v>
      </c>
      <c r="H104" s="78">
        <f>IF(VALUE(TimeRemaining[#Headers])&lt;='Construction Dashboard'!$F61,IFERROR(VLOOKUP(TimeRemaining[[#This Row],[Time]],Upgrades[],MATCH("T"&amp;TimeRemaining[#Headers],Upgrades[#Headers],0),FALSE),0)*MAX(0,SUM('Construction Dashboard'!$G61:I61)),0)</f>
        <v>0</v>
      </c>
      <c r="I104" s="78">
        <f>IF(VALUE(TimeRemaining[#Headers])&lt;='Construction Dashboard'!$F61,IFERROR(VLOOKUP(TimeRemaining[[#This Row],[Time]],Upgrades[],MATCH("T"&amp;TimeRemaining[#Headers],Upgrades[#Headers],0),FALSE),0)*MAX(0,SUM('Construction Dashboard'!$G61:J61)),0)</f>
        <v>0</v>
      </c>
      <c r="J104" s="78">
        <f>IF(VALUE(TimeRemaining[#Headers])&lt;='Construction Dashboard'!$F61,IFERROR(VLOOKUP(TimeRemaining[[#This Row],[Time]],Upgrades[],MATCH("T"&amp;TimeRemaining[#Headers],Upgrades[#Headers],0),FALSE),0)*MAX(0,SUM('Construction Dashboard'!$G61:K61)),0)</f>
        <v>0</v>
      </c>
      <c r="K104" s="78">
        <f>IF(VALUE(TimeRemaining[#Headers])&lt;='Construction Dashboard'!$F61,IFERROR(VLOOKUP(TimeRemaining[[#This Row],[Time]],Upgrades[],MATCH("T"&amp;TimeRemaining[#Headers],Upgrades[#Headers],0),FALSE),0)*MAX(0,SUM('Construction Dashboard'!$G61:L61)),0)</f>
        <v>0</v>
      </c>
      <c r="L104" s="78">
        <f>IF(VALUE(TimeRemaining[#Headers])&lt;='Construction Dashboard'!$F61,IFERROR(VLOOKUP(TimeRemaining[[#This Row],[Time]],Upgrades[],MATCH("T"&amp;TimeRemaining[#Headers],Upgrades[#Headers],0),FALSE),0)*MAX(0,SUM('Construction Dashboard'!$G61:M61)),0)</f>
        <v>0</v>
      </c>
      <c r="M104" s="78">
        <f>IF(VALUE(TimeRemaining[#Headers])&lt;='Construction Dashboard'!$F61,IFERROR(VLOOKUP(TimeRemaining[[#This Row],[Time]],Upgrades[],MATCH("T"&amp;TimeRemaining[#Headers],Upgrades[#Headers],0),FALSE),0)*MAX(0,SUM('Construction Dashboard'!$G61:N61)),0)</f>
        <v>0</v>
      </c>
      <c r="N104" s="78">
        <f>IF(VALUE(TimeRemaining[#Headers])&lt;='Construction Dashboard'!$F61,IFERROR(VLOOKUP(TimeRemaining[[#This Row],[Time]],Upgrades[],MATCH("T"&amp;TimeRemaining[#Headers],Upgrades[#Headers],0),FALSE),0)*MAX(0,SUM('Construction Dashboard'!$G61:O61)),0)</f>
        <v>0</v>
      </c>
      <c r="O104" s="78">
        <f>IF(VALUE(TimeRemaining[#Headers])&lt;='Construction Dashboard'!$F61,IFERROR(VLOOKUP(TimeRemaining[[#This Row],[Time]],Upgrades[],MATCH("T"&amp;TimeRemaining[#Headers],Upgrades[#Headers],0),FALSE),0)*MAX(0,SUM('Construction Dashboard'!$G61:P61)),0)</f>
        <v>0</v>
      </c>
      <c r="P104" s="78">
        <f>IF(VALUE(TimeRemaining[#Headers])&lt;='Construction Dashboard'!$F61,IFERROR(VLOOKUP(TimeRemaining[[#This Row],[Time]],Upgrades[],MATCH("T"&amp;TimeRemaining[#Headers],Upgrades[#Headers],0),FALSE),0)*MAX(0,SUM('Construction Dashboard'!$G61:Q61)),0)</f>
        <v>0</v>
      </c>
      <c r="Q104" s="78">
        <f>IF(VALUE(TimeRemaining[#Headers])&lt;='Construction Dashboard'!$F61,IFERROR(VLOOKUP(TimeRemaining[[#This Row],[Time]],Upgrades[],MATCH("T"&amp;TimeRemaining[#Headers],Upgrades[#Headers],0),FALSE),0)*MAX(0,SUM('Construction Dashboard'!$G61:R61)),0)</f>
        <v>0</v>
      </c>
      <c r="R104" s="78">
        <f>IF(TimeRemaining[[#This Row],[MatchStr]]="IGNORE",0,SUM(TimeRemaining[[#This Row],[1]:[12]]))</f>
        <v>7</v>
      </c>
    </row>
    <row r="105" spans="1:18">
      <c r="A105" s="26" t="s">
        <v>92</v>
      </c>
      <c r="B105" s="73" t="str">
        <f>VLOOKUP(TimeRemaining[[#This Row],[Time]],Upgrades[],2,FALSE)</f>
        <v>Upgrade</v>
      </c>
      <c r="C105" s="73" t="str">
        <f>VLOOKUP(TimeRemaining[[#This Row],[Time]],Upgrades[],3,FALSE)</f>
        <v>Elixir</v>
      </c>
      <c r="D105" s="172" t="str">
        <f>IF((IFERROR(MATCH(TimeRemaining[[#This Row],[Time]],'Construction Dashboard'!$P$19:$S$19,0),0)+IFERROR(MATCH(TimeRemaining[[#This Row],[Time]],'Construction Dashboard'!$P$20:$S$20,0),0))&gt;0,"IGNORE",TimeRemaining[Kind]&amp;"-"&amp;TimeRemaining[Resource])</f>
        <v>Upgrade-Elixir</v>
      </c>
      <c r="E105" s="71" t="str">
        <f>IFERROR(VLOOKUP(TimeRemaining[[#This Row],[Time]],Upgrades[],MATCH("T"&amp;MATCH(TRUE,INDEX(TimeRemaining[[#This Row],[1]:[12]]&lt;&gt;0,),0),Upgrades[#Headers],0),FALSE),"")</f>
        <v/>
      </c>
      <c r="F105" s="78">
        <f>IF(VALUE(TimeRemaining[#Headers])&lt;='Construction Dashboard'!$F62,IFERROR(VLOOKUP(TimeRemaining[[#This Row],[Time]],Upgrades[],MATCH("T"&amp;TimeRemaining[#Headers],Upgrades[#Headers],0),FALSE),0)*MAX(0,SUM('Construction Dashboard'!$G62:G62)),0)</f>
        <v>0</v>
      </c>
      <c r="G105" s="78">
        <f>IF(VALUE(TimeRemaining[#Headers])&lt;='Construction Dashboard'!$F62,IFERROR(VLOOKUP(TimeRemaining[[#This Row],[Time]],Upgrades[],MATCH("T"&amp;TimeRemaining[#Headers],Upgrades[#Headers],0),FALSE),0)*MAX(0,SUM('Construction Dashboard'!$G62:H62)),0)</f>
        <v>0</v>
      </c>
      <c r="H105" s="78">
        <f>IF(VALUE(TimeRemaining[#Headers])&lt;='Construction Dashboard'!$F62,IFERROR(VLOOKUP(TimeRemaining[[#This Row],[Time]],Upgrades[],MATCH("T"&amp;TimeRemaining[#Headers],Upgrades[#Headers],0),FALSE),0)*MAX(0,SUM('Construction Dashboard'!$G62:I62)),0)</f>
        <v>0</v>
      </c>
      <c r="I105" s="78">
        <f>IF(VALUE(TimeRemaining[#Headers])&lt;='Construction Dashboard'!$F62,IFERROR(VLOOKUP(TimeRemaining[[#This Row],[Time]],Upgrades[],MATCH("T"&amp;TimeRemaining[#Headers],Upgrades[#Headers],0),FALSE),0)*MAX(0,SUM('Construction Dashboard'!$G62:J62)),0)</f>
        <v>0</v>
      </c>
      <c r="J105" s="78">
        <f>IF(VALUE(TimeRemaining[#Headers])&lt;='Construction Dashboard'!$F62,IFERROR(VLOOKUP(TimeRemaining[[#This Row],[Time]],Upgrades[],MATCH("T"&amp;TimeRemaining[#Headers],Upgrades[#Headers],0),FALSE),0)*MAX(0,SUM('Construction Dashboard'!$G62:K62)),0)</f>
        <v>0</v>
      </c>
      <c r="K105" s="78">
        <f>IF(VALUE(TimeRemaining[#Headers])&lt;='Construction Dashboard'!$F62,IFERROR(VLOOKUP(TimeRemaining[[#This Row],[Time]],Upgrades[],MATCH("T"&amp;TimeRemaining[#Headers],Upgrades[#Headers],0),FALSE),0)*MAX(0,SUM('Construction Dashboard'!$G62:L62)),0)</f>
        <v>0</v>
      </c>
      <c r="L105" s="78">
        <f>IF(VALUE(TimeRemaining[#Headers])&lt;='Construction Dashboard'!$F62,IFERROR(VLOOKUP(TimeRemaining[[#This Row],[Time]],Upgrades[],MATCH("T"&amp;TimeRemaining[#Headers],Upgrades[#Headers],0),FALSE),0)*MAX(0,SUM('Construction Dashboard'!$G62:M62)),0)</f>
        <v>0</v>
      </c>
      <c r="M105" s="78">
        <f>IF(VALUE(TimeRemaining[#Headers])&lt;='Construction Dashboard'!$F62,IFERROR(VLOOKUP(TimeRemaining[[#This Row],[Time]],Upgrades[],MATCH("T"&amp;TimeRemaining[#Headers],Upgrades[#Headers],0),FALSE),0)*MAX(0,SUM('Construction Dashboard'!$G62:N62)),0)</f>
        <v>0</v>
      </c>
      <c r="N105" s="78">
        <f>IF(VALUE(TimeRemaining[#Headers])&lt;='Construction Dashboard'!$F62,IFERROR(VLOOKUP(TimeRemaining[[#This Row],[Time]],Upgrades[],MATCH("T"&amp;TimeRemaining[#Headers],Upgrades[#Headers],0),FALSE),0)*MAX(0,SUM('Construction Dashboard'!$G62:O62)),0)</f>
        <v>0</v>
      </c>
      <c r="O105" s="78">
        <f>IF(VALUE(TimeRemaining[#Headers])&lt;='Construction Dashboard'!$F62,IFERROR(VLOOKUP(TimeRemaining[[#This Row],[Time]],Upgrades[],MATCH("T"&amp;TimeRemaining[#Headers],Upgrades[#Headers],0),FALSE),0)*MAX(0,SUM('Construction Dashboard'!$G62:P62)),0)</f>
        <v>0</v>
      </c>
      <c r="P105" s="78">
        <f>IF(VALUE(TimeRemaining[#Headers])&lt;='Construction Dashboard'!$F62,IFERROR(VLOOKUP(TimeRemaining[[#This Row],[Time]],Upgrades[],MATCH("T"&amp;TimeRemaining[#Headers],Upgrades[#Headers],0),FALSE),0)*MAX(0,SUM('Construction Dashboard'!$G62:Q62)),0)</f>
        <v>0</v>
      </c>
      <c r="Q105" s="78">
        <f>IF(VALUE(TimeRemaining[#Headers])&lt;='Construction Dashboard'!$F62,IFERROR(VLOOKUP(TimeRemaining[[#This Row],[Time]],Upgrades[],MATCH("T"&amp;TimeRemaining[#Headers],Upgrades[#Headers],0),FALSE),0)*MAX(0,SUM('Construction Dashboard'!$G62:R62)),0)</f>
        <v>0</v>
      </c>
      <c r="R105" s="78">
        <f>IF(TimeRemaining[[#This Row],[MatchStr]]="IGNORE",0,SUM(TimeRemaining[[#This Row],[1]:[12]]))</f>
        <v>0</v>
      </c>
    </row>
    <row r="106" spans="1:18">
      <c r="A106" s="26" t="s">
        <v>93</v>
      </c>
      <c r="B106" s="73" t="str">
        <f>VLOOKUP(TimeRemaining[[#This Row],[Time]],Upgrades[],2,FALSE)</f>
        <v>Upgrade</v>
      </c>
      <c r="C106" s="73" t="str">
        <f>VLOOKUP(TimeRemaining[[#This Row],[Time]],Upgrades[],3,FALSE)</f>
        <v>Elixir</v>
      </c>
      <c r="D106" s="172" t="str">
        <f>IF((IFERROR(MATCH(TimeRemaining[[#This Row],[Time]],'Construction Dashboard'!$P$19:$S$19,0),0)+IFERROR(MATCH(TimeRemaining[[#This Row],[Time]],'Construction Dashboard'!$P$20:$S$20,0),0))&gt;0,"IGNORE",TimeRemaining[Kind]&amp;"-"&amp;TimeRemaining[Resource])</f>
        <v>Upgrade-Elixir</v>
      </c>
      <c r="E106" s="71">
        <f>IFERROR(VLOOKUP(TimeRemaining[[#This Row],[Time]],Upgrades[],MATCH("T"&amp;MATCH(TRUE,INDEX(TimeRemaining[[#This Row],[1]:[12]]&lt;&gt;0,),0),Upgrades[#Headers],0),FALSE),"")</f>
        <v>3</v>
      </c>
      <c r="F106" s="78">
        <f>IF(VALUE(TimeRemaining[#Headers])&lt;='Construction Dashboard'!$F63,IFERROR(VLOOKUP(TimeRemaining[[#This Row],[Time]],Upgrades[],MATCH("T"&amp;TimeRemaining[#Headers],Upgrades[#Headers],0),FALSE),0)*MAX(0,SUM('Construction Dashboard'!$G63:G63)),0)</f>
        <v>0</v>
      </c>
      <c r="G106" s="78">
        <f>IF(VALUE(TimeRemaining[#Headers])&lt;='Construction Dashboard'!$F63,IFERROR(VLOOKUP(TimeRemaining[[#This Row],[Time]],Upgrades[],MATCH("T"&amp;TimeRemaining[#Headers],Upgrades[#Headers],0),FALSE),0)*MAX(0,SUM('Construction Dashboard'!$G63:H63)),0)</f>
        <v>0</v>
      </c>
      <c r="H106" s="78">
        <f>IF(VALUE(TimeRemaining[#Headers])&lt;='Construction Dashboard'!$F63,IFERROR(VLOOKUP(TimeRemaining[[#This Row],[Time]],Upgrades[],MATCH("T"&amp;TimeRemaining[#Headers],Upgrades[#Headers],0),FALSE),0)*MAX(0,SUM('Construction Dashboard'!$G63:I63)),0)</f>
        <v>0</v>
      </c>
      <c r="I106" s="78">
        <f>IF(VALUE(TimeRemaining[#Headers])&lt;='Construction Dashboard'!$F63,IFERROR(VLOOKUP(TimeRemaining[[#This Row],[Time]],Upgrades[],MATCH("T"&amp;TimeRemaining[#Headers],Upgrades[#Headers],0),FALSE),0)*MAX(0,SUM('Construction Dashboard'!$G63:J63)),0)</f>
        <v>3</v>
      </c>
      <c r="J106" s="78">
        <f>IF(VALUE(TimeRemaining[#Headers])&lt;='Construction Dashboard'!$F63,IFERROR(VLOOKUP(TimeRemaining[[#This Row],[Time]],Upgrades[],MATCH("T"&amp;TimeRemaining[#Headers],Upgrades[#Headers],0),FALSE),0)*MAX(0,SUM('Construction Dashboard'!$G63:K63)),0)</f>
        <v>0</v>
      </c>
      <c r="K106" s="78">
        <f>IF(VALUE(TimeRemaining[#Headers])&lt;='Construction Dashboard'!$F63,IFERROR(VLOOKUP(TimeRemaining[[#This Row],[Time]],Upgrades[],MATCH("T"&amp;TimeRemaining[#Headers],Upgrades[#Headers],0),FALSE),0)*MAX(0,SUM('Construction Dashboard'!$G63:L63)),0)</f>
        <v>0</v>
      </c>
      <c r="L106" s="78">
        <f>IF(VALUE(TimeRemaining[#Headers])&lt;='Construction Dashboard'!$F63,IFERROR(VLOOKUP(TimeRemaining[[#This Row],[Time]],Upgrades[],MATCH("T"&amp;TimeRemaining[#Headers],Upgrades[#Headers],0),FALSE),0)*MAX(0,SUM('Construction Dashboard'!$G63:M63)),0)</f>
        <v>0</v>
      </c>
      <c r="M106" s="78">
        <f>IF(VALUE(TimeRemaining[#Headers])&lt;='Construction Dashboard'!$F63,IFERROR(VLOOKUP(TimeRemaining[[#This Row],[Time]],Upgrades[],MATCH("T"&amp;TimeRemaining[#Headers],Upgrades[#Headers],0),FALSE),0)*MAX(0,SUM('Construction Dashboard'!$G63:N63)),0)</f>
        <v>0</v>
      </c>
      <c r="N106" s="78">
        <f>IF(VALUE(TimeRemaining[#Headers])&lt;='Construction Dashboard'!$F63,IFERROR(VLOOKUP(TimeRemaining[[#This Row],[Time]],Upgrades[],MATCH("T"&amp;TimeRemaining[#Headers],Upgrades[#Headers],0),FALSE),0)*MAX(0,SUM('Construction Dashboard'!$G63:O63)),0)</f>
        <v>0</v>
      </c>
      <c r="O106" s="78">
        <f>IF(VALUE(TimeRemaining[#Headers])&lt;='Construction Dashboard'!$F63,IFERROR(VLOOKUP(TimeRemaining[[#This Row],[Time]],Upgrades[],MATCH("T"&amp;TimeRemaining[#Headers],Upgrades[#Headers],0),FALSE),0)*MAX(0,SUM('Construction Dashboard'!$G63:P63)),0)</f>
        <v>0</v>
      </c>
      <c r="P106" s="78">
        <f>IF(VALUE(TimeRemaining[#Headers])&lt;='Construction Dashboard'!$F63,IFERROR(VLOOKUP(TimeRemaining[[#This Row],[Time]],Upgrades[],MATCH("T"&amp;TimeRemaining[#Headers],Upgrades[#Headers],0),FALSE),0)*MAX(0,SUM('Construction Dashboard'!$G63:Q63)),0)</f>
        <v>0</v>
      </c>
      <c r="Q106" s="78">
        <f>IF(VALUE(TimeRemaining[#Headers])&lt;='Construction Dashboard'!$F63,IFERROR(VLOOKUP(TimeRemaining[[#This Row],[Time]],Upgrades[],MATCH("T"&amp;TimeRemaining[#Headers],Upgrades[#Headers],0),FALSE),0)*MAX(0,SUM('Construction Dashboard'!$G63:R63)),0)</f>
        <v>0</v>
      </c>
      <c r="R106" s="78">
        <f>IF(TimeRemaining[[#This Row],[MatchStr]]="IGNORE",0,SUM(TimeRemaining[[#This Row],[1]:[12]]))</f>
        <v>3</v>
      </c>
    </row>
    <row r="107" spans="1:18">
      <c r="A107" s="26" t="s">
        <v>94</v>
      </c>
      <c r="B107" s="73" t="str">
        <f>VLOOKUP(TimeRemaining[[#This Row],[Time]],Upgrades[],2,FALSE)</f>
        <v>Upgrade</v>
      </c>
      <c r="C107" s="73" t="str">
        <f>VLOOKUP(TimeRemaining[[#This Row],[Time]],Upgrades[],3,FALSE)</f>
        <v>Elixir</v>
      </c>
      <c r="D107" s="172" t="str">
        <f>IF((IFERROR(MATCH(TimeRemaining[[#This Row],[Time]],'Construction Dashboard'!$P$19:$S$19,0),0)+IFERROR(MATCH(TimeRemaining[[#This Row],[Time]],'Construction Dashboard'!$P$20:$S$20,0),0))&gt;0,"IGNORE",TimeRemaining[Kind]&amp;"-"&amp;TimeRemaining[Resource])</f>
        <v>Upgrade-Elixir</v>
      </c>
      <c r="E107" s="71" t="str">
        <f>IFERROR(VLOOKUP(TimeRemaining[[#This Row],[Time]],Upgrades[],MATCH("T"&amp;MATCH(TRUE,INDEX(TimeRemaining[[#This Row],[1]:[12]]&lt;&gt;0,),0),Upgrades[#Headers],0),FALSE),"")</f>
        <v/>
      </c>
      <c r="F107" s="78">
        <f>IF(VALUE(TimeRemaining[#Headers])&lt;='Construction Dashboard'!$F64,IFERROR(VLOOKUP(TimeRemaining[[#This Row],[Time]],Upgrades[],MATCH("T"&amp;TimeRemaining[#Headers],Upgrades[#Headers],0),FALSE),0)*MAX(0,SUM('Construction Dashboard'!$G64:G64)),0)</f>
        <v>0</v>
      </c>
      <c r="G107" s="78">
        <f>IF(VALUE(TimeRemaining[#Headers])&lt;='Construction Dashboard'!$F64,IFERROR(VLOOKUP(TimeRemaining[[#This Row],[Time]],Upgrades[],MATCH("T"&amp;TimeRemaining[#Headers],Upgrades[#Headers],0),FALSE),0)*MAX(0,SUM('Construction Dashboard'!$G64:H64)),0)</f>
        <v>0</v>
      </c>
      <c r="H107" s="78">
        <f>IF(VALUE(TimeRemaining[#Headers])&lt;='Construction Dashboard'!$F64,IFERROR(VLOOKUP(TimeRemaining[[#This Row],[Time]],Upgrades[],MATCH("T"&amp;TimeRemaining[#Headers],Upgrades[#Headers],0),FALSE),0)*MAX(0,SUM('Construction Dashboard'!$G64:I64)),0)</f>
        <v>0</v>
      </c>
      <c r="I107" s="78">
        <f>IF(VALUE(TimeRemaining[#Headers])&lt;='Construction Dashboard'!$F64,IFERROR(VLOOKUP(TimeRemaining[[#This Row],[Time]],Upgrades[],MATCH("T"&amp;TimeRemaining[#Headers],Upgrades[#Headers],0),FALSE),0)*MAX(0,SUM('Construction Dashboard'!$G64:J64)),0)</f>
        <v>0</v>
      </c>
      <c r="J107" s="78">
        <f>IF(VALUE(TimeRemaining[#Headers])&lt;='Construction Dashboard'!$F64,IFERROR(VLOOKUP(TimeRemaining[[#This Row],[Time]],Upgrades[],MATCH("T"&amp;TimeRemaining[#Headers],Upgrades[#Headers],0),FALSE),0)*MAX(0,SUM('Construction Dashboard'!$G64:K64)),0)</f>
        <v>0</v>
      </c>
      <c r="K107" s="78">
        <f>IF(VALUE(TimeRemaining[#Headers])&lt;='Construction Dashboard'!$F64,IFERROR(VLOOKUP(TimeRemaining[[#This Row],[Time]],Upgrades[],MATCH("T"&amp;TimeRemaining[#Headers],Upgrades[#Headers],0),FALSE),0)*MAX(0,SUM('Construction Dashboard'!$G64:L64)),0)</f>
        <v>0</v>
      </c>
      <c r="L107" s="78">
        <f>IF(VALUE(TimeRemaining[#Headers])&lt;='Construction Dashboard'!$F64,IFERROR(VLOOKUP(TimeRemaining[[#This Row],[Time]],Upgrades[],MATCH("T"&amp;TimeRemaining[#Headers],Upgrades[#Headers],0),FALSE),0)*MAX(0,SUM('Construction Dashboard'!$G64:M64)),0)</f>
        <v>0</v>
      </c>
      <c r="M107" s="78">
        <f>IF(VALUE(TimeRemaining[#Headers])&lt;='Construction Dashboard'!$F64,IFERROR(VLOOKUP(TimeRemaining[[#This Row],[Time]],Upgrades[],MATCH("T"&amp;TimeRemaining[#Headers],Upgrades[#Headers],0),FALSE),0)*MAX(0,SUM('Construction Dashboard'!$G64:N64)),0)</f>
        <v>0</v>
      </c>
      <c r="N107" s="78">
        <f>IF(VALUE(TimeRemaining[#Headers])&lt;='Construction Dashboard'!$F64,IFERROR(VLOOKUP(TimeRemaining[[#This Row],[Time]],Upgrades[],MATCH("T"&amp;TimeRemaining[#Headers],Upgrades[#Headers],0),FALSE),0)*MAX(0,SUM('Construction Dashboard'!$G64:O64)),0)</f>
        <v>0</v>
      </c>
      <c r="O107" s="78">
        <f>IF(VALUE(TimeRemaining[#Headers])&lt;='Construction Dashboard'!$F64,IFERROR(VLOOKUP(TimeRemaining[[#This Row],[Time]],Upgrades[],MATCH("T"&amp;TimeRemaining[#Headers],Upgrades[#Headers],0),FALSE),0)*MAX(0,SUM('Construction Dashboard'!$G64:P64)),0)</f>
        <v>0</v>
      </c>
      <c r="P107" s="78">
        <f>IF(VALUE(TimeRemaining[#Headers])&lt;='Construction Dashboard'!$F64,IFERROR(VLOOKUP(TimeRemaining[[#This Row],[Time]],Upgrades[],MATCH("T"&amp;TimeRemaining[#Headers],Upgrades[#Headers],0),FALSE),0)*MAX(0,SUM('Construction Dashboard'!$G64:Q64)),0)</f>
        <v>0</v>
      </c>
      <c r="Q107" s="78">
        <f>IF(VALUE(TimeRemaining[#Headers])&lt;='Construction Dashboard'!$F64,IFERROR(VLOOKUP(TimeRemaining[[#This Row],[Time]],Upgrades[],MATCH("T"&amp;TimeRemaining[#Headers],Upgrades[#Headers],0),FALSE),0)*MAX(0,SUM('Construction Dashboard'!$G64:R64)),0)</f>
        <v>0</v>
      </c>
      <c r="R107" s="78">
        <f>IF(TimeRemaining[[#This Row],[MatchStr]]="IGNORE",0,SUM(TimeRemaining[[#This Row],[1]:[12]]))</f>
        <v>0</v>
      </c>
    </row>
    <row r="108" spans="1:18">
      <c r="A108" s="26" t="s">
        <v>95</v>
      </c>
      <c r="B108" s="73" t="str">
        <f>VLOOKUP(TimeRemaining[[#This Row],[Time]],Upgrades[],2,FALSE)</f>
        <v>Upgrade</v>
      </c>
      <c r="C108" s="73" t="str">
        <f>VLOOKUP(TimeRemaining[[#This Row],[Time]],Upgrades[],3,FALSE)</f>
        <v>Elixir</v>
      </c>
      <c r="D108" s="172" t="str">
        <f>IF((IFERROR(MATCH(TimeRemaining[[#This Row],[Time]],'Construction Dashboard'!$P$19:$S$19,0),0)+IFERROR(MATCH(TimeRemaining[[#This Row],[Time]],'Construction Dashboard'!$P$20:$S$20,0),0))&gt;0,"IGNORE",TimeRemaining[Kind]&amp;"-"&amp;TimeRemaining[Resource])</f>
        <v>Upgrade-Elixir</v>
      </c>
      <c r="E108" s="71">
        <f>IFERROR(VLOOKUP(TimeRemaining[[#This Row],[Time]],Upgrades[],MATCH("T"&amp;MATCH(TRUE,INDEX(TimeRemaining[[#This Row],[1]:[12]]&lt;&gt;0,),0),Upgrades[#Headers],0),FALSE),"")</f>
        <v>3</v>
      </c>
      <c r="F108" s="78">
        <f>IF(VALUE(TimeRemaining[#Headers])&lt;='Construction Dashboard'!$F65,IFERROR(VLOOKUP(TimeRemaining[[#This Row],[Time]],Upgrades[],MATCH("T"&amp;TimeRemaining[#Headers],Upgrades[#Headers],0),FALSE),0)*MAX(0,SUM('Construction Dashboard'!$G65:G65)),0)</f>
        <v>0</v>
      </c>
      <c r="G108" s="78">
        <f>IF(VALUE(TimeRemaining[#Headers])&lt;='Construction Dashboard'!$F65,IFERROR(VLOOKUP(TimeRemaining[[#This Row],[Time]],Upgrades[],MATCH("T"&amp;TimeRemaining[#Headers],Upgrades[#Headers],0),FALSE),0)*MAX(0,SUM('Construction Dashboard'!$G65:H65)),0)</f>
        <v>0</v>
      </c>
      <c r="H108" s="78">
        <f>IF(VALUE(TimeRemaining[#Headers])&lt;='Construction Dashboard'!$F65,IFERROR(VLOOKUP(TimeRemaining[[#This Row],[Time]],Upgrades[],MATCH("T"&amp;TimeRemaining[#Headers],Upgrades[#Headers],0),FALSE),0)*MAX(0,SUM('Construction Dashboard'!$G65:I65)),0)</f>
        <v>3</v>
      </c>
      <c r="I108" s="78">
        <f>IF(VALUE(TimeRemaining[#Headers])&lt;='Construction Dashboard'!$F65,IFERROR(VLOOKUP(TimeRemaining[[#This Row],[Time]],Upgrades[],MATCH("T"&amp;TimeRemaining[#Headers],Upgrades[#Headers],0),FALSE),0)*MAX(0,SUM('Construction Dashboard'!$G65:J65)),0)</f>
        <v>5</v>
      </c>
      <c r="J108" s="78">
        <f>IF(VALUE(TimeRemaining[#Headers])&lt;='Construction Dashboard'!$F65,IFERROR(VLOOKUP(TimeRemaining[[#This Row],[Time]],Upgrades[],MATCH("T"&amp;TimeRemaining[#Headers],Upgrades[#Headers],0),FALSE),0)*MAX(0,SUM('Construction Dashboard'!$G65:K65)),0)</f>
        <v>0</v>
      </c>
      <c r="K108" s="78">
        <f>IF(VALUE(TimeRemaining[#Headers])&lt;='Construction Dashboard'!$F65,IFERROR(VLOOKUP(TimeRemaining[[#This Row],[Time]],Upgrades[],MATCH("T"&amp;TimeRemaining[#Headers],Upgrades[#Headers],0),FALSE),0)*MAX(0,SUM('Construction Dashboard'!$G65:L65)),0)</f>
        <v>0</v>
      </c>
      <c r="L108" s="78">
        <f>IF(VALUE(TimeRemaining[#Headers])&lt;='Construction Dashboard'!$F65,IFERROR(VLOOKUP(TimeRemaining[[#This Row],[Time]],Upgrades[],MATCH("T"&amp;TimeRemaining[#Headers],Upgrades[#Headers],0),FALSE),0)*MAX(0,SUM('Construction Dashboard'!$G65:M65)),0)</f>
        <v>0</v>
      </c>
      <c r="M108" s="78">
        <f>IF(VALUE(TimeRemaining[#Headers])&lt;='Construction Dashboard'!$F65,IFERROR(VLOOKUP(TimeRemaining[[#This Row],[Time]],Upgrades[],MATCH("T"&amp;TimeRemaining[#Headers],Upgrades[#Headers],0),FALSE),0)*MAX(0,SUM('Construction Dashboard'!$G65:N65)),0)</f>
        <v>0</v>
      </c>
      <c r="N108" s="78">
        <f>IF(VALUE(TimeRemaining[#Headers])&lt;='Construction Dashboard'!$F65,IFERROR(VLOOKUP(TimeRemaining[[#This Row],[Time]],Upgrades[],MATCH("T"&amp;TimeRemaining[#Headers],Upgrades[#Headers],0),FALSE),0)*MAX(0,SUM('Construction Dashboard'!$G65:O65)),0)</f>
        <v>0</v>
      </c>
      <c r="O108" s="78">
        <f>IF(VALUE(TimeRemaining[#Headers])&lt;='Construction Dashboard'!$F65,IFERROR(VLOOKUP(TimeRemaining[[#This Row],[Time]],Upgrades[],MATCH("T"&amp;TimeRemaining[#Headers],Upgrades[#Headers],0),FALSE),0)*MAX(0,SUM('Construction Dashboard'!$G65:P65)),0)</f>
        <v>0</v>
      </c>
      <c r="P108" s="78">
        <f>IF(VALUE(TimeRemaining[#Headers])&lt;='Construction Dashboard'!$F65,IFERROR(VLOOKUP(TimeRemaining[[#This Row],[Time]],Upgrades[],MATCH("T"&amp;TimeRemaining[#Headers],Upgrades[#Headers],0),FALSE),0)*MAX(0,SUM('Construction Dashboard'!$G65:Q65)),0)</f>
        <v>0</v>
      </c>
      <c r="Q108" s="78">
        <f>IF(VALUE(TimeRemaining[#Headers])&lt;='Construction Dashboard'!$F65,IFERROR(VLOOKUP(TimeRemaining[[#This Row],[Time]],Upgrades[],MATCH("T"&amp;TimeRemaining[#Headers],Upgrades[#Headers],0),FALSE),0)*MAX(0,SUM('Construction Dashboard'!$G65:R65)),0)</f>
        <v>0</v>
      </c>
      <c r="R108" s="78">
        <f>IF(TimeRemaining[[#This Row],[MatchStr]]="IGNORE",0,SUM(TimeRemaining[[#This Row],[1]:[12]]))</f>
        <v>8</v>
      </c>
    </row>
    <row r="109" spans="1:18">
      <c r="A109" s="26" t="s">
        <v>96</v>
      </c>
      <c r="B109" s="73" t="str">
        <f>VLOOKUP(TimeRemaining[[#This Row],[Time]],Upgrades[],2,FALSE)</f>
        <v>Upgrade</v>
      </c>
      <c r="C109" s="73" t="str">
        <f>VLOOKUP(TimeRemaining[[#This Row],[Time]],Upgrades[],3,FALSE)</f>
        <v>Elixir</v>
      </c>
      <c r="D109" s="172" t="str">
        <f>IF((IFERROR(MATCH(TimeRemaining[[#This Row],[Time]],'Construction Dashboard'!$P$19:$S$19,0),0)+IFERROR(MATCH(TimeRemaining[[#This Row],[Time]],'Construction Dashboard'!$P$20:$S$20,0),0))&gt;0,"IGNORE",TimeRemaining[Kind]&amp;"-"&amp;TimeRemaining[Resource])</f>
        <v>Upgrade-Elixir</v>
      </c>
      <c r="E109" s="71" t="str">
        <f>IFERROR(VLOOKUP(TimeRemaining[[#This Row],[Time]],Upgrades[],MATCH("T"&amp;MATCH(TRUE,INDEX(TimeRemaining[[#This Row],[1]:[12]]&lt;&gt;0,),0),Upgrades[#Headers],0),FALSE),"")</f>
        <v/>
      </c>
      <c r="F109" s="78">
        <f>IF(VALUE(TimeRemaining[#Headers])&lt;='Construction Dashboard'!$F66,IFERROR(VLOOKUP(TimeRemaining[[#This Row],[Time]],Upgrades[],MATCH("T"&amp;TimeRemaining[#Headers],Upgrades[#Headers],0),FALSE),0)*MAX(0,SUM('Construction Dashboard'!$G66:G66)),0)</f>
        <v>0</v>
      </c>
      <c r="G109" s="78">
        <f>IF(VALUE(TimeRemaining[#Headers])&lt;='Construction Dashboard'!$F66,IFERROR(VLOOKUP(TimeRemaining[[#This Row],[Time]],Upgrades[],MATCH("T"&amp;TimeRemaining[#Headers],Upgrades[#Headers],0),FALSE),0)*MAX(0,SUM('Construction Dashboard'!$G66:H66)),0)</f>
        <v>0</v>
      </c>
      <c r="H109" s="78">
        <f>IF(VALUE(TimeRemaining[#Headers])&lt;='Construction Dashboard'!$F66,IFERROR(VLOOKUP(TimeRemaining[[#This Row],[Time]],Upgrades[],MATCH("T"&amp;TimeRemaining[#Headers],Upgrades[#Headers],0),FALSE),0)*MAX(0,SUM('Construction Dashboard'!$G66:I66)),0)</f>
        <v>0</v>
      </c>
      <c r="I109" s="78">
        <f>IF(VALUE(TimeRemaining[#Headers])&lt;='Construction Dashboard'!$F66,IFERROR(VLOOKUP(TimeRemaining[[#This Row],[Time]],Upgrades[],MATCH("T"&amp;TimeRemaining[#Headers],Upgrades[#Headers],0),FALSE),0)*MAX(0,SUM('Construction Dashboard'!$G66:J66)),0)</f>
        <v>0</v>
      </c>
      <c r="J109" s="78">
        <f>IF(VALUE(TimeRemaining[#Headers])&lt;='Construction Dashboard'!$F66,IFERROR(VLOOKUP(TimeRemaining[[#This Row],[Time]],Upgrades[],MATCH("T"&amp;TimeRemaining[#Headers],Upgrades[#Headers],0),FALSE),0)*MAX(0,SUM('Construction Dashboard'!$G66:K66)),0)</f>
        <v>0</v>
      </c>
      <c r="K109" s="78">
        <f>IF(VALUE(TimeRemaining[#Headers])&lt;='Construction Dashboard'!$F66,IFERROR(VLOOKUP(TimeRemaining[[#This Row],[Time]],Upgrades[],MATCH("T"&amp;TimeRemaining[#Headers],Upgrades[#Headers],0),FALSE),0)*MAX(0,SUM('Construction Dashboard'!$G66:L66)),0)</f>
        <v>0</v>
      </c>
      <c r="L109" s="78">
        <f>IF(VALUE(TimeRemaining[#Headers])&lt;='Construction Dashboard'!$F66,IFERROR(VLOOKUP(TimeRemaining[[#This Row],[Time]],Upgrades[],MATCH("T"&amp;TimeRemaining[#Headers],Upgrades[#Headers],0),FALSE),0)*MAX(0,SUM('Construction Dashboard'!$G66:M66)),0)</f>
        <v>0</v>
      </c>
      <c r="M109" s="78">
        <f>IF(VALUE(TimeRemaining[#Headers])&lt;='Construction Dashboard'!$F66,IFERROR(VLOOKUP(TimeRemaining[[#This Row],[Time]],Upgrades[],MATCH("T"&amp;TimeRemaining[#Headers],Upgrades[#Headers],0),FALSE),0)*MAX(0,SUM('Construction Dashboard'!$G66:N66)),0)</f>
        <v>0</v>
      </c>
      <c r="N109" s="78">
        <f>IF(VALUE(TimeRemaining[#Headers])&lt;='Construction Dashboard'!$F66,IFERROR(VLOOKUP(TimeRemaining[[#This Row],[Time]],Upgrades[],MATCH("T"&amp;TimeRemaining[#Headers],Upgrades[#Headers],0),FALSE),0)*MAX(0,SUM('Construction Dashboard'!$G66:O66)),0)</f>
        <v>0</v>
      </c>
      <c r="O109" s="78">
        <f>IF(VALUE(TimeRemaining[#Headers])&lt;='Construction Dashboard'!$F66,IFERROR(VLOOKUP(TimeRemaining[[#This Row],[Time]],Upgrades[],MATCH("T"&amp;TimeRemaining[#Headers],Upgrades[#Headers],0),FALSE),0)*MAX(0,SUM('Construction Dashboard'!$G66:P66)),0)</f>
        <v>0</v>
      </c>
      <c r="P109" s="78">
        <f>IF(VALUE(TimeRemaining[#Headers])&lt;='Construction Dashboard'!$F66,IFERROR(VLOOKUP(TimeRemaining[[#This Row],[Time]],Upgrades[],MATCH("T"&amp;TimeRemaining[#Headers],Upgrades[#Headers],0),FALSE),0)*MAX(0,SUM('Construction Dashboard'!$G66:Q66)),0)</f>
        <v>0</v>
      </c>
      <c r="Q109" s="78">
        <f>IF(VALUE(TimeRemaining[#Headers])&lt;='Construction Dashboard'!$F66,IFERROR(VLOOKUP(TimeRemaining[[#This Row],[Time]],Upgrades[],MATCH("T"&amp;TimeRemaining[#Headers],Upgrades[#Headers],0),FALSE),0)*MAX(0,SUM('Construction Dashboard'!$G66:R66)),0)</f>
        <v>0</v>
      </c>
      <c r="R109" s="78">
        <f>IF(TimeRemaining[[#This Row],[MatchStr]]="IGNORE",0,SUM(TimeRemaining[[#This Row],[1]:[12]]))</f>
        <v>0</v>
      </c>
    </row>
    <row r="110" spans="1:18">
      <c r="A110" s="26" t="s">
        <v>97</v>
      </c>
      <c r="B110" s="73" t="str">
        <f>VLOOKUP(TimeRemaining[[#This Row],[Time]],Upgrades[],2,FALSE)</f>
        <v>Upgrade</v>
      </c>
      <c r="C110" s="73" t="str">
        <f>VLOOKUP(TimeRemaining[[#This Row],[Time]],Upgrades[],3,FALSE)</f>
        <v>Elixir</v>
      </c>
      <c r="D110" s="172" t="str">
        <f>IF((IFERROR(MATCH(TimeRemaining[[#This Row],[Time]],'Construction Dashboard'!$P$19:$S$19,0),0)+IFERROR(MATCH(TimeRemaining[[#This Row],[Time]],'Construction Dashboard'!$P$20:$S$20,0),0))&gt;0,"IGNORE",TimeRemaining[Kind]&amp;"-"&amp;TimeRemaining[Resource])</f>
        <v>Upgrade-Elixir</v>
      </c>
      <c r="E110" s="71" t="str">
        <f>IFERROR(VLOOKUP(TimeRemaining[[#This Row],[Time]],Upgrades[],MATCH("T"&amp;MATCH(TRUE,INDEX(TimeRemaining[[#This Row],[1]:[12]]&lt;&gt;0,),0),Upgrades[#Headers],0),FALSE),"")</f>
        <v/>
      </c>
      <c r="F110" s="78">
        <f>IF(VALUE(TimeRemaining[#Headers])&lt;='Construction Dashboard'!$F67,IFERROR(VLOOKUP(TimeRemaining[[#This Row],[Time]],Upgrades[],MATCH("T"&amp;TimeRemaining[#Headers],Upgrades[#Headers],0),FALSE),0)*MAX(0,SUM('Construction Dashboard'!$G67:G67)),0)</f>
        <v>0</v>
      </c>
      <c r="G110" s="78">
        <f>IF(VALUE(TimeRemaining[#Headers])&lt;='Construction Dashboard'!$F67,IFERROR(VLOOKUP(TimeRemaining[[#This Row],[Time]],Upgrades[],MATCH("T"&amp;TimeRemaining[#Headers],Upgrades[#Headers],0),FALSE),0)*MAX(0,SUM('Construction Dashboard'!$G67:H67)),0)</f>
        <v>0</v>
      </c>
      <c r="H110" s="78">
        <f>IF(VALUE(TimeRemaining[#Headers])&lt;='Construction Dashboard'!$F67,IFERROR(VLOOKUP(TimeRemaining[[#This Row],[Time]],Upgrades[],MATCH("T"&amp;TimeRemaining[#Headers],Upgrades[#Headers],0),FALSE),0)*MAX(0,SUM('Construction Dashboard'!$G67:I67)),0)</f>
        <v>0</v>
      </c>
      <c r="I110" s="78">
        <f>IF(VALUE(TimeRemaining[#Headers])&lt;='Construction Dashboard'!$F67,IFERROR(VLOOKUP(TimeRemaining[[#This Row],[Time]],Upgrades[],MATCH("T"&amp;TimeRemaining[#Headers],Upgrades[#Headers],0),FALSE),0)*MAX(0,SUM('Construction Dashboard'!$G67:J67)),0)</f>
        <v>0</v>
      </c>
      <c r="J110" s="78">
        <f>IF(VALUE(TimeRemaining[#Headers])&lt;='Construction Dashboard'!$F67,IFERROR(VLOOKUP(TimeRemaining[[#This Row],[Time]],Upgrades[],MATCH("T"&amp;TimeRemaining[#Headers],Upgrades[#Headers],0),FALSE),0)*MAX(0,SUM('Construction Dashboard'!$G67:K67)),0)</f>
        <v>0</v>
      </c>
      <c r="K110" s="78">
        <f>IF(VALUE(TimeRemaining[#Headers])&lt;='Construction Dashboard'!$F67,IFERROR(VLOOKUP(TimeRemaining[[#This Row],[Time]],Upgrades[],MATCH("T"&amp;TimeRemaining[#Headers],Upgrades[#Headers],0),FALSE),0)*MAX(0,SUM('Construction Dashboard'!$G67:L67)),0)</f>
        <v>0</v>
      </c>
      <c r="L110" s="78">
        <f>IF(VALUE(TimeRemaining[#Headers])&lt;='Construction Dashboard'!$F67,IFERROR(VLOOKUP(TimeRemaining[[#This Row],[Time]],Upgrades[],MATCH("T"&amp;TimeRemaining[#Headers],Upgrades[#Headers],0),FALSE),0)*MAX(0,SUM('Construction Dashboard'!$G67:M67)),0)</f>
        <v>0</v>
      </c>
      <c r="M110" s="78">
        <f>IF(VALUE(TimeRemaining[#Headers])&lt;='Construction Dashboard'!$F67,IFERROR(VLOOKUP(TimeRemaining[[#This Row],[Time]],Upgrades[],MATCH("T"&amp;TimeRemaining[#Headers],Upgrades[#Headers],0),FALSE),0)*MAX(0,SUM('Construction Dashboard'!$G67:N67)),0)</f>
        <v>0</v>
      </c>
      <c r="N110" s="78">
        <f>IF(VALUE(TimeRemaining[#Headers])&lt;='Construction Dashboard'!$F67,IFERROR(VLOOKUP(TimeRemaining[[#This Row],[Time]],Upgrades[],MATCH("T"&amp;TimeRemaining[#Headers],Upgrades[#Headers],0),FALSE),0)*MAX(0,SUM('Construction Dashboard'!$G67:O67)),0)</f>
        <v>0</v>
      </c>
      <c r="O110" s="78">
        <f>IF(VALUE(TimeRemaining[#Headers])&lt;='Construction Dashboard'!$F67,IFERROR(VLOOKUP(TimeRemaining[[#This Row],[Time]],Upgrades[],MATCH("T"&amp;TimeRemaining[#Headers],Upgrades[#Headers],0),FALSE),0)*MAX(0,SUM('Construction Dashboard'!$G67:P67)),0)</f>
        <v>0</v>
      </c>
      <c r="P110" s="78">
        <f>IF(VALUE(TimeRemaining[#Headers])&lt;='Construction Dashboard'!$F67,IFERROR(VLOOKUP(TimeRemaining[[#This Row],[Time]],Upgrades[],MATCH("T"&amp;TimeRemaining[#Headers],Upgrades[#Headers],0),FALSE),0)*MAX(0,SUM('Construction Dashboard'!$G67:Q67)),0)</f>
        <v>0</v>
      </c>
      <c r="Q110" s="78">
        <f>IF(VALUE(TimeRemaining[#Headers])&lt;='Construction Dashboard'!$F67,IFERROR(VLOOKUP(TimeRemaining[[#This Row],[Time]],Upgrades[],MATCH("T"&amp;TimeRemaining[#Headers],Upgrades[#Headers],0),FALSE),0)*MAX(0,SUM('Construction Dashboard'!$G67:R67)),0)</f>
        <v>0</v>
      </c>
      <c r="R110" s="78">
        <f>IF(TimeRemaining[[#This Row],[MatchStr]]="IGNORE",0,SUM(TimeRemaining[[#This Row],[1]:[12]]))</f>
        <v>0</v>
      </c>
    </row>
    <row r="111" spans="1:18">
      <c r="A111" s="26" t="s">
        <v>98</v>
      </c>
      <c r="B111" s="73" t="str">
        <f>VLOOKUP(TimeRemaining[[#This Row],[Time]],Upgrades[],2,FALSE)</f>
        <v>Upgrade</v>
      </c>
      <c r="C111" s="73" t="str">
        <f>VLOOKUP(TimeRemaining[[#This Row],[Time]],Upgrades[],3,FALSE)</f>
        <v>Dark Elixir</v>
      </c>
      <c r="D111" s="172" t="str">
        <f>IF((IFERROR(MATCH(TimeRemaining[[#This Row],[Time]],'Construction Dashboard'!$P$19:$S$19,0),0)+IFERROR(MATCH(TimeRemaining[[#This Row],[Time]],'Construction Dashboard'!$P$20:$S$20,0),0))&gt;0,"IGNORE",TimeRemaining[Kind]&amp;"-"&amp;TimeRemaining[Resource])</f>
        <v>IGNORE</v>
      </c>
      <c r="E111" s="71">
        <f>IFERROR(VLOOKUP(TimeRemaining[[#This Row],[Time]],Upgrades[],MATCH("T"&amp;MATCH(TRUE,INDEX(TimeRemaining[[#This Row],[1]:[12]]&lt;&gt;0,),0),Upgrades[#Headers],0),FALSE),"")</f>
        <v>5</v>
      </c>
      <c r="F111" s="78">
        <f>IF(VALUE(TimeRemaining[#Headers])&lt;='Construction Dashboard'!$F68,IFERROR(VLOOKUP(TimeRemaining[[#This Row],[Time]],Upgrades[],MATCH("T"&amp;TimeRemaining[#Headers],Upgrades[#Headers],0),FALSE),0)*MAX(0,SUM('Construction Dashboard'!$G68:G68)),0)</f>
        <v>0</v>
      </c>
      <c r="G111" s="78">
        <f>IF(VALUE(TimeRemaining[#Headers])&lt;='Construction Dashboard'!$F68,IFERROR(VLOOKUP(TimeRemaining[[#This Row],[Time]],Upgrades[],MATCH("T"&amp;TimeRemaining[#Headers],Upgrades[#Headers],0),FALSE),0)*MAX(0,SUM('Construction Dashboard'!$G68:H68)),0)</f>
        <v>5</v>
      </c>
      <c r="H111" s="78">
        <f>IF(VALUE(TimeRemaining[#Headers])&lt;='Construction Dashboard'!$F68,IFERROR(VLOOKUP(TimeRemaining[[#This Row],[Time]],Upgrades[],MATCH("T"&amp;TimeRemaining[#Headers],Upgrades[#Headers],0),FALSE),0)*MAX(0,SUM('Construction Dashboard'!$G68:I68)),0)</f>
        <v>0</v>
      </c>
      <c r="I111" s="78">
        <f>IF(VALUE(TimeRemaining[#Headers])&lt;='Construction Dashboard'!$F68,IFERROR(VLOOKUP(TimeRemaining[[#This Row],[Time]],Upgrades[],MATCH("T"&amp;TimeRemaining[#Headers],Upgrades[#Headers],0),FALSE),0)*MAX(0,SUM('Construction Dashboard'!$G68:J68)),0)</f>
        <v>0</v>
      </c>
      <c r="J111" s="78">
        <f>IF(VALUE(TimeRemaining[#Headers])&lt;='Construction Dashboard'!$F68,IFERROR(VLOOKUP(TimeRemaining[[#This Row],[Time]],Upgrades[],MATCH("T"&amp;TimeRemaining[#Headers],Upgrades[#Headers],0),FALSE),0)*MAX(0,SUM('Construction Dashboard'!$G68:K68)),0)</f>
        <v>0</v>
      </c>
      <c r="K111" s="78">
        <f>IF(VALUE(TimeRemaining[#Headers])&lt;='Construction Dashboard'!$F68,IFERROR(VLOOKUP(TimeRemaining[[#This Row],[Time]],Upgrades[],MATCH("T"&amp;TimeRemaining[#Headers],Upgrades[#Headers],0),FALSE),0)*MAX(0,SUM('Construction Dashboard'!$G68:L68)),0)</f>
        <v>0</v>
      </c>
      <c r="L111" s="78">
        <f>IF(VALUE(TimeRemaining[#Headers])&lt;='Construction Dashboard'!$F68,IFERROR(VLOOKUP(TimeRemaining[[#This Row],[Time]],Upgrades[],MATCH("T"&amp;TimeRemaining[#Headers],Upgrades[#Headers],0),FALSE),0)*MAX(0,SUM('Construction Dashboard'!$G68:M68)),0)</f>
        <v>0</v>
      </c>
      <c r="M111" s="78">
        <f>IF(VALUE(TimeRemaining[#Headers])&lt;='Construction Dashboard'!$F68,IFERROR(VLOOKUP(TimeRemaining[[#This Row],[Time]],Upgrades[],MATCH("T"&amp;TimeRemaining[#Headers],Upgrades[#Headers],0),FALSE),0)*MAX(0,SUM('Construction Dashboard'!$G68:N68)),0)</f>
        <v>0</v>
      </c>
      <c r="N111" s="78">
        <f>IF(VALUE(TimeRemaining[#Headers])&lt;='Construction Dashboard'!$F68,IFERROR(VLOOKUP(TimeRemaining[[#This Row],[Time]],Upgrades[],MATCH("T"&amp;TimeRemaining[#Headers],Upgrades[#Headers],0),FALSE),0)*MAX(0,SUM('Construction Dashboard'!$G68:O68)),0)</f>
        <v>0</v>
      </c>
      <c r="O111" s="78">
        <f>IF(VALUE(TimeRemaining[#Headers])&lt;='Construction Dashboard'!$F68,IFERROR(VLOOKUP(TimeRemaining[[#This Row],[Time]],Upgrades[],MATCH("T"&amp;TimeRemaining[#Headers],Upgrades[#Headers],0),FALSE),0)*MAX(0,SUM('Construction Dashboard'!$G68:P68)),0)</f>
        <v>0</v>
      </c>
      <c r="P111" s="78">
        <f>IF(VALUE(TimeRemaining[#Headers])&lt;='Construction Dashboard'!$F68,IFERROR(VLOOKUP(TimeRemaining[[#This Row],[Time]],Upgrades[],MATCH("T"&amp;TimeRemaining[#Headers],Upgrades[#Headers],0),FALSE),0)*MAX(0,SUM('Construction Dashboard'!$G68:Q68)),0)</f>
        <v>0</v>
      </c>
      <c r="Q111" s="78">
        <f>IF(VALUE(TimeRemaining[#Headers])&lt;='Construction Dashboard'!$F68,IFERROR(VLOOKUP(TimeRemaining[[#This Row],[Time]],Upgrades[],MATCH("T"&amp;TimeRemaining[#Headers],Upgrades[#Headers],0),FALSE),0)*MAX(0,SUM('Construction Dashboard'!$G68:R68)),0)</f>
        <v>0</v>
      </c>
      <c r="R111" s="78">
        <f>IF(TimeRemaining[[#This Row],[MatchStr]]="IGNORE",0,SUM(TimeRemaining[[#This Row],[1]:[12]]))</f>
        <v>0</v>
      </c>
    </row>
    <row r="112" spans="1:18">
      <c r="A112" s="26" t="s">
        <v>99</v>
      </c>
      <c r="B112" s="73" t="str">
        <f>VLOOKUP(TimeRemaining[[#This Row],[Time]],Upgrades[],2,FALSE)</f>
        <v>Upgrade</v>
      </c>
      <c r="C112" s="73" t="str">
        <f>VLOOKUP(TimeRemaining[[#This Row],[Time]],Upgrades[],3,FALSE)</f>
        <v>Dark Elixir</v>
      </c>
      <c r="D112" s="172" t="str">
        <f>IF((IFERROR(MATCH(TimeRemaining[[#This Row],[Time]],'Construction Dashboard'!$P$19:$S$19,0),0)+IFERROR(MATCH(TimeRemaining[[#This Row],[Time]],'Construction Dashboard'!$P$20:$S$20,0),0))&gt;0,"IGNORE",TimeRemaining[Kind]&amp;"-"&amp;TimeRemaining[Resource])</f>
        <v>Upgrade-Dark Elixir</v>
      </c>
      <c r="E112" s="71">
        <f>IFERROR(VLOOKUP(TimeRemaining[[#This Row],[Time]],Upgrades[],MATCH("T"&amp;MATCH(TRUE,INDEX(TimeRemaining[[#This Row],[1]:[12]]&lt;&gt;0,),0),Upgrades[#Headers],0),FALSE),"")</f>
        <v>8</v>
      </c>
      <c r="F112" s="78">
        <f>IF(VALUE(TimeRemaining[#Headers])&lt;='Construction Dashboard'!$F69,IFERROR(VLOOKUP(TimeRemaining[[#This Row],[Time]],Upgrades[],MATCH("T"&amp;TimeRemaining[#Headers],Upgrades[#Headers],0),FALSE),0)*MAX(0,SUM('Construction Dashboard'!$G69:G69)),0)</f>
        <v>0</v>
      </c>
      <c r="G112" s="78">
        <f>IF(VALUE(TimeRemaining[#Headers])&lt;='Construction Dashboard'!$F69,IFERROR(VLOOKUP(TimeRemaining[[#This Row],[Time]],Upgrades[],MATCH("T"&amp;TimeRemaining[#Headers],Upgrades[#Headers],0),FALSE),0)*MAX(0,SUM('Construction Dashboard'!$G69:H69)),0)</f>
        <v>8</v>
      </c>
      <c r="H112" s="78">
        <f>IF(VALUE(TimeRemaining[#Headers])&lt;='Construction Dashboard'!$F69,IFERROR(VLOOKUP(TimeRemaining[[#This Row],[Time]],Upgrades[],MATCH("T"&amp;TimeRemaining[#Headers],Upgrades[#Headers],0),FALSE),0)*MAX(0,SUM('Construction Dashboard'!$G69:I69)),0)</f>
        <v>0</v>
      </c>
      <c r="I112" s="78">
        <f>IF(VALUE(TimeRemaining[#Headers])&lt;='Construction Dashboard'!$F69,IFERROR(VLOOKUP(TimeRemaining[[#This Row],[Time]],Upgrades[],MATCH("T"&amp;TimeRemaining[#Headers],Upgrades[#Headers],0),FALSE),0)*MAX(0,SUM('Construction Dashboard'!$G69:J69)),0)</f>
        <v>0</v>
      </c>
      <c r="J112" s="78">
        <f>IF(VALUE(TimeRemaining[#Headers])&lt;='Construction Dashboard'!$F69,IFERROR(VLOOKUP(TimeRemaining[[#This Row],[Time]],Upgrades[],MATCH("T"&amp;TimeRemaining[#Headers],Upgrades[#Headers],0),FALSE),0)*MAX(0,SUM('Construction Dashboard'!$G69:K69)),0)</f>
        <v>0</v>
      </c>
      <c r="K112" s="78">
        <f>IF(VALUE(TimeRemaining[#Headers])&lt;='Construction Dashboard'!$F69,IFERROR(VLOOKUP(TimeRemaining[[#This Row],[Time]],Upgrades[],MATCH("T"&amp;TimeRemaining[#Headers],Upgrades[#Headers],0),FALSE),0)*MAX(0,SUM('Construction Dashboard'!$G69:L69)),0)</f>
        <v>0</v>
      </c>
      <c r="L112" s="78">
        <f>IF(VALUE(TimeRemaining[#Headers])&lt;='Construction Dashboard'!$F69,IFERROR(VLOOKUP(TimeRemaining[[#This Row],[Time]],Upgrades[],MATCH("T"&amp;TimeRemaining[#Headers],Upgrades[#Headers],0),FALSE),0)*MAX(0,SUM('Construction Dashboard'!$G69:M69)),0)</f>
        <v>0</v>
      </c>
      <c r="M112" s="78">
        <f>IF(VALUE(TimeRemaining[#Headers])&lt;='Construction Dashboard'!$F69,IFERROR(VLOOKUP(TimeRemaining[[#This Row],[Time]],Upgrades[],MATCH("T"&amp;TimeRemaining[#Headers],Upgrades[#Headers],0),FALSE),0)*MAX(0,SUM('Construction Dashboard'!$G69:N69)),0)</f>
        <v>0</v>
      </c>
      <c r="N112" s="78">
        <f>IF(VALUE(TimeRemaining[#Headers])&lt;='Construction Dashboard'!$F69,IFERROR(VLOOKUP(TimeRemaining[[#This Row],[Time]],Upgrades[],MATCH("T"&amp;TimeRemaining[#Headers],Upgrades[#Headers],0),FALSE),0)*MAX(0,SUM('Construction Dashboard'!$G69:O69)),0)</f>
        <v>0</v>
      </c>
      <c r="O112" s="78">
        <f>IF(VALUE(TimeRemaining[#Headers])&lt;='Construction Dashboard'!$F69,IFERROR(VLOOKUP(TimeRemaining[[#This Row],[Time]],Upgrades[],MATCH("T"&amp;TimeRemaining[#Headers],Upgrades[#Headers],0),FALSE),0)*MAX(0,SUM('Construction Dashboard'!$G69:P69)),0)</f>
        <v>0</v>
      </c>
      <c r="P112" s="78">
        <f>IF(VALUE(TimeRemaining[#Headers])&lt;='Construction Dashboard'!$F69,IFERROR(VLOOKUP(TimeRemaining[[#This Row],[Time]],Upgrades[],MATCH("T"&amp;TimeRemaining[#Headers],Upgrades[#Headers],0),FALSE),0)*MAX(0,SUM('Construction Dashboard'!$G69:Q69)),0)</f>
        <v>0</v>
      </c>
      <c r="Q112" s="78">
        <f>IF(VALUE(TimeRemaining[#Headers])&lt;='Construction Dashboard'!$F69,IFERROR(VLOOKUP(TimeRemaining[[#This Row],[Time]],Upgrades[],MATCH("T"&amp;TimeRemaining[#Headers],Upgrades[#Headers],0),FALSE),0)*MAX(0,SUM('Construction Dashboard'!$G69:R69)),0)</f>
        <v>0</v>
      </c>
      <c r="R112" s="78">
        <f>IF(TimeRemaining[[#This Row],[MatchStr]]="IGNORE",0,SUM(TimeRemaining[[#This Row],[1]:[12]]))</f>
        <v>8</v>
      </c>
    </row>
    <row r="113" spans="1:18">
      <c r="A113" s="26" t="s">
        <v>100</v>
      </c>
      <c r="B113" s="73" t="str">
        <f>VLOOKUP(TimeRemaining[[#This Row],[Time]],Upgrades[],2,FALSE)</f>
        <v>Upgrade</v>
      </c>
      <c r="C113" s="73" t="str">
        <f>VLOOKUP(TimeRemaining[[#This Row],[Time]],Upgrades[],3,FALSE)</f>
        <v>Dark Elixir</v>
      </c>
      <c r="D113" s="172" t="str">
        <f>IF((IFERROR(MATCH(TimeRemaining[[#This Row],[Time]],'Construction Dashboard'!$P$19:$S$19,0),0)+IFERROR(MATCH(TimeRemaining[[#This Row],[Time]],'Construction Dashboard'!$P$20:$S$20,0),0))&gt;0,"IGNORE",TimeRemaining[Kind]&amp;"-"&amp;TimeRemaining[Resource])</f>
        <v>Upgrade-Dark Elixir</v>
      </c>
      <c r="E113" s="71" t="str">
        <f>IFERROR(VLOOKUP(TimeRemaining[[#This Row],[Time]],Upgrades[],MATCH("T"&amp;MATCH(TRUE,INDEX(TimeRemaining[[#This Row],[1]:[12]]&lt;&gt;0,),0),Upgrades[#Headers],0),FALSE),"")</f>
        <v/>
      </c>
      <c r="F113" s="78">
        <f>IF(VALUE(TimeRemaining[#Headers])&lt;='Construction Dashboard'!$F70,IFERROR(VLOOKUP(TimeRemaining[[#This Row],[Time]],Upgrades[],MATCH("T"&amp;TimeRemaining[#Headers],Upgrades[#Headers],0),FALSE),0)*MAX(0,SUM('Construction Dashboard'!$G70:G70)),0)</f>
        <v>0</v>
      </c>
      <c r="G113" s="78">
        <f>IF(VALUE(TimeRemaining[#Headers])&lt;='Construction Dashboard'!$F70,IFERROR(VLOOKUP(TimeRemaining[[#This Row],[Time]],Upgrades[],MATCH("T"&amp;TimeRemaining[#Headers],Upgrades[#Headers],0),FALSE),0)*MAX(0,SUM('Construction Dashboard'!$G70:H70)),0)</f>
        <v>0</v>
      </c>
      <c r="H113" s="78">
        <f>IF(VALUE(TimeRemaining[#Headers])&lt;='Construction Dashboard'!$F70,IFERROR(VLOOKUP(TimeRemaining[[#This Row],[Time]],Upgrades[],MATCH("T"&amp;TimeRemaining[#Headers],Upgrades[#Headers],0),FALSE),0)*MAX(0,SUM('Construction Dashboard'!$G70:I70)),0)</f>
        <v>0</v>
      </c>
      <c r="I113" s="78">
        <f>IF(VALUE(TimeRemaining[#Headers])&lt;='Construction Dashboard'!$F70,IFERROR(VLOOKUP(TimeRemaining[[#This Row],[Time]],Upgrades[],MATCH("T"&amp;TimeRemaining[#Headers],Upgrades[#Headers],0),FALSE),0)*MAX(0,SUM('Construction Dashboard'!$G70:J70)),0)</f>
        <v>0</v>
      </c>
      <c r="J113" s="78">
        <f>IF(VALUE(TimeRemaining[#Headers])&lt;='Construction Dashboard'!$F70,IFERROR(VLOOKUP(TimeRemaining[[#This Row],[Time]],Upgrades[],MATCH("T"&amp;TimeRemaining[#Headers],Upgrades[#Headers],0),FALSE),0)*MAX(0,SUM('Construction Dashboard'!$G70:K70)),0)</f>
        <v>0</v>
      </c>
      <c r="K113" s="78">
        <f>IF(VALUE(TimeRemaining[#Headers])&lt;='Construction Dashboard'!$F70,IFERROR(VLOOKUP(TimeRemaining[[#This Row],[Time]],Upgrades[],MATCH("T"&amp;TimeRemaining[#Headers],Upgrades[#Headers],0),FALSE),0)*MAX(0,SUM('Construction Dashboard'!$G70:L70)),0)</f>
        <v>0</v>
      </c>
      <c r="L113" s="78">
        <f>IF(VALUE(TimeRemaining[#Headers])&lt;='Construction Dashboard'!$F70,IFERROR(VLOOKUP(TimeRemaining[[#This Row],[Time]],Upgrades[],MATCH("T"&amp;TimeRemaining[#Headers],Upgrades[#Headers],0),FALSE),0)*MAX(0,SUM('Construction Dashboard'!$G70:M70)),0)</f>
        <v>0</v>
      </c>
      <c r="M113" s="78">
        <f>IF(VALUE(TimeRemaining[#Headers])&lt;='Construction Dashboard'!$F70,IFERROR(VLOOKUP(TimeRemaining[[#This Row],[Time]],Upgrades[],MATCH("T"&amp;TimeRemaining[#Headers],Upgrades[#Headers],0),FALSE),0)*MAX(0,SUM('Construction Dashboard'!$G70:N70)),0)</f>
        <v>0</v>
      </c>
      <c r="N113" s="78">
        <f>IF(VALUE(TimeRemaining[#Headers])&lt;='Construction Dashboard'!$F70,IFERROR(VLOOKUP(TimeRemaining[[#This Row],[Time]],Upgrades[],MATCH("T"&amp;TimeRemaining[#Headers],Upgrades[#Headers],0),FALSE),0)*MAX(0,SUM('Construction Dashboard'!$G70:O70)),0)</f>
        <v>0</v>
      </c>
      <c r="O113" s="78">
        <f>IF(VALUE(TimeRemaining[#Headers])&lt;='Construction Dashboard'!$F70,IFERROR(VLOOKUP(TimeRemaining[[#This Row],[Time]],Upgrades[],MATCH("T"&amp;TimeRemaining[#Headers],Upgrades[#Headers],0),FALSE),0)*MAX(0,SUM('Construction Dashboard'!$G70:P70)),0)</f>
        <v>0</v>
      </c>
      <c r="P113" s="78">
        <f>IF(VALUE(TimeRemaining[#Headers])&lt;='Construction Dashboard'!$F70,IFERROR(VLOOKUP(TimeRemaining[[#This Row],[Time]],Upgrades[],MATCH("T"&amp;TimeRemaining[#Headers],Upgrades[#Headers],0),FALSE),0)*MAX(0,SUM('Construction Dashboard'!$G70:Q70)),0)</f>
        <v>0</v>
      </c>
      <c r="Q113" s="78">
        <f>IF(VALUE(TimeRemaining[#Headers])&lt;='Construction Dashboard'!$F70,IFERROR(VLOOKUP(TimeRemaining[[#This Row],[Time]],Upgrades[],MATCH("T"&amp;TimeRemaining[#Headers],Upgrades[#Headers],0),FALSE),0)*MAX(0,SUM('Construction Dashboard'!$G70:R70)),0)</f>
        <v>0</v>
      </c>
      <c r="R113" s="78">
        <f>IF(TimeRemaining[[#This Row],[MatchStr]]="IGNORE",0,SUM(TimeRemaining[[#This Row],[1]:[12]]))</f>
        <v>0</v>
      </c>
    </row>
    <row r="114" spans="1:18">
      <c r="A114" s="26" t="s">
        <v>101</v>
      </c>
      <c r="B114" s="73" t="str">
        <f>VLOOKUP(TimeRemaining[[#This Row],[Time]],Upgrades[],2,FALSE)</f>
        <v>Upgrade</v>
      </c>
      <c r="C114" s="73" t="str">
        <f>VLOOKUP(TimeRemaining[[#This Row],[Time]],Upgrades[],3,FALSE)</f>
        <v>Dark Elixir</v>
      </c>
      <c r="D114" s="172" t="str">
        <f>IF((IFERROR(MATCH(TimeRemaining[[#This Row],[Time]],'Construction Dashboard'!$P$19:$S$19,0),0)+IFERROR(MATCH(TimeRemaining[[#This Row],[Time]],'Construction Dashboard'!$P$20:$S$20,0),0))&gt;0,"IGNORE",TimeRemaining[Kind]&amp;"-"&amp;TimeRemaining[Resource])</f>
        <v>Upgrade-Dark Elixir</v>
      </c>
      <c r="E114" s="71" t="str">
        <f>IFERROR(VLOOKUP(TimeRemaining[[#This Row],[Time]],Upgrades[],MATCH("T"&amp;MATCH(TRUE,INDEX(TimeRemaining[[#This Row],[1]:[12]]&lt;&gt;0,),0),Upgrades[#Headers],0),FALSE),"")</f>
        <v/>
      </c>
      <c r="F114" s="78">
        <f>IF(VALUE(TimeRemaining[#Headers])&lt;='Construction Dashboard'!$F71,IFERROR(VLOOKUP(TimeRemaining[[#This Row],[Time]],Upgrades[],MATCH("T"&amp;TimeRemaining[#Headers],Upgrades[#Headers],0),FALSE),0)*MAX(0,SUM('Construction Dashboard'!$G71:G71)),0)</f>
        <v>0</v>
      </c>
      <c r="G114" s="78">
        <f>IF(VALUE(TimeRemaining[#Headers])&lt;='Construction Dashboard'!$F71,IFERROR(VLOOKUP(TimeRemaining[[#This Row],[Time]],Upgrades[],MATCH("T"&amp;TimeRemaining[#Headers],Upgrades[#Headers],0),FALSE),0)*MAX(0,SUM('Construction Dashboard'!$G71:H71)),0)</f>
        <v>0</v>
      </c>
      <c r="H114" s="78">
        <f>IF(VALUE(TimeRemaining[#Headers])&lt;='Construction Dashboard'!$F71,IFERROR(VLOOKUP(TimeRemaining[[#This Row],[Time]],Upgrades[],MATCH("T"&amp;TimeRemaining[#Headers],Upgrades[#Headers],0),FALSE),0)*MAX(0,SUM('Construction Dashboard'!$G71:I71)),0)</f>
        <v>0</v>
      </c>
      <c r="I114" s="78">
        <f>IF(VALUE(TimeRemaining[#Headers])&lt;='Construction Dashboard'!$F71,IFERROR(VLOOKUP(TimeRemaining[[#This Row],[Time]],Upgrades[],MATCH("T"&amp;TimeRemaining[#Headers],Upgrades[#Headers],0),FALSE),0)*MAX(0,SUM('Construction Dashboard'!$G71:J71)),0)</f>
        <v>0</v>
      </c>
      <c r="J114" s="78">
        <f>IF(VALUE(TimeRemaining[#Headers])&lt;='Construction Dashboard'!$F71,IFERROR(VLOOKUP(TimeRemaining[[#This Row],[Time]],Upgrades[],MATCH("T"&amp;TimeRemaining[#Headers],Upgrades[#Headers],0),FALSE),0)*MAX(0,SUM('Construction Dashboard'!$G71:K71)),0)</f>
        <v>0</v>
      </c>
      <c r="K114" s="78">
        <f>IF(VALUE(TimeRemaining[#Headers])&lt;='Construction Dashboard'!$F71,IFERROR(VLOOKUP(TimeRemaining[[#This Row],[Time]],Upgrades[],MATCH("T"&amp;TimeRemaining[#Headers],Upgrades[#Headers],0),FALSE),0)*MAX(0,SUM('Construction Dashboard'!$G71:L71)),0)</f>
        <v>0</v>
      </c>
      <c r="L114" s="78">
        <f>IF(VALUE(TimeRemaining[#Headers])&lt;='Construction Dashboard'!$F71,IFERROR(VLOOKUP(TimeRemaining[[#This Row],[Time]],Upgrades[],MATCH("T"&amp;TimeRemaining[#Headers],Upgrades[#Headers],0),FALSE),0)*MAX(0,SUM('Construction Dashboard'!$G71:M71)),0)</f>
        <v>0</v>
      </c>
      <c r="M114" s="78">
        <f>IF(VALUE(TimeRemaining[#Headers])&lt;='Construction Dashboard'!$F71,IFERROR(VLOOKUP(TimeRemaining[[#This Row],[Time]],Upgrades[],MATCH("T"&amp;TimeRemaining[#Headers],Upgrades[#Headers],0),FALSE),0)*MAX(0,SUM('Construction Dashboard'!$G71:N71)),0)</f>
        <v>0</v>
      </c>
      <c r="N114" s="78">
        <f>IF(VALUE(TimeRemaining[#Headers])&lt;='Construction Dashboard'!$F71,IFERROR(VLOOKUP(TimeRemaining[[#This Row],[Time]],Upgrades[],MATCH("T"&amp;TimeRemaining[#Headers],Upgrades[#Headers],0),FALSE),0)*MAX(0,SUM('Construction Dashboard'!$G71:O71)),0)</f>
        <v>0</v>
      </c>
      <c r="O114" s="78">
        <f>IF(VALUE(TimeRemaining[#Headers])&lt;='Construction Dashboard'!$F71,IFERROR(VLOOKUP(TimeRemaining[[#This Row],[Time]],Upgrades[],MATCH("T"&amp;TimeRemaining[#Headers],Upgrades[#Headers],0),FALSE),0)*MAX(0,SUM('Construction Dashboard'!$G71:P71)),0)</f>
        <v>0</v>
      </c>
      <c r="P114" s="78">
        <f>IF(VALUE(TimeRemaining[#Headers])&lt;='Construction Dashboard'!$F71,IFERROR(VLOOKUP(TimeRemaining[[#This Row],[Time]],Upgrades[],MATCH("T"&amp;TimeRemaining[#Headers],Upgrades[#Headers],0),FALSE),0)*MAX(0,SUM('Construction Dashboard'!$G71:Q71)),0)</f>
        <v>0</v>
      </c>
      <c r="Q114" s="78">
        <f>IF(VALUE(TimeRemaining[#Headers])&lt;='Construction Dashboard'!$F71,IFERROR(VLOOKUP(TimeRemaining[[#This Row],[Time]],Upgrades[],MATCH("T"&amp;TimeRemaining[#Headers],Upgrades[#Headers],0),FALSE),0)*MAX(0,SUM('Construction Dashboard'!$G71:R71)),0)</f>
        <v>0</v>
      </c>
      <c r="R114" s="78">
        <f>IF(TimeRemaining[[#This Row],[MatchStr]]="IGNORE",0,SUM(TimeRemaining[[#This Row],[1]:[12]]))</f>
        <v>0</v>
      </c>
    </row>
    <row r="115" spans="1:18">
      <c r="A115" s="74" t="s">
        <v>102</v>
      </c>
      <c r="B115" s="75" t="str">
        <f>VLOOKUP(TimeRemaining[[#This Row],[Time]],Upgrades[],2,FALSE)</f>
        <v>Upgrade</v>
      </c>
      <c r="C115" s="75" t="str">
        <f>VLOOKUP(TimeRemaining[[#This Row],[Time]],Upgrades[],3,FALSE)</f>
        <v>Dark Elixir</v>
      </c>
      <c r="D115" s="173" t="str">
        <f>IF((IFERROR(MATCH(TimeRemaining[[#This Row],[Time]],'Construction Dashboard'!$P$19:$S$19,0),0)+IFERROR(MATCH(TimeRemaining[[#This Row],[Time]],'Construction Dashboard'!$P$20:$S$20,0),0))&gt;0,"IGNORE",TimeRemaining[Kind]&amp;"-"&amp;TimeRemaining[Resource])</f>
        <v>Upgrade-Dark Elixir</v>
      </c>
      <c r="E115" s="76" t="str">
        <f>IFERROR(VLOOKUP(TimeRemaining[[#This Row],[Time]],Upgrades[],MATCH("T"&amp;MATCH(TRUE,INDEX(TimeRemaining[[#This Row],[1]:[12]]&lt;&gt;0,),0),Upgrades[#Headers],0),FALSE),"")</f>
        <v/>
      </c>
      <c r="F115" s="80">
        <f>IF(VALUE(TimeRemaining[#Headers])&lt;='Construction Dashboard'!$F72,IFERROR(VLOOKUP(TimeRemaining[[#This Row],[Time]],Upgrades[],MATCH("T"&amp;TimeRemaining[#Headers],Upgrades[#Headers],0),FALSE),0)*MAX(0,SUM('Construction Dashboard'!$G72:G72)),0)</f>
        <v>0</v>
      </c>
      <c r="G115" s="80">
        <f>IF(VALUE(TimeRemaining[#Headers])&lt;='Construction Dashboard'!$F72,IFERROR(VLOOKUP(TimeRemaining[[#This Row],[Time]],Upgrades[],MATCH("T"&amp;TimeRemaining[#Headers],Upgrades[#Headers],0),FALSE),0)*MAX(0,SUM('Construction Dashboard'!$G72:H72)),0)</f>
        <v>0</v>
      </c>
      <c r="H115" s="80">
        <f>IF(VALUE(TimeRemaining[#Headers])&lt;='Construction Dashboard'!$F72,IFERROR(VLOOKUP(TimeRemaining[[#This Row],[Time]],Upgrades[],MATCH("T"&amp;TimeRemaining[#Headers],Upgrades[#Headers],0),FALSE),0)*MAX(0,SUM('Construction Dashboard'!$G72:I72)),0)</f>
        <v>0</v>
      </c>
      <c r="I115" s="80">
        <f>IF(VALUE(TimeRemaining[#Headers])&lt;='Construction Dashboard'!$F72,IFERROR(VLOOKUP(TimeRemaining[[#This Row],[Time]],Upgrades[],MATCH("T"&amp;TimeRemaining[#Headers],Upgrades[#Headers],0),FALSE),0)*MAX(0,SUM('Construction Dashboard'!$G72:J72)),0)</f>
        <v>0</v>
      </c>
      <c r="J115" s="80">
        <f>IF(VALUE(TimeRemaining[#Headers])&lt;='Construction Dashboard'!$F72,IFERROR(VLOOKUP(TimeRemaining[[#This Row],[Time]],Upgrades[],MATCH("T"&amp;TimeRemaining[#Headers],Upgrades[#Headers],0),FALSE),0)*MAX(0,SUM('Construction Dashboard'!$G72:K72)),0)</f>
        <v>0</v>
      </c>
      <c r="K115" s="80">
        <f>IF(VALUE(TimeRemaining[#Headers])&lt;='Construction Dashboard'!$F72,IFERROR(VLOOKUP(TimeRemaining[[#This Row],[Time]],Upgrades[],MATCH("T"&amp;TimeRemaining[#Headers],Upgrades[#Headers],0),FALSE),0)*MAX(0,SUM('Construction Dashboard'!$G72:L72)),0)</f>
        <v>0</v>
      </c>
      <c r="L115" s="80">
        <f>IF(VALUE(TimeRemaining[#Headers])&lt;='Construction Dashboard'!$F72,IFERROR(VLOOKUP(TimeRemaining[[#This Row],[Time]],Upgrades[],MATCH("T"&amp;TimeRemaining[#Headers],Upgrades[#Headers],0),FALSE),0)*MAX(0,SUM('Construction Dashboard'!$G72:M72)),0)</f>
        <v>0</v>
      </c>
      <c r="M115" s="80">
        <f>IF(VALUE(TimeRemaining[#Headers])&lt;='Construction Dashboard'!$F72,IFERROR(VLOOKUP(TimeRemaining[[#This Row],[Time]],Upgrades[],MATCH("T"&amp;TimeRemaining[#Headers],Upgrades[#Headers],0),FALSE),0)*MAX(0,SUM('Construction Dashboard'!$G72:N72)),0)</f>
        <v>0</v>
      </c>
      <c r="N115" s="80">
        <f>IF(VALUE(TimeRemaining[#Headers])&lt;='Construction Dashboard'!$F72,IFERROR(VLOOKUP(TimeRemaining[[#This Row],[Time]],Upgrades[],MATCH("T"&amp;TimeRemaining[#Headers],Upgrades[#Headers],0),FALSE),0)*MAX(0,SUM('Construction Dashboard'!$G72:O72)),0)</f>
        <v>0</v>
      </c>
      <c r="O115" s="80">
        <f>IF(VALUE(TimeRemaining[#Headers])&lt;='Construction Dashboard'!$F72,IFERROR(VLOOKUP(TimeRemaining[[#This Row],[Time]],Upgrades[],MATCH("T"&amp;TimeRemaining[#Headers],Upgrades[#Headers],0),FALSE),0)*MAX(0,SUM('Construction Dashboard'!$G72:P72)),0)</f>
        <v>0</v>
      </c>
      <c r="P115" s="80">
        <f>IF(VALUE(TimeRemaining[#Headers])&lt;='Construction Dashboard'!$F72,IFERROR(VLOOKUP(TimeRemaining[[#This Row],[Time]],Upgrades[],MATCH("T"&amp;TimeRemaining[#Headers],Upgrades[#Headers],0),FALSE),0)*MAX(0,SUM('Construction Dashboard'!$G72:Q72)),0)</f>
        <v>0</v>
      </c>
      <c r="Q115" s="80">
        <f>IF(VALUE(TimeRemaining[#Headers])&lt;='Construction Dashboard'!$F72,IFERROR(VLOOKUP(TimeRemaining[[#This Row],[Time]],Upgrades[],MATCH("T"&amp;TimeRemaining[#Headers],Upgrades[#Headers],0),FALSE),0)*MAX(0,SUM('Construction Dashboard'!$G72:R72)),0)</f>
        <v>0</v>
      </c>
      <c r="R115" s="80">
        <f>IF(TimeRemaining[[#This Row],[MatchStr]]="IGNORE",0,SUM(TimeRemaining[[#This Row],[1]:[12]]))</f>
        <v>0</v>
      </c>
    </row>
  </sheetData>
  <mergeCells count="3">
    <mergeCell ref="A64:AA64"/>
    <mergeCell ref="A10:AA10"/>
    <mergeCell ref="A4:AA4"/>
  </mergeCells>
  <conditionalFormatting sqref="A11:R61">
    <cfRule type="containsErrors" dxfId="45" priority="3">
      <formula>ISERROR(A11)</formula>
    </cfRule>
  </conditionalFormatting>
  <conditionalFormatting sqref="E13:E61">
    <cfRule type="colorScale" priority="4">
      <colorScale>
        <cfvo type="min"/>
        <cfvo type="max"/>
        <color theme="6" tint="0.79998168889431442"/>
        <color theme="6" tint="-0.249977111117893"/>
      </colorScale>
    </cfRule>
  </conditionalFormatting>
  <conditionalFormatting sqref="E67:E115">
    <cfRule type="colorScale" priority="2">
      <colorScale>
        <cfvo type="min"/>
        <cfvo type="max"/>
        <color theme="6" tint="0.79998168889431442"/>
        <color theme="6" tint="-0.249977111117893"/>
      </colorScale>
    </cfRule>
  </conditionalFormatting>
  <conditionalFormatting sqref="A65:R115">
    <cfRule type="containsErrors" dxfId="44" priority="1">
      <formula>ISERROR(A65)</formula>
    </cfRule>
  </conditionalFormatting>
  <pageMargins left="0.75" right="0.75" top="1" bottom="1" header="0.5" footer="0.5"/>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Construction Dashboard</vt:lpstr>
      <vt:lpstr>Army Dashboard</vt:lpstr>
      <vt:lpstr>Scratch</vt:lpstr>
      <vt:lpstr>About</vt:lpstr>
      <vt:lpstr>Statistics</vt:lpstr>
      <vt:lpstr>Calculations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Strax-Haber</dc:creator>
  <cp:lastModifiedBy>Matthew Strax-Haber</cp:lastModifiedBy>
  <cp:lastPrinted>2014-06-25T09:05:00Z</cp:lastPrinted>
  <dcterms:created xsi:type="dcterms:W3CDTF">2014-05-21T13:26:34Z</dcterms:created>
  <dcterms:modified xsi:type="dcterms:W3CDTF">2014-07-11T07:32:33Z</dcterms:modified>
</cp:coreProperties>
</file>