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workbookProtection workbookPassword="9AF0" lockStructure="1"/>
  <bookViews>
    <workbookView xWindow="0" yWindow="0" windowWidth="38400" windowHeight="21080" tabRatio="669" activeTab="1"/>
  </bookViews>
  <sheets>
    <sheet name="Construction Dashboard" sheetId="4" r:id="rId1"/>
    <sheet name="Army Dashboard" sheetId="7" r:id="rId2"/>
    <sheet name="Scratch" sheetId="5" r:id="rId3"/>
    <sheet name="About" sheetId="6" r:id="rId4"/>
    <sheet name="Data" sheetId="3" r:id="rId5"/>
    <sheet name="Calculations" sheetId="8" r:id="rId6"/>
  </sheets>
  <definedNames>
    <definedName name="Actionables">Data!$A$248:$A$301</definedName>
    <definedName name="AllNames">Upgrades[Building]</definedName>
    <definedName name="AQLevel">'Construction Dashboard'!$I$22</definedName>
    <definedName name="ArmyCap">'Construction Dashboard'!$K$13</definedName>
    <definedName name="AttackSet">'Army Dashboard'!$P$6</definedName>
    <definedName name="BKLevel">'Construction Dashboard'!$I$21</definedName>
    <definedName name="Booleans">Data!$C$248:$C$249</definedName>
    <definedName name="L1Offset">Calculations!$B$4</definedName>
    <definedName name="LabLevel">Calculations!$B$6</definedName>
    <definedName name="NumBarracks">Calculations!$B$7</definedName>
    <definedName name="NumBuilders">'Construction Dashboard'!$I$19</definedName>
    <definedName name="NumDarkBarracks">Calculations!$B$8</definedName>
    <definedName name="Order">'Army Dashboard'!#REF!</definedName>
    <definedName name="SetToMax">'Construction Dashboard'!$I$20</definedName>
    <definedName name="Skips">'Construction Dashboard'!$P$19:$S$20</definedName>
    <definedName name="SpellCap">Calculations!$B$9</definedName>
    <definedName name="THL">'Construction Dashboard'!#REF!</definedName>
    <definedName name="THLevel">Calculations!$B$5</definedName>
    <definedName name="UnitSetNames">AttackSets[[#Headers],[Custom]:[Test]]</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B9" i="8" l="1"/>
  <c r="F33" i="7"/>
  <c r="C9" i="7"/>
  <c r="C10" i="7"/>
  <c r="C11" i="7"/>
  <c r="C12" i="7"/>
  <c r="B9" i="7"/>
  <c r="H9" i="7"/>
  <c r="K9" i="7"/>
  <c r="B10" i="7"/>
  <c r="H10" i="7"/>
  <c r="K10" i="7"/>
  <c r="B11" i="7"/>
  <c r="H11" i="7"/>
  <c r="K11" i="7"/>
  <c r="B12" i="7"/>
  <c r="H12" i="7"/>
  <c r="K12" i="7"/>
  <c r="B13" i="7"/>
  <c r="H13" i="7"/>
  <c r="K13" i="7"/>
  <c r="B14" i="7"/>
  <c r="H14" i="7"/>
  <c r="K14" i="7"/>
  <c r="B15" i="7"/>
  <c r="H15" i="7"/>
  <c r="K15" i="7"/>
  <c r="B16" i="7"/>
  <c r="H16" i="7"/>
  <c r="K16" i="7"/>
  <c r="B17" i="7"/>
  <c r="H17" i="7"/>
  <c r="K17" i="7"/>
  <c r="B18" i="7"/>
  <c r="H18" i="7"/>
  <c r="K18" i="7"/>
  <c r="B19" i="7"/>
  <c r="H19" i="7"/>
  <c r="K19" i="7"/>
  <c r="B20" i="7"/>
  <c r="H20" i="7"/>
  <c r="K20" i="7"/>
  <c r="B21" i="7"/>
  <c r="H21" i="7"/>
  <c r="K21" i="7"/>
  <c r="B22" i="7"/>
  <c r="H22" i="7"/>
  <c r="K22" i="7"/>
  <c r="B23" i="7"/>
  <c r="H23" i="7"/>
  <c r="K23" i="7"/>
  <c r="B24" i="7"/>
  <c r="H24" i="7"/>
  <c r="K24" i="7"/>
  <c r="B25" i="7"/>
  <c r="H25" i="7"/>
  <c r="K25" i="7"/>
  <c r="B26" i="7"/>
  <c r="H26" i="7"/>
  <c r="K26" i="7"/>
  <c r="B27" i="7"/>
  <c r="H27" i="7"/>
  <c r="K27" i="7"/>
  <c r="B28" i="7"/>
  <c r="H28" i="7"/>
  <c r="K28" i="7"/>
  <c r="C13" i="7"/>
  <c r="C14" i="7"/>
  <c r="C15" i="7"/>
  <c r="C16" i="7"/>
  <c r="C17" i="7"/>
  <c r="C18" i="7"/>
  <c r="C19" i="7"/>
  <c r="C20" i="7"/>
  <c r="C21" i="7"/>
  <c r="C22" i="7"/>
  <c r="C23" i="7"/>
  <c r="C24" i="7"/>
  <c r="C25" i="7"/>
  <c r="C26" i="7"/>
  <c r="C27" i="7"/>
  <c r="C28" i="7"/>
  <c r="G33" i="7"/>
  <c r="F32" i="7"/>
  <c r="G32" i="7"/>
  <c r="G9" i="7"/>
  <c r="G10" i="7"/>
  <c r="G11" i="7"/>
  <c r="G12" i="7"/>
  <c r="G13" i="7"/>
  <c r="G14" i="7"/>
  <c r="G15" i="7"/>
  <c r="G16" i="7"/>
  <c r="G17" i="7"/>
  <c r="G18" i="7"/>
  <c r="G19" i="7"/>
  <c r="G20" i="7"/>
  <c r="G21" i="7"/>
  <c r="G22" i="7"/>
  <c r="G23" i="7"/>
  <c r="G24" i="7"/>
  <c r="G25" i="7"/>
  <c r="G26" i="7"/>
  <c r="G27" i="7"/>
  <c r="G28" i="7"/>
  <c r="B4" i="8"/>
  <c r="B8" i="8"/>
  <c r="J28" i="7"/>
  <c r="J27" i="7"/>
  <c r="J24" i="7"/>
  <c r="J26" i="7"/>
  <c r="J18" i="7"/>
  <c r="J16" i="7"/>
  <c r="J15" i="7"/>
  <c r="J17" i="7"/>
  <c r="J14" i="7"/>
  <c r="J11" i="7"/>
  <c r="J9" i="7"/>
  <c r="J13" i="7"/>
  <c r="J12" i="7"/>
  <c r="J10" i="7"/>
  <c r="J22" i="7"/>
  <c r="J23" i="7"/>
  <c r="J19" i="7"/>
  <c r="J20" i="7"/>
  <c r="J21" i="7"/>
  <c r="J25" i="7"/>
  <c r="E18" i="7"/>
  <c r="E16" i="7"/>
  <c r="E15" i="7"/>
  <c r="E17" i="7"/>
  <c r="E14" i="7"/>
  <c r="E11" i="7"/>
  <c r="E9" i="7"/>
  <c r="E13" i="7"/>
  <c r="E12" i="7"/>
  <c r="E10" i="7"/>
  <c r="E22" i="7"/>
  <c r="E23" i="7"/>
  <c r="E19" i="7"/>
  <c r="E20" i="7"/>
  <c r="E21" i="7"/>
  <c r="E28" i="7"/>
  <c r="E27" i="7"/>
  <c r="E24" i="7"/>
  <c r="E26" i="7"/>
  <c r="E25" i="7"/>
  <c r="J33" i="7"/>
  <c r="Z30" i="7"/>
  <c r="T6" i="8"/>
  <c r="S6" i="8"/>
  <c r="R6" i="8"/>
  <c r="Q6" i="8"/>
  <c r="P6" i="8"/>
  <c r="O6" i="8"/>
  <c r="N6" i="8"/>
  <c r="M6" i="8"/>
  <c r="L6" i="8"/>
  <c r="K6" i="8"/>
  <c r="J6" i="8"/>
  <c r="I6" i="8"/>
  <c r="H6" i="8"/>
  <c r="E8" i="8"/>
  <c r="AA25" i="7"/>
  <c r="AA26" i="7"/>
  <c r="AA27" i="7"/>
  <c r="AA28" i="7"/>
  <c r="AA29" i="7"/>
  <c r="AA30" i="7"/>
  <c r="E9" i="8"/>
  <c r="AB25" i="7"/>
  <c r="AB26" i="7"/>
  <c r="AB27" i="7"/>
  <c r="AB28" i="7"/>
  <c r="AB29" i="7"/>
  <c r="T5" i="8"/>
  <c r="S5" i="8"/>
  <c r="R5" i="8"/>
  <c r="Q5" i="8"/>
  <c r="P5" i="8"/>
  <c r="O5" i="8"/>
  <c r="N5" i="8"/>
  <c r="M5" i="8"/>
  <c r="L5" i="8"/>
  <c r="K5" i="8"/>
  <c r="J5" i="8"/>
  <c r="I5" i="8"/>
  <c r="H5" i="8"/>
  <c r="E4" i="8"/>
  <c r="B7" i="8"/>
  <c r="J32" i="7"/>
  <c r="Z19" i="7"/>
  <c r="AA9" i="7"/>
  <c r="AA10" i="7"/>
  <c r="AA11" i="7"/>
  <c r="AA12" i="7"/>
  <c r="AA13" i="7"/>
  <c r="AA14" i="7"/>
  <c r="AA15" i="7"/>
  <c r="AA16" i="7"/>
  <c r="AA17" i="7"/>
  <c r="AA18" i="7"/>
  <c r="E5" i="8"/>
  <c r="AA19" i="7"/>
  <c r="AB9" i="7"/>
  <c r="AB10" i="7"/>
  <c r="AB11" i="7"/>
  <c r="AB12" i="7"/>
  <c r="AB13" i="7"/>
  <c r="AB14" i="7"/>
  <c r="AB15" i="7"/>
  <c r="AB16" i="7"/>
  <c r="AB17" i="7"/>
  <c r="AB18" i="7"/>
  <c r="E6" i="8"/>
  <c r="AB19" i="7"/>
  <c r="AC9" i="7"/>
  <c r="AC10" i="7"/>
  <c r="AC11" i="7"/>
  <c r="AC12" i="7"/>
  <c r="AC13" i="7"/>
  <c r="AC14" i="7"/>
  <c r="AC15" i="7"/>
  <c r="AC16" i="7"/>
  <c r="AC17" i="7"/>
  <c r="AC18" i="7"/>
  <c r="E7" i="8"/>
  <c r="AC19" i="7"/>
  <c r="AD9" i="7"/>
  <c r="AD10" i="7"/>
  <c r="AD11" i="7"/>
  <c r="AD12" i="7"/>
  <c r="AD13" i="7"/>
  <c r="AD14" i="7"/>
  <c r="AD15" i="7"/>
  <c r="AD16" i="7"/>
  <c r="AD17" i="7"/>
  <c r="AD18" i="7"/>
  <c r="K32" i="7"/>
  <c r="K33" i="7"/>
  <c r="B5" i="8"/>
  <c r="D14" i="8"/>
  <c r="D15" i="8"/>
  <c r="J34" i="7"/>
  <c r="K34" i="7"/>
  <c r="K13" i="4" a="1"/>
  <c r="K13" i="4"/>
  <c r="D25" i="7"/>
  <c r="D26" i="7"/>
  <c r="D24" i="7"/>
  <c r="D27" i="7"/>
  <c r="D28" i="7"/>
  <c r="D21" i="7"/>
  <c r="D20" i="7"/>
  <c r="D19" i="7"/>
  <c r="D23" i="7"/>
  <c r="D22" i="7"/>
  <c r="D10" i="7"/>
  <c r="D12" i="7"/>
  <c r="D13" i="7"/>
  <c r="D9" i="7"/>
  <c r="D11" i="7"/>
  <c r="D14" i="7"/>
  <c r="D17" i="7"/>
  <c r="D15" i="7"/>
  <c r="D16" i="7"/>
  <c r="D18" i="7"/>
  <c r="C122" i="8"/>
  <c r="C121" i="8"/>
  <c r="C120" i="8"/>
  <c r="C119" i="8"/>
  <c r="C118" i="8"/>
  <c r="C117" i="8"/>
  <c r="C116" i="8"/>
  <c r="C115" i="8"/>
  <c r="C114" i="8"/>
  <c r="C113" i="8"/>
  <c r="C112" i="8"/>
  <c r="C111" i="8"/>
  <c r="C110" i="8"/>
  <c r="C109" i="8"/>
  <c r="C108" i="8"/>
  <c r="C107" i="8"/>
  <c r="C106" i="8"/>
  <c r="C105" i="8"/>
  <c r="C104" i="8"/>
  <c r="C103" i="8"/>
  <c r="C102" i="8"/>
  <c r="C101" i="8"/>
  <c r="C100" i="8"/>
  <c r="C99" i="8"/>
  <c r="C98" i="8"/>
  <c r="C97" i="8"/>
  <c r="C96" i="8"/>
  <c r="C95" i="8"/>
  <c r="C94" i="8"/>
  <c r="C93" i="8"/>
  <c r="C92" i="8"/>
  <c r="C91" i="8"/>
  <c r="C90" i="8"/>
  <c r="C89" i="8"/>
  <c r="C88" i="8"/>
  <c r="C87" i="8"/>
  <c r="C86" i="8"/>
  <c r="C85" i="8"/>
  <c r="C84" i="8"/>
  <c r="C83" i="8"/>
  <c r="C82" i="8"/>
  <c r="C81" i="8"/>
  <c r="C80" i="8"/>
  <c r="C79" i="8"/>
  <c r="C78" i="8"/>
  <c r="C77" i="8"/>
  <c r="C76" i="8"/>
  <c r="C75" i="8"/>
  <c r="C74" i="8"/>
  <c r="B122" i="8"/>
  <c r="B121" i="8"/>
  <c r="B120" i="8"/>
  <c r="B119" i="8"/>
  <c r="B118" i="8"/>
  <c r="B117" i="8"/>
  <c r="B116" i="8"/>
  <c r="B115" i="8"/>
  <c r="B114" i="8"/>
  <c r="B113" i="8"/>
  <c r="B112" i="8"/>
  <c r="B111" i="8"/>
  <c r="B110" i="8"/>
  <c r="B109" i="8"/>
  <c r="B108" i="8"/>
  <c r="B107" i="8"/>
  <c r="B106" i="8"/>
  <c r="B105" i="8"/>
  <c r="B104" i="8"/>
  <c r="B103" i="8"/>
  <c r="B102" i="8"/>
  <c r="B101" i="8"/>
  <c r="B100" i="8"/>
  <c r="B99" i="8"/>
  <c r="B98" i="8"/>
  <c r="B97" i="8"/>
  <c r="B96" i="8"/>
  <c r="B95" i="8"/>
  <c r="B94" i="8"/>
  <c r="B93" i="8"/>
  <c r="B92" i="8"/>
  <c r="B91" i="8"/>
  <c r="B90" i="8"/>
  <c r="B89" i="8"/>
  <c r="B88" i="8"/>
  <c r="B87" i="8"/>
  <c r="B86" i="8"/>
  <c r="B85" i="8"/>
  <c r="B84" i="8"/>
  <c r="B83" i="8"/>
  <c r="B82" i="8"/>
  <c r="B81" i="8"/>
  <c r="B80" i="8"/>
  <c r="B79" i="8"/>
  <c r="B78" i="8"/>
  <c r="B77" i="8"/>
  <c r="B76" i="8"/>
  <c r="B75" i="8"/>
  <c r="B74" i="8"/>
  <c r="B20" i="8"/>
  <c r="C20" i="8"/>
  <c r="D20" i="8"/>
  <c r="B21" i="8"/>
  <c r="C21" i="8"/>
  <c r="D21" i="8"/>
  <c r="B22" i="8"/>
  <c r="C22" i="8"/>
  <c r="D22" i="8"/>
  <c r="B23" i="8"/>
  <c r="C23" i="8"/>
  <c r="D23" i="8"/>
  <c r="B24" i="8"/>
  <c r="C24" i="8"/>
  <c r="D24" i="8"/>
  <c r="B25" i="8"/>
  <c r="C25" i="8"/>
  <c r="D25" i="8"/>
  <c r="B26" i="8"/>
  <c r="C26" i="8"/>
  <c r="D26" i="8"/>
  <c r="B27" i="8"/>
  <c r="C27" i="8"/>
  <c r="D27" i="8"/>
  <c r="B28" i="8"/>
  <c r="C28" i="8"/>
  <c r="D28" i="8"/>
  <c r="B29" i="8"/>
  <c r="C29" i="8"/>
  <c r="D29" i="8"/>
  <c r="B30" i="8"/>
  <c r="C30" i="8"/>
  <c r="D30" i="8"/>
  <c r="B31" i="8"/>
  <c r="C31" i="8"/>
  <c r="D31" i="8"/>
  <c r="B32" i="8"/>
  <c r="C32" i="8"/>
  <c r="D32" i="8"/>
  <c r="B33" i="8"/>
  <c r="C33" i="8"/>
  <c r="D33" i="8"/>
  <c r="B34" i="8"/>
  <c r="C34" i="8"/>
  <c r="D34" i="8"/>
  <c r="B35" i="8"/>
  <c r="C35" i="8"/>
  <c r="D35" i="8"/>
  <c r="B36" i="8"/>
  <c r="C36" i="8"/>
  <c r="D36" i="8"/>
  <c r="B37" i="8"/>
  <c r="C37" i="8"/>
  <c r="D37" i="8"/>
  <c r="B38" i="8"/>
  <c r="C38" i="8"/>
  <c r="D38" i="8"/>
  <c r="B39" i="8"/>
  <c r="C39" i="8"/>
  <c r="D39" i="8"/>
  <c r="B40" i="8"/>
  <c r="C40" i="8"/>
  <c r="D40" i="8"/>
  <c r="B41" i="8"/>
  <c r="C41" i="8"/>
  <c r="D41" i="8"/>
  <c r="B42" i="8"/>
  <c r="C42" i="8"/>
  <c r="D42" i="8"/>
  <c r="B43" i="8"/>
  <c r="C43" i="8"/>
  <c r="D43" i="8"/>
  <c r="B44" i="8"/>
  <c r="C44" i="8"/>
  <c r="D44" i="8"/>
  <c r="B45" i="8"/>
  <c r="C45" i="8"/>
  <c r="D45" i="8"/>
  <c r="B46" i="8"/>
  <c r="C46" i="8"/>
  <c r="D46" i="8"/>
  <c r="B47" i="8"/>
  <c r="C47" i="8"/>
  <c r="D47" i="8"/>
  <c r="B48" i="8"/>
  <c r="C48" i="8"/>
  <c r="D48" i="8"/>
  <c r="B49" i="8"/>
  <c r="C49" i="8"/>
  <c r="D49" i="8"/>
  <c r="B50" i="8"/>
  <c r="C50" i="8"/>
  <c r="D50" i="8"/>
  <c r="B51" i="8"/>
  <c r="C51" i="8"/>
  <c r="D51" i="8"/>
  <c r="B52" i="8"/>
  <c r="C52" i="8"/>
  <c r="D52" i="8"/>
  <c r="B53" i="8"/>
  <c r="C53" i="8"/>
  <c r="D53" i="8"/>
  <c r="D54" i="8"/>
  <c r="B55" i="8"/>
  <c r="C55" i="8"/>
  <c r="D55" i="8"/>
  <c r="B56" i="8"/>
  <c r="C56" i="8"/>
  <c r="D56" i="8"/>
  <c r="B57" i="8"/>
  <c r="C57" i="8"/>
  <c r="D57" i="8"/>
  <c r="B58" i="8"/>
  <c r="C58" i="8"/>
  <c r="D58" i="8"/>
  <c r="B59" i="8"/>
  <c r="C59" i="8"/>
  <c r="D59" i="8"/>
  <c r="B60" i="8"/>
  <c r="C60" i="8"/>
  <c r="D60" i="8"/>
  <c r="B61" i="8"/>
  <c r="C61" i="8"/>
  <c r="D61" i="8"/>
  <c r="B62" i="8"/>
  <c r="C62" i="8"/>
  <c r="D62" i="8"/>
  <c r="B63" i="8"/>
  <c r="C63" i="8"/>
  <c r="D63" i="8"/>
  <c r="D64" i="8"/>
  <c r="B65" i="8"/>
  <c r="C65" i="8"/>
  <c r="D65" i="8"/>
  <c r="B66" i="8"/>
  <c r="C66" i="8"/>
  <c r="D66" i="8"/>
  <c r="B67" i="8"/>
  <c r="C67" i="8"/>
  <c r="D67" i="8"/>
  <c r="B68" i="8"/>
  <c r="C68" i="8"/>
  <c r="D68" i="8"/>
  <c r="D122" i="8"/>
  <c r="D121" i="8"/>
  <c r="D120" i="8"/>
  <c r="D119" i="8"/>
  <c r="D118" i="8"/>
  <c r="D117" i="8"/>
  <c r="D116" i="8"/>
  <c r="D115" i="8"/>
  <c r="D114" i="8"/>
  <c r="D113" i="8"/>
  <c r="D112" i="8"/>
  <c r="D111" i="8"/>
  <c r="D110" i="8"/>
  <c r="D109" i="8"/>
  <c r="D108" i="8"/>
  <c r="D107" i="8"/>
  <c r="D106" i="8"/>
  <c r="D105" i="8"/>
  <c r="D104" i="8"/>
  <c r="D103" i="8"/>
  <c r="D102" i="8"/>
  <c r="D101" i="8"/>
  <c r="D100" i="8"/>
  <c r="D99" i="8"/>
  <c r="D98" i="8"/>
  <c r="D97" i="8"/>
  <c r="D96" i="8"/>
  <c r="D95" i="8"/>
  <c r="D94" i="8"/>
  <c r="D93" i="8"/>
  <c r="D92" i="8"/>
  <c r="D91" i="8"/>
  <c r="D90" i="8"/>
  <c r="D89" i="8"/>
  <c r="D88" i="8"/>
  <c r="D87" i="8"/>
  <c r="D86" i="8"/>
  <c r="D85" i="8"/>
  <c r="D84" i="8"/>
  <c r="D83" i="8"/>
  <c r="D82" i="8"/>
  <c r="D81" i="8"/>
  <c r="D80" i="8"/>
  <c r="D79" i="8"/>
  <c r="D78" i="8"/>
  <c r="D77" i="8"/>
  <c r="D76" i="8"/>
  <c r="D75" i="8"/>
  <c r="D74" i="8"/>
  <c r="B6" i="8"/>
  <c r="B24" i="4"/>
  <c r="F24" i="4"/>
  <c r="E24" i="4"/>
  <c r="G24" i="4"/>
  <c r="F20" i="8"/>
  <c r="B26" i="4"/>
  <c r="E26" i="4"/>
  <c r="G26" i="4"/>
  <c r="B25" i="4"/>
  <c r="F25" i="4"/>
  <c r="E25" i="4"/>
  <c r="G25" i="4"/>
  <c r="F21" i="8"/>
  <c r="F26" i="4"/>
  <c r="F22" i="8"/>
  <c r="B27" i="4"/>
  <c r="F27" i="4"/>
  <c r="E27" i="4"/>
  <c r="G27" i="4"/>
  <c r="F23" i="8"/>
  <c r="B28" i="4"/>
  <c r="F28" i="4"/>
  <c r="E28" i="4"/>
  <c r="G28" i="4"/>
  <c r="F24" i="8"/>
  <c r="B29" i="4"/>
  <c r="F29" i="4"/>
  <c r="E29" i="4"/>
  <c r="G29" i="4"/>
  <c r="F25" i="8"/>
  <c r="B30" i="4"/>
  <c r="F30" i="4"/>
  <c r="E30" i="4"/>
  <c r="G30" i="4"/>
  <c r="F26" i="8"/>
  <c r="B31" i="4"/>
  <c r="F31" i="4"/>
  <c r="E31" i="4"/>
  <c r="G31" i="4"/>
  <c r="F27" i="8"/>
  <c r="B32" i="4"/>
  <c r="F32" i="4"/>
  <c r="E32" i="4"/>
  <c r="G32" i="4"/>
  <c r="F28" i="8"/>
  <c r="B33" i="4"/>
  <c r="F33" i="4"/>
  <c r="E33" i="4"/>
  <c r="G33" i="4"/>
  <c r="F29" i="8"/>
  <c r="B34" i="4"/>
  <c r="F34" i="4"/>
  <c r="E34" i="4"/>
  <c r="G34" i="4"/>
  <c r="F30" i="8"/>
  <c r="B35" i="4"/>
  <c r="F35" i="4"/>
  <c r="E35" i="4"/>
  <c r="G35" i="4"/>
  <c r="F31" i="8"/>
  <c r="B36" i="4"/>
  <c r="F36" i="4"/>
  <c r="E36" i="4"/>
  <c r="G36" i="4"/>
  <c r="F32" i="8"/>
  <c r="B37" i="4"/>
  <c r="F37" i="4"/>
  <c r="E37" i="4"/>
  <c r="G37" i="4"/>
  <c r="F33" i="8"/>
  <c r="B38" i="4"/>
  <c r="F38" i="4"/>
  <c r="E38" i="4"/>
  <c r="G38" i="4"/>
  <c r="F34" i="8"/>
  <c r="B39" i="4"/>
  <c r="F39" i="4"/>
  <c r="E39" i="4"/>
  <c r="G39" i="4"/>
  <c r="F35" i="8"/>
  <c r="B40" i="4"/>
  <c r="F40" i="4"/>
  <c r="E40" i="4"/>
  <c r="G40" i="4"/>
  <c r="F36" i="8"/>
  <c r="B41" i="4"/>
  <c r="F41" i="4"/>
  <c r="E41" i="4"/>
  <c r="G41" i="4"/>
  <c r="F37" i="8"/>
  <c r="B42" i="4"/>
  <c r="F42" i="4"/>
  <c r="E42" i="4"/>
  <c r="G42" i="4"/>
  <c r="F38" i="8"/>
  <c r="B43" i="4"/>
  <c r="F43" i="4"/>
  <c r="E43" i="4"/>
  <c r="G43" i="4"/>
  <c r="F39" i="8"/>
  <c r="B44" i="4"/>
  <c r="F44" i="4"/>
  <c r="E44" i="4"/>
  <c r="G44" i="4"/>
  <c r="F40" i="8"/>
  <c r="B45" i="4"/>
  <c r="F45" i="4"/>
  <c r="E45" i="4"/>
  <c r="G45" i="4"/>
  <c r="F41" i="8"/>
  <c r="B46" i="4"/>
  <c r="F46" i="4"/>
  <c r="E46" i="4"/>
  <c r="G46" i="4"/>
  <c r="F42" i="8"/>
  <c r="B47" i="4"/>
  <c r="F47" i="4"/>
  <c r="E47" i="4"/>
  <c r="G47" i="4"/>
  <c r="F43" i="8"/>
  <c r="B48" i="4"/>
  <c r="F48" i="4"/>
  <c r="E48" i="4"/>
  <c r="G48" i="4"/>
  <c r="F44" i="8"/>
  <c r="B49" i="4"/>
  <c r="F49" i="4"/>
  <c r="E49" i="4"/>
  <c r="G49" i="4"/>
  <c r="F45" i="8"/>
  <c r="B50" i="4"/>
  <c r="F50" i="4"/>
  <c r="E50" i="4"/>
  <c r="G50" i="4"/>
  <c r="F46" i="8"/>
  <c r="B51" i="4"/>
  <c r="F51" i="4"/>
  <c r="E51" i="4"/>
  <c r="G51" i="4"/>
  <c r="F47" i="8"/>
  <c r="B52" i="4"/>
  <c r="F52" i="4"/>
  <c r="E52" i="4"/>
  <c r="G52" i="4"/>
  <c r="F48" i="8"/>
  <c r="B53" i="4"/>
  <c r="F53" i="4"/>
  <c r="E53" i="4"/>
  <c r="G53" i="4"/>
  <c r="F49" i="8"/>
  <c r="B54" i="4"/>
  <c r="F54" i="4"/>
  <c r="E54" i="4"/>
  <c r="G54" i="4"/>
  <c r="F50" i="8"/>
  <c r="B55" i="4"/>
  <c r="F55" i="4"/>
  <c r="E55" i="4"/>
  <c r="G55" i="4"/>
  <c r="F51" i="8"/>
  <c r="B56" i="4"/>
  <c r="F56" i="4"/>
  <c r="E56" i="4"/>
  <c r="G56" i="4"/>
  <c r="F52" i="8"/>
  <c r="B57" i="4"/>
  <c r="F57" i="4"/>
  <c r="E57" i="4"/>
  <c r="G57" i="4"/>
  <c r="F53" i="8"/>
  <c r="B58" i="4"/>
  <c r="F58" i="4"/>
  <c r="E58" i="4"/>
  <c r="G58" i="4"/>
  <c r="F54" i="8"/>
  <c r="B59" i="4"/>
  <c r="F59" i="4"/>
  <c r="E59" i="4"/>
  <c r="G59" i="4"/>
  <c r="F55" i="8"/>
  <c r="B60" i="4"/>
  <c r="F60" i="4"/>
  <c r="E60" i="4"/>
  <c r="G60" i="4"/>
  <c r="F56" i="8"/>
  <c r="B61" i="4"/>
  <c r="F61" i="4"/>
  <c r="E61" i="4"/>
  <c r="G61" i="4"/>
  <c r="F57" i="8"/>
  <c r="B62" i="4"/>
  <c r="F62" i="4"/>
  <c r="E62" i="4"/>
  <c r="G62" i="4"/>
  <c r="F58" i="8"/>
  <c r="B63" i="4"/>
  <c r="F63" i="4"/>
  <c r="E63" i="4"/>
  <c r="G63" i="4"/>
  <c r="F59" i="8"/>
  <c r="B64" i="4"/>
  <c r="F64" i="4"/>
  <c r="E64" i="4"/>
  <c r="G64" i="4"/>
  <c r="F60" i="8"/>
  <c r="B65" i="4"/>
  <c r="F65" i="4"/>
  <c r="E65" i="4"/>
  <c r="G65" i="4"/>
  <c r="F61" i="8"/>
  <c r="B66" i="4"/>
  <c r="F66" i="4"/>
  <c r="E66" i="4"/>
  <c r="G66" i="4"/>
  <c r="F62" i="8"/>
  <c r="B67" i="4"/>
  <c r="F67" i="4"/>
  <c r="E67" i="4"/>
  <c r="G67" i="4"/>
  <c r="F63" i="8"/>
  <c r="B68" i="4"/>
  <c r="F68" i="4"/>
  <c r="E68" i="4"/>
  <c r="G68" i="4"/>
  <c r="F64" i="8"/>
  <c r="B69" i="4"/>
  <c r="F69" i="4"/>
  <c r="E69" i="4"/>
  <c r="G69" i="4"/>
  <c r="F65" i="8"/>
  <c r="B70" i="4"/>
  <c r="F70" i="4"/>
  <c r="E70" i="4"/>
  <c r="G70" i="4"/>
  <c r="F66" i="8"/>
  <c r="B71" i="4"/>
  <c r="F71" i="4"/>
  <c r="E71" i="4"/>
  <c r="G71" i="4"/>
  <c r="F67" i="8"/>
  <c r="B72" i="4"/>
  <c r="F72" i="4"/>
  <c r="E72" i="4"/>
  <c r="G72" i="4"/>
  <c r="F68" i="8"/>
  <c r="C14" i="8"/>
  <c r="E14" i="8"/>
  <c r="J14" i="8"/>
  <c r="C15" i="8"/>
  <c r="E15" i="8"/>
  <c r="J15" i="8"/>
  <c r="N8" i="4"/>
  <c r="G35" i="8"/>
  <c r="H35" i="8"/>
  <c r="I35" i="8"/>
  <c r="J35" i="8"/>
  <c r="K35" i="8"/>
  <c r="L35" i="8"/>
  <c r="M35" i="8"/>
  <c r="N35" i="8"/>
  <c r="O35" i="8"/>
  <c r="P35" i="8"/>
  <c r="Q35" i="8"/>
  <c r="R35" i="8"/>
  <c r="G20" i="8"/>
  <c r="H20" i="8"/>
  <c r="I20" i="8"/>
  <c r="J20" i="8"/>
  <c r="K20" i="8"/>
  <c r="L20" i="8"/>
  <c r="M20" i="8"/>
  <c r="N20" i="8"/>
  <c r="O20" i="8"/>
  <c r="P20" i="8"/>
  <c r="Q20" i="8"/>
  <c r="R20" i="8"/>
  <c r="G21" i="8"/>
  <c r="H21" i="8"/>
  <c r="I21" i="8"/>
  <c r="J21" i="8"/>
  <c r="K21" i="8"/>
  <c r="L21" i="8"/>
  <c r="M21" i="8"/>
  <c r="N21" i="8"/>
  <c r="O21" i="8"/>
  <c r="P21" i="8"/>
  <c r="Q21" i="8"/>
  <c r="R21" i="8"/>
  <c r="G22" i="8"/>
  <c r="H22" i="8"/>
  <c r="I22" i="8"/>
  <c r="J22" i="8"/>
  <c r="K22" i="8"/>
  <c r="L22" i="8"/>
  <c r="M22" i="8"/>
  <c r="N22" i="8"/>
  <c r="O22" i="8"/>
  <c r="P22" i="8"/>
  <c r="Q22" i="8"/>
  <c r="R22" i="8"/>
  <c r="G23" i="8"/>
  <c r="H23" i="8"/>
  <c r="I23" i="8"/>
  <c r="J23" i="8"/>
  <c r="K23" i="8"/>
  <c r="L23" i="8"/>
  <c r="M23" i="8"/>
  <c r="N23" i="8"/>
  <c r="O23" i="8"/>
  <c r="P23" i="8"/>
  <c r="Q23" i="8"/>
  <c r="R23" i="8"/>
  <c r="G24" i="8"/>
  <c r="H24" i="8"/>
  <c r="I24" i="8"/>
  <c r="J24" i="8"/>
  <c r="K24" i="8"/>
  <c r="L24" i="8"/>
  <c r="M24" i="8"/>
  <c r="N24" i="8"/>
  <c r="O24" i="8"/>
  <c r="P24" i="8"/>
  <c r="Q24" i="8"/>
  <c r="R24" i="8"/>
  <c r="G25" i="8"/>
  <c r="H25" i="8"/>
  <c r="I25" i="8"/>
  <c r="J25" i="8"/>
  <c r="K25" i="8"/>
  <c r="L25" i="8"/>
  <c r="M25" i="8"/>
  <c r="N25" i="8"/>
  <c r="O25" i="8"/>
  <c r="P25" i="8"/>
  <c r="Q25" i="8"/>
  <c r="R25" i="8"/>
  <c r="G26" i="8"/>
  <c r="H26" i="8"/>
  <c r="I26" i="8"/>
  <c r="J26" i="8"/>
  <c r="K26" i="8"/>
  <c r="L26" i="8"/>
  <c r="M26" i="8"/>
  <c r="N26" i="8"/>
  <c r="O26" i="8"/>
  <c r="P26" i="8"/>
  <c r="Q26" i="8"/>
  <c r="R26" i="8"/>
  <c r="G27" i="8"/>
  <c r="H27" i="8"/>
  <c r="I27" i="8"/>
  <c r="J27" i="8"/>
  <c r="K27" i="8"/>
  <c r="L27" i="8"/>
  <c r="M27" i="8"/>
  <c r="N27" i="8"/>
  <c r="O27" i="8"/>
  <c r="P27" i="8"/>
  <c r="Q27" i="8"/>
  <c r="R27" i="8"/>
  <c r="G28" i="8"/>
  <c r="H28" i="8"/>
  <c r="I28" i="8"/>
  <c r="J28" i="8"/>
  <c r="K28" i="8"/>
  <c r="L28" i="8"/>
  <c r="M28" i="8"/>
  <c r="N28" i="8"/>
  <c r="O28" i="8"/>
  <c r="P28" i="8"/>
  <c r="Q28" i="8"/>
  <c r="R28" i="8"/>
  <c r="G29" i="8"/>
  <c r="H29" i="8"/>
  <c r="I29" i="8"/>
  <c r="J29" i="8"/>
  <c r="K29" i="8"/>
  <c r="L29" i="8"/>
  <c r="M29" i="8"/>
  <c r="N29" i="8"/>
  <c r="O29" i="8"/>
  <c r="P29" i="8"/>
  <c r="Q29" i="8"/>
  <c r="R29" i="8"/>
  <c r="G30" i="8"/>
  <c r="H30" i="8"/>
  <c r="I30" i="8"/>
  <c r="J30" i="8"/>
  <c r="K30" i="8"/>
  <c r="L30" i="8"/>
  <c r="M30" i="8"/>
  <c r="N30" i="8"/>
  <c r="O30" i="8"/>
  <c r="P30" i="8"/>
  <c r="Q30" i="8"/>
  <c r="R30" i="8"/>
  <c r="G31" i="8"/>
  <c r="H31" i="8"/>
  <c r="I31" i="8"/>
  <c r="J31" i="8"/>
  <c r="K31" i="8"/>
  <c r="L31" i="8"/>
  <c r="M31" i="8"/>
  <c r="N31" i="8"/>
  <c r="O31" i="8"/>
  <c r="P31" i="8"/>
  <c r="Q31" i="8"/>
  <c r="R31" i="8"/>
  <c r="G32" i="8"/>
  <c r="H32" i="8"/>
  <c r="I32" i="8"/>
  <c r="J32" i="8"/>
  <c r="K32" i="8"/>
  <c r="L32" i="8"/>
  <c r="M32" i="8"/>
  <c r="N32" i="8"/>
  <c r="O32" i="8"/>
  <c r="P32" i="8"/>
  <c r="Q32" i="8"/>
  <c r="R32" i="8"/>
  <c r="G33" i="8"/>
  <c r="H33" i="8"/>
  <c r="I33" i="8"/>
  <c r="J33" i="8"/>
  <c r="K33" i="8"/>
  <c r="L33" i="8"/>
  <c r="M33" i="8"/>
  <c r="N33" i="8"/>
  <c r="O33" i="8"/>
  <c r="P33" i="8"/>
  <c r="Q33" i="8"/>
  <c r="R33" i="8"/>
  <c r="G34" i="8"/>
  <c r="H34" i="8"/>
  <c r="I34" i="8"/>
  <c r="J34" i="8"/>
  <c r="K34" i="8"/>
  <c r="L34" i="8"/>
  <c r="M34" i="8"/>
  <c r="N34" i="8"/>
  <c r="O34" i="8"/>
  <c r="P34" i="8"/>
  <c r="Q34" i="8"/>
  <c r="R34" i="8"/>
  <c r="G36" i="8"/>
  <c r="H36" i="8"/>
  <c r="I36" i="8"/>
  <c r="J36" i="8"/>
  <c r="K36" i="8"/>
  <c r="L36" i="8"/>
  <c r="M36" i="8"/>
  <c r="N36" i="8"/>
  <c r="O36" i="8"/>
  <c r="P36" i="8"/>
  <c r="Q36" i="8"/>
  <c r="R36" i="8"/>
  <c r="G37" i="8"/>
  <c r="H37" i="8"/>
  <c r="I37" i="8"/>
  <c r="J37" i="8"/>
  <c r="K37" i="8"/>
  <c r="L37" i="8"/>
  <c r="M37" i="8"/>
  <c r="N37" i="8"/>
  <c r="O37" i="8"/>
  <c r="P37" i="8"/>
  <c r="Q37" i="8"/>
  <c r="R37" i="8"/>
  <c r="G38" i="8"/>
  <c r="H38" i="8"/>
  <c r="I38" i="8"/>
  <c r="J38" i="8"/>
  <c r="K38" i="8"/>
  <c r="L38" i="8"/>
  <c r="M38" i="8"/>
  <c r="N38" i="8"/>
  <c r="O38" i="8"/>
  <c r="P38" i="8"/>
  <c r="Q38" i="8"/>
  <c r="R38" i="8"/>
  <c r="G39" i="8"/>
  <c r="H39" i="8"/>
  <c r="I39" i="8"/>
  <c r="J39" i="8"/>
  <c r="K39" i="8"/>
  <c r="L39" i="8"/>
  <c r="M39" i="8"/>
  <c r="N39" i="8"/>
  <c r="O39" i="8"/>
  <c r="P39" i="8"/>
  <c r="Q39" i="8"/>
  <c r="R39" i="8"/>
  <c r="G40" i="8"/>
  <c r="H40" i="8"/>
  <c r="I40" i="8"/>
  <c r="J40" i="8"/>
  <c r="K40" i="8"/>
  <c r="L40" i="8"/>
  <c r="M40" i="8"/>
  <c r="N40" i="8"/>
  <c r="O40" i="8"/>
  <c r="P40" i="8"/>
  <c r="Q40" i="8"/>
  <c r="R40" i="8"/>
  <c r="G41" i="8"/>
  <c r="H41" i="8"/>
  <c r="I41" i="8"/>
  <c r="J41" i="8"/>
  <c r="K41" i="8"/>
  <c r="L41" i="8"/>
  <c r="M41" i="8"/>
  <c r="N41" i="8"/>
  <c r="O41" i="8"/>
  <c r="P41" i="8"/>
  <c r="Q41" i="8"/>
  <c r="R41" i="8"/>
  <c r="G42" i="8"/>
  <c r="H42" i="8"/>
  <c r="I42" i="8"/>
  <c r="J42" i="8"/>
  <c r="K42" i="8"/>
  <c r="L42" i="8"/>
  <c r="M42" i="8"/>
  <c r="N42" i="8"/>
  <c r="O42" i="8"/>
  <c r="P42" i="8"/>
  <c r="Q42" i="8"/>
  <c r="R42" i="8"/>
  <c r="G43" i="8"/>
  <c r="H43" i="8"/>
  <c r="I43" i="8"/>
  <c r="J43" i="8"/>
  <c r="K43" i="8"/>
  <c r="L43" i="8"/>
  <c r="M43" i="8"/>
  <c r="N43" i="8"/>
  <c r="O43" i="8"/>
  <c r="P43" i="8"/>
  <c r="Q43" i="8"/>
  <c r="R43" i="8"/>
  <c r="G44" i="8"/>
  <c r="H44" i="8"/>
  <c r="I44" i="8"/>
  <c r="J44" i="8"/>
  <c r="K44" i="8"/>
  <c r="L44" i="8"/>
  <c r="M44" i="8"/>
  <c r="N44" i="8"/>
  <c r="O44" i="8"/>
  <c r="P44" i="8"/>
  <c r="Q44" i="8"/>
  <c r="R44" i="8"/>
  <c r="G45" i="8"/>
  <c r="H45" i="8"/>
  <c r="I45" i="8"/>
  <c r="J45" i="8"/>
  <c r="K45" i="8"/>
  <c r="L45" i="8"/>
  <c r="M45" i="8"/>
  <c r="N45" i="8"/>
  <c r="O45" i="8"/>
  <c r="P45" i="8"/>
  <c r="Q45" i="8"/>
  <c r="R45" i="8"/>
  <c r="G46" i="8"/>
  <c r="H46" i="8"/>
  <c r="I46" i="8"/>
  <c r="J46" i="8"/>
  <c r="K46" i="8"/>
  <c r="L46" i="8"/>
  <c r="M46" i="8"/>
  <c r="N46" i="8"/>
  <c r="O46" i="8"/>
  <c r="P46" i="8"/>
  <c r="Q46" i="8"/>
  <c r="R46" i="8"/>
  <c r="G47" i="8"/>
  <c r="H47" i="8"/>
  <c r="I47" i="8"/>
  <c r="J47" i="8"/>
  <c r="K47" i="8"/>
  <c r="L47" i="8"/>
  <c r="M47" i="8"/>
  <c r="N47" i="8"/>
  <c r="O47" i="8"/>
  <c r="P47" i="8"/>
  <c r="Q47" i="8"/>
  <c r="R47" i="8"/>
  <c r="G48" i="8"/>
  <c r="H48" i="8"/>
  <c r="I48" i="8"/>
  <c r="J48" i="8"/>
  <c r="K48" i="8"/>
  <c r="L48" i="8"/>
  <c r="M48" i="8"/>
  <c r="N48" i="8"/>
  <c r="O48" i="8"/>
  <c r="P48" i="8"/>
  <c r="Q48" i="8"/>
  <c r="R48" i="8"/>
  <c r="G49" i="8"/>
  <c r="H49" i="8"/>
  <c r="I49" i="8"/>
  <c r="J49" i="8"/>
  <c r="K49" i="8"/>
  <c r="L49" i="8"/>
  <c r="M49" i="8"/>
  <c r="N49" i="8"/>
  <c r="O49" i="8"/>
  <c r="P49" i="8"/>
  <c r="Q49" i="8"/>
  <c r="R49" i="8"/>
  <c r="G50" i="8"/>
  <c r="H50" i="8"/>
  <c r="I50" i="8"/>
  <c r="J50" i="8"/>
  <c r="K50" i="8"/>
  <c r="L50" i="8"/>
  <c r="M50" i="8"/>
  <c r="N50" i="8"/>
  <c r="O50" i="8"/>
  <c r="P50" i="8"/>
  <c r="Q50" i="8"/>
  <c r="R50" i="8"/>
  <c r="G51" i="8"/>
  <c r="H51" i="8"/>
  <c r="I51" i="8"/>
  <c r="J51" i="8"/>
  <c r="K51" i="8"/>
  <c r="L51" i="8"/>
  <c r="M51" i="8"/>
  <c r="N51" i="8"/>
  <c r="O51" i="8"/>
  <c r="P51" i="8"/>
  <c r="Q51" i="8"/>
  <c r="R51" i="8"/>
  <c r="G52" i="8"/>
  <c r="H52" i="8"/>
  <c r="I52" i="8"/>
  <c r="J52" i="8"/>
  <c r="K52" i="8"/>
  <c r="L52" i="8"/>
  <c r="M52" i="8"/>
  <c r="N52" i="8"/>
  <c r="O52" i="8"/>
  <c r="P52" i="8"/>
  <c r="Q52" i="8"/>
  <c r="R52" i="8"/>
  <c r="G53" i="8"/>
  <c r="H53" i="8"/>
  <c r="I53" i="8"/>
  <c r="J53" i="8"/>
  <c r="K53" i="8"/>
  <c r="L53" i="8"/>
  <c r="M53" i="8"/>
  <c r="N53" i="8"/>
  <c r="O53" i="8"/>
  <c r="P53" i="8"/>
  <c r="Q53" i="8"/>
  <c r="R53" i="8"/>
  <c r="G54" i="8"/>
  <c r="H54" i="8"/>
  <c r="I54" i="8"/>
  <c r="J54" i="8"/>
  <c r="K54" i="8"/>
  <c r="L54" i="8"/>
  <c r="M54" i="8"/>
  <c r="N54" i="8"/>
  <c r="O54" i="8"/>
  <c r="P54" i="8"/>
  <c r="Q54" i="8"/>
  <c r="R54" i="8"/>
  <c r="G55" i="8"/>
  <c r="H55" i="8"/>
  <c r="I55" i="8"/>
  <c r="J55" i="8"/>
  <c r="K55" i="8"/>
  <c r="L55" i="8"/>
  <c r="M55" i="8"/>
  <c r="N55" i="8"/>
  <c r="O55" i="8"/>
  <c r="P55" i="8"/>
  <c r="Q55" i="8"/>
  <c r="R55" i="8"/>
  <c r="G56" i="8"/>
  <c r="H56" i="8"/>
  <c r="I56" i="8"/>
  <c r="J56" i="8"/>
  <c r="K56" i="8"/>
  <c r="L56" i="8"/>
  <c r="M56" i="8"/>
  <c r="N56" i="8"/>
  <c r="O56" i="8"/>
  <c r="P56" i="8"/>
  <c r="Q56" i="8"/>
  <c r="R56" i="8"/>
  <c r="G57" i="8"/>
  <c r="H57" i="8"/>
  <c r="I57" i="8"/>
  <c r="J57" i="8"/>
  <c r="K57" i="8"/>
  <c r="L57" i="8"/>
  <c r="M57" i="8"/>
  <c r="N57" i="8"/>
  <c r="O57" i="8"/>
  <c r="P57" i="8"/>
  <c r="Q57" i="8"/>
  <c r="R57" i="8"/>
  <c r="G58" i="8"/>
  <c r="H58" i="8"/>
  <c r="I58" i="8"/>
  <c r="J58" i="8"/>
  <c r="K58" i="8"/>
  <c r="L58" i="8"/>
  <c r="M58" i="8"/>
  <c r="N58" i="8"/>
  <c r="O58" i="8"/>
  <c r="P58" i="8"/>
  <c r="Q58" i="8"/>
  <c r="R58" i="8"/>
  <c r="G59" i="8"/>
  <c r="H59" i="8"/>
  <c r="I59" i="8"/>
  <c r="J59" i="8"/>
  <c r="K59" i="8"/>
  <c r="L59" i="8"/>
  <c r="M59" i="8"/>
  <c r="N59" i="8"/>
  <c r="O59" i="8"/>
  <c r="P59" i="8"/>
  <c r="Q59" i="8"/>
  <c r="R59" i="8"/>
  <c r="G60" i="8"/>
  <c r="H60" i="8"/>
  <c r="I60" i="8"/>
  <c r="J60" i="8"/>
  <c r="K60" i="8"/>
  <c r="L60" i="8"/>
  <c r="M60" i="8"/>
  <c r="N60" i="8"/>
  <c r="O60" i="8"/>
  <c r="P60" i="8"/>
  <c r="Q60" i="8"/>
  <c r="R60" i="8"/>
  <c r="G61" i="8"/>
  <c r="H61" i="8"/>
  <c r="I61" i="8"/>
  <c r="J61" i="8"/>
  <c r="K61" i="8"/>
  <c r="L61" i="8"/>
  <c r="M61" i="8"/>
  <c r="N61" i="8"/>
  <c r="O61" i="8"/>
  <c r="P61" i="8"/>
  <c r="Q61" i="8"/>
  <c r="R61" i="8"/>
  <c r="G62" i="8"/>
  <c r="H62" i="8"/>
  <c r="I62" i="8"/>
  <c r="J62" i="8"/>
  <c r="K62" i="8"/>
  <c r="L62" i="8"/>
  <c r="M62" i="8"/>
  <c r="N62" i="8"/>
  <c r="O62" i="8"/>
  <c r="P62" i="8"/>
  <c r="Q62" i="8"/>
  <c r="R62" i="8"/>
  <c r="G63" i="8"/>
  <c r="H63" i="8"/>
  <c r="I63" i="8"/>
  <c r="J63" i="8"/>
  <c r="K63" i="8"/>
  <c r="L63" i="8"/>
  <c r="M63" i="8"/>
  <c r="N63" i="8"/>
  <c r="O63" i="8"/>
  <c r="P63" i="8"/>
  <c r="Q63" i="8"/>
  <c r="R63" i="8"/>
  <c r="G64" i="8"/>
  <c r="H64" i="8"/>
  <c r="I64" i="8"/>
  <c r="J64" i="8"/>
  <c r="K64" i="8"/>
  <c r="L64" i="8"/>
  <c r="M64" i="8"/>
  <c r="N64" i="8"/>
  <c r="O64" i="8"/>
  <c r="P64" i="8"/>
  <c r="Q64" i="8"/>
  <c r="R64" i="8"/>
  <c r="G65" i="8"/>
  <c r="H65" i="8"/>
  <c r="I65" i="8"/>
  <c r="J65" i="8"/>
  <c r="K65" i="8"/>
  <c r="L65" i="8"/>
  <c r="M65" i="8"/>
  <c r="N65" i="8"/>
  <c r="O65" i="8"/>
  <c r="P65" i="8"/>
  <c r="Q65" i="8"/>
  <c r="R65" i="8"/>
  <c r="G66" i="8"/>
  <c r="H66" i="8"/>
  <c r="I66" i="8"/>
  <c r="J66" i="8"/>
  <c r="K66" i="8"/>
  <c r="L66" i="8"/>
  <c r="M66" i="8"/>
  <c r="N66" i="8"/>
  <c r="O66" i="8"/>
  <c r="P66" i="8"/>
  <c r="Q66" i="8"/>
  <c r="R66" i="8"/>
  <c r="G67" i="8"/>
  <c r="H67" i="8"/>
  <c r="I67" i="8"/>
  <c r="J67" i="8"/>
  <c r="K67" i="8"/>
  <c r="L67" i="8"/>
  <c r="M67" i="8"/>
  <c r="N67" i="8"/>
  <c r="O67" i="8"/>
  <c r="P67" i="8"/>
  <c r="Q67" i="8"/>
  <c r="R67" i="8"/>
  <c r="G68" i="8"/>
  <c r="H68" i="8"/>
  <c r="I68" i="8"/>
  <c r="J68" i="8"/>
  <c r="K68" i="8"/>
  <c r="L68" i="8"/>
  <c r="M68" i="8"/>
  <c r="N68" i="8"/>
  <c r="O68" i="8"/>
  <c r="P68" i="8"/>
  <c r="Q68" i="8"/>
  <c r="R68" i="8"/>
  <c r="C54" i="8"/>
  <c r="C64" i="8"/>
  <c r="B54" i="8"/>
  <c r="B64" i="8"/>
  <c r="J7" i="4"/>
  <c r="F103" i="8"/>
  <c r="G103" i="8"/>
  <c r="H103" i="8"/>
  <c r="I103" i="8"/>
  <c r="J103" i="8"/>
  <c r="K103" i="8"/>
  <c r="L103" i="8"/>
  <c r="M103" i="8"/>
  <c r="N103" i="8"/>
  <c r="O103" i="8"/>
  <c r="P103" i="8"/>
  <c r="Q103" i="8"/>
  <c r="R103" i="8"/>
  <c r="F104" i="8"/>
  <c r="G104" i="8"/>
  <c r="H104" i="8"/>
  <c r="I104" i="8"/>
  <c r="J104" i="8"/>
  <c r="K104" i="8"/>
  <c r="L104" i="8"/>
  <c r="M104" i="8"/>
  <c r="N104" i="8"/>
  <c r="O104" i="8"/>
  <c r="P104" i="8"/>
  <c r="Q104" i="8"/>
  <c r="R104" i="8"/>
  <c r="F105" i="8"/>
  <c r="G105" i="8"/>
  <c r="H105" i="8"/>
  <c r="I105" i="8"/>
  <c r="J105" i="8"/>
  <c r="K105" i="8"/>
  <c r="L105" i="8"/>
  <c r="M105" i="8"/>
  <c r="N105" i="8"/>
  <c r="O105" i="8"/>
  <c r="P105" i="8"/>
  <c r="Q105" i="8"/>
  <c r="R105" i="8"/>
  <c r="F106" i="8"/>
  <c r="G106" i="8"/>
  <c r="H106" i="8"/>
  <c r="I106" i="8"/>
  <c r="J106" i="8"/>
  <c r="K106" i="8"/>
  <c r="L106" i="8"/>
  <c r="M106" i="8"/>
  <c r="N106" i="8"/>
  <c r="O106" i="8"/>
  <c r="P106" i="8"/>
  <c r="Q106" i="8"/>
  <c r="R106" i="8"/>
  <c r="F74" i="8"/>
  <c r="G74" i="8"/>
  <c r="H74" i="8"/>
  <c r="I74" i="8"/>
  <c r="J74" i="8"/>
  <c r="K74" i="8"/>
  <c r="L74" i="8"/>
  <c r="M74" i="8"/>
  <c r="N74" i="8"/>
  <c r="O74" i="8"/>
  <c r="P74" i="8"/>
  <c r="Q74" i="8"/>
  <c r="R74" i="8"/>
  <c r="F75" i="8"/>
  <c r="G75" i="8"/>
  <c r="H75" i="8"/>
  <c r="I75" i="8"/>
  <c r="J75" i="8"/>
  <c r="K75" i="8"/>
  <c r="L75" i="8"/>
  <c r="M75" i="8"/>
  <c r="N75" i="8"/>
  <c r="O75" i="8"/>
  <c r="P75" i="8"/>
  <c r="Q75" i="8"/>
  <c r="R75" i="8"/>
  <c r="F76" i="8"/>
  <c r="G76" i="8"/>
  <c r="H76" i="8"/>
  <c r="I76" i="8"/>
  <c r="J76" i="8"/>
  <c r="K76" i="8"/>
  <c r="L76" i="8"/>
  <c r="M76" i="8"/>
  <c r="N76" i="8"/>
  <c r="O76" i="8"/>
  <c r="P76" i="8"/>
  <c r="Q76" i="8"/>
  <c r="R76" i="8"/>
  <c r="F77" i="8"/>
  <c r="G77" i="8"/>
  <c r="H77" i="8"/>
  <c r="I77" i="8"/>
  <c r="J77" i="8"/>
  <c r="K77" i="8"/>
  <c r="L77" i="8"/>
  <c r="M77" i="8"/>
  <c r="N77" i="8"/>
  <c r="O77" i="8"/>
  <c r="P77" i="8"/>
  <c r="Q77" i="8"/>
  <c r="R77" i="8"/>
  <c r="F78" i="8"/>
  <c r="G78" i="8"/>
  <c r="H78" i="8"/>
  <c r="I78" i="8"/>
  <c r="J78" i="8"/>
  <c r="K78" i="8"/>
  <c r="L78" i="8"/>
  <c r="M78" i="8"/>
  <c r="N78" i="8"/>
  <c r="O78" i="8"/>
  <c r="P78" i="8"/>
  <c r="Q78" i="8"/>
  <c r="R78" i="8"/>
  <c r="F79" i="8"/>
  <c r="G79" i="8"/>
  <c r="H79" i="8"/>
  <c r="I79" i="8"/>
  <c r="J79" i="8"/>
  <c r="K79" i="8"/>
  <c r="L79" i="8"/>
  <c r="M79" i="8"/>
  <c r="N79" i="8"/>
  <c r="O79" i="8"/>
  <c r="P79" i="8"/>
  <c r="Q79" i="8"/>
  <c r="R79" i="8"/>
  <c r="F80" i="8"/>
  <c r="G80" i="8"/>
  <c r="H80" i="8"/>
  <c r="I80" i="8"/>
  <c r="J80" i="8"/>
  <c r="K80" i="8"/>
  <c r="L80" i="8"/>
  <c r="M80" i="8"/>
  <c r="N80" i="8"/>
  <c r="O80" i="8"/>
  <c r="P80" i="8"/>
  <c r="Q80" i="8"/>
  <c r="R80" i="8"/>
  <c r="F81" i="8"/>
  <c r="G81" i="8"/>
  <c r="H81" i="8"/>
  <c r="I81" i="8"/>
  <c r="J81" i="8"/>
  <c r="K81" i="8"/>
  <c r="L81" i="8"/>
  <c r="M81" i="8"/>
  <c r="N81" i="8"/>
  <c r="O81" i="8"/>
  <c r="P81" i="8"/>
  <c r="Q81" i="8"/>
  <c r="R81" i="8"/>
  <c r="F82" i="8"/>
  <c r="G82" i="8"/>
  <c r="H82" i="8"/>
  <c r="I82" i="8"/>
  <c r="J82" i="8"/>
  <c r="K82" i="8"/>
  <c r="L82" i="8"/>
  <c r="M82" i="8"/>
  <c r="N82" i="8"/>
  <c r="O82" i="8"/>
  <c r="P82" i="8"/>
  <c r="Q82" i="8"/>
  <c r="R82" i="8"/>
  <c r="F83" i="8"/>
  <c r="G83" i="8"/>
  <c r="H83" i="8"/>
  <c r="I83" i="8"/>
  <c r="J83" i="8"/>
  <c r="K83" i="8"/>
  <c r="L83" i="8"/>
  <c r="M83" i="8"/>
  <c r="N83" i="8"/>
  <c r="O83" i="8"/>
  <c r="P83" i="8"/>
  <c r="Q83" i="8"/>
  <c r="R83" i="8"/>
  <c r="F84" i="8"/>
  <c r="G84" i="8"/>
  <c r="H84" i="8"/>
  <c r="I84" i="8"/>
  <c r="J84" i="8"/>
  <c r="K84" i="8"/>
  <c r="L84" i="8"/>
  <c r="M84" i="8"/>
  <c r="N84" i="8"/>
  <c r="O84" i="8"/>
  <c r="P84" i="8"/>
  <c r="Q84" i="8"/>
  <c r="R84" i="8"/>
  <c r="F85" i="8"/>
  <c r="G85" i="8"/>
  <c r="H85" i="8"/>
  <c r="I85" i="8"/>
  <c r="J85" i="8"/>
  <c r="K85" i="8"/>
  <c r="L85" i="8"/>
  <c r="M85" i="8"/>
  <c r="N85" i="8"/>
  <c r="O85" i="8"/>
  <c r="P85" i="8"/>
  <c r="Q85" i="8"/>
  <c r="R85" i="8"/>
  <c r="F86" i="8"/>
  <c r="G86" i="8"/>
  <c r="H86" i="8"/>
  <c r="I86" i="8"/>
  <c r="J86" i="8"/>
  <c r="K86" i="8"/>
  <c r="L86" i="8"/>
  <c r="M86" i="8"/>
  <c r="N86" i="8"/>
  <c r="O86" i="8"/>
  <c r="P86" i="8"/>
  <c r="Q86" i="8"/>
  <c r="R86" i="8"/>
  <c r="F87" i="8"/>
  <c r="G87" i="8"/>
  <c r="H87" i="8"/>
  <c r="I87" i="8"/>
  <c r="J87" i="8"/>
  <c r="K87" i="8"/>
  <c r="L87" i="8"/>
  <c r="M87" i="8"/>
  <c r="N87" i="8"/>
  <c r="O87" i="8"/>
  <c r="P87" i="8"/>
  <c r="Q87" i="8"/>
  <c r="R87" i="8"/>
  <c r="F88" i="8"/>
  <c r="G88" i="8"/>
  <c r="H88" i="8"/>
  <c r="I88" i="8"/>
  <c r="J88" i="8"/>
  <c r="K88" i="8"/>
  <c r="L88" i="8"/>
  <c r="M88" i="8"/>
  <c r="N88" i="8"/>
  <c r="O88" i="8"/>
  <c r="P88" i="8"/>
  <c r="Q88" i="8"/>
  <c r="R88" i="8"/>
  <c r="F89" i="8"/>
  <c r="G89" i="8"/>
  <c r="H89" i="8"/>
  <c r="I89" i="8"/>
  <c r="J89" i="8"/>
  <c r="K89" i="8"/>
  <c r="L89" i="8"/>
  <c r="M89" i="8"/>
  <c r="N89" i="8"/>
  <c r="O89" i="8"/>
  <c r="P89" i="8"/>
  <c r="Q89" i="8"/>
  <c r="R89" i="8"/>
  <c r="F90" i="8"/>
  <c r="G90" i="8"/>
  <c r="H90" i="8"/>
  <c r="I90" i="8"/>
  <c r="J90" i="8"/>
  <c r="K90" i="8"/>
  <c r="L90" i="8"/>
  <c r="M90" i="8"/>
  <c r="N90" i="8"/>
  <c r="O90" i="8"/>
  <c r="P90" i="8"/>
  <c r="Q90" i="8"/>
  <c r="R90" i="8"/>
  <c r="F91" i="8"/>
  <c r="G91" i="8"/>
  <c r="H91" i="8"/>
  <c r="I91" i="8"/>
  <c r="J91" i="8"/>
  <c r="K91" i="8"/>
  <c r="L91" i="8"/>
  <c r="M91" i="8"/>
  <c r="N91" i="8"/>
  <c r="O91" i="8"/>
  <c r="P91" i="8"/>
  <c r="Q91" i="8"/>
  <c r="R91" i="8"/>
  <c r="F92" i="8"/>
  <c r="G92" i="8"/>
  <c r="H92" i="8"/>
  <c r="I92" i="8"/>
  <c r="J92" i="8"/>
  <c r="K92" i="8"/>
  <c r="L92" i="8"/>
  <c r="M92" i="8"/>
  <c r="N92" i="8"/>
  <c r="O92" i="8"/>
  <c r="P92" i="8"/>
  <c r="Q92" i="8"/>
  <c r="R92" i="8"/>
  <c r="F93" i="8"/>
  <c r="G93" i="8"/>
  <c r="H93" i="8"/>
  <c r="I93" i="8"/>
  <c r="J93" i="8"/>
  <c r="K93" i="8"/>
  <c r="L93" i="8"/>
  <c r="M93" i="8"/>
  <c r="N93" i="8"/>
  <c r="O93" i="8"/>
  <c r="P93" i="8"/>
  <c r="Q93" i="8"/>
  <c r="R93" i="8"/>
  <c r="F94" i="8"/>
  <c r="G94" i="8"/>
  <c r="H94" i="8"/>
  <c r="I94" i="8"/>
  <c r="J94" i="8"/>
  <c r="K94" i="8"/>
  <c r="L94" i="8"/>
  <c r="M94" i="8"/>
  <c r="N94" i="8"/>
  <c r="O94" i="8"/>
  <c r="P94" i="8"/>
  <c r="Q94" i="8"/>
  <c r="R94" i="8"/>
  <c r="F95" i="8"/>
  <c r="G95" i="8"/>
  <c r="H95" i="8"/>
  <c r="I95" i="8"/>
  <c r="J95" i="8"/>
  <c r="K95" i="8"/>
  <c r="L95" i="8"/>
  <c r="M95" i="8"/>
  <c r="N95" i="8"/>
  <c r="O95" i="8"/>
  <c r="P95" i="8"/>
  <c r="Q95" i="8"/>
  <c r="R95" i="8"/>
  <c r="F96" i="8"/>
  <c r="G96" i="8"/>
  <c r="H96" i="8"/>
  <c r="I96" i="8"/>
  <c r="J96" i="8"/>
  <c r="K96" i="8"/>
  <c r="L96" i="8"/>
  <c r="M96" i="8"/>
  <c r="N96" i="8"/>
  <c r="O96" i="8"/>
  <c r="P96" i="8"/>
  <c r="Q96" i="8"/>
  <c r="R96" i="8"/>
  <c r="F97" i="8"/>
  <c r="G97" i="8"/>
  <c r="H97" i="8"/>
  <c r="I97" i="8"/>
  <c r="J97" i="8"/>
  <c r="K97" i="8"/>
  <c r="L97" i="8"/>
  <c r="M97" i="8"/>
  <c r="N97" i="8"/>
  <c r="O97" i="8"/>
  <c r="P97" i="8"/>
  <c r="Q97" i="8"/>
  <c r="R97" i="8"/>
  <c r="F98" i="8"/>
  <c r="G98" i="8"/>
  <c r="H98" i="8"/>
  <c r="I98" i="8"/>
  <c r="J98" i="8"/>
  <c r="K98" i="8"/>
  <c r="L98" i="8"/>
  <c r="M98" i="8"/>
  <c r="N98" i="8"/>
  <c r="O98" i="8"/>
  <c r="P98" i="8"/>
  <c r="Q98" i="8"/>
  <c r="R98" i="8"/>
  <c r="F99" i="8"/>
  <c r="G99" i="8"/>
  <c r="H99" i="8"/>
  <c r="I99" i="8"/>
  <c r="J99" i="8"/>
  <c r="K99" i="8"/>
  <c r="L99" i="8"/>
  <c r="M99" i="8"/>
  <c r="N99" i="8"/>
  <c r="O99" i="8"/>
  <c r="P99" i="8"/>
  <c r="Q99" i="8"/>
  <c r="R99" i="8"/>
  <c r="F100" i="8"/>
  <c r="G100" i="8"/>
  <c r="H100" i="8"/>
  <c r="I100" i="8"/>
  <c r="J100" i="8"/>
  <c r="K100" i="8"/>
  <c r="L100" i="8"/>
  <c r="M100" i="8"/>
  <c r="N100" i="8"/>
  <c r="O100" i="8"/>
  <c r="P100" i="8"/>
  <c r="Q100" i="8"/>
  <c r="R100" i="8"/>
  <c r="F101" i="8"/>
  <c r="G101" i="8"/>
  <c r="H101" i="8"/>
  <c r="I101" i="8"/>
  <c r="J101" i="8"/>
  <c r="K101" i="8"/>
  <c r="L101" i="8"/>
  <c r="M101" i="8"/>
  <c r="N101" i="8"/>
  <c r="O101" i="8"/>
  <c r="P101" i="8"/>
  <c r="Q101" i="8"/>
  <c r="R101" i="8"/>
  <c r="F102" i="8"/>
  <c r="G102" i="8"/>
  <c r="H102" i="8"/>
  <c r="I102" i="8"/>
  <c r="J102" i="8"/>
  <c r="K102" i="8"/>
  <c r="L102" i="8"/>
  <c r="M102" i="8"/>
  <c r="N102" i="8"/>
  <c r="O102" i="8"/>
  <c r="P102" i="8"/>
  <c r="Q102" i="8"/>
  <c r="R102" i="8"/>
  <c r="F107" i="8"/>
  <c r="G107" i="8"/>
  <c r="H107" i="8"/>
  <c r="I107" i="8"/>
  <c r="J107" i="8"/>
  <c r="K107" i="8"/>
  <c r="L107" i="8"/>
  <c r="M107" i="8"/>
  <c r="N107" i="8"/>
  <c r="O107" i="8"/>
  <c r="P107" i="8"/>
  <c r="Q107" i="8"/>
  <c r="R107" i="8"/>
  <c r="F108" i="8"/>
  <c r="G108" i="8"/>
  <c r="H108" i="8"/>
  <c r="I108" i="8"/>
  <c r="J108" i="8"/>
  <c r="K108" i="8"/>
  <c r="L108" i="8"/>
  <c r="M108" i="8"/>
  <c r="N108" i="8"/>
  <c r="O108" i="8"/>
  <c r="P108" i="8"/>
  <c r="Q108" i="8"/>
  <c r="R108" i="8"/>
  <c r="F109" i="8"/>
  <c r="G109" i="8"/>
  <c r="H109" i="8"/>
  <c r="I109" i="8"/>
  <c r="J109" i="8"/>
  <c r="K109" i="8"/>
  <c r="L109" i="8"/>
  <c r="M109" i="8"/>
  <c r="N109" i="8"/>
  <c r="O109" i="8"/>
  <c r="P109" i="8"/>
  <c r="Q109" i="8"/>
  <c r="R109" i="8"/>
  <c r="F110" i="8"/>
  <c r="G110" i="8"/>
  <c r="H110" i="8"/>
  <c r="I110" i="8"/>
  <c r="J110" i="8"/>
  <c r="K110" i="8"/>
  <c r="L110" i="8"/>
  <c r="M110" i="8"/>
  <c r="N110" i="8"/>
  <c r="O110" i="8"/>
  <c r="P110" i="8"/>
  <c r="Q110" i="8"/>
  <c r="R110" i="8"/>
  <c r="F111" i="8"/>
  <c r="G111" i="8"/>
  <c r="H111" i="8"/>
  <c r="I111" i="8"/>
  <c r="J111" i="8"/>
  <c r="K111" i="8"/>
  <c r="L111" i="8"/>
  <c r="M111" i="8"/>
  <c r="N111" i="8"/>
  <c r="O111" i="8"/>
  <c r="P111" i="8"/>
  <c r="Q111" i="8"/>
  <c r="R111" i="8"/>
  <c r="F112" i="8"/>
  <c r="G112" i="8"/>
  <c r="H112" i="8"/>
  <c r="I112" i="8"/>
  <c r="J112" i="8"/>
  <c r="K112" i="8"/>
  <c r="L112" i="8"/>
  <c r="M112" i="8"/>
  <c r="N112" i="8"/>
  <c r="O112" i="8"/>
  <c r="P112" i="8"/>
  <c r="Q112" i="8"/>
  <c r="R112" i="8"/>
  <c r="F113" i="8"/>
  <c r="G113" i="8"/>
  <c r="H113" i="8"/>
  <c r="I113" i="8"/>
  <c r="J113" i="8"/>
  <c r="K113" i="8"/>
  <c r="L113" i="8"/>
  <c r="M113" i="8"/>
  <c r="N113" i="8"/>
  <c r="O113" i="8"/>
  <c r="P113" i="8"/>
  <c r="Q113" i="8"/>
  <c r="R113" i="8"/>
  <c r="F114" i="8"/>
  <c r="G114" i="8"/>
  <c r="H114" i="8"/>
  <c r="I114" i="8"/>
  <c r="J114" i="8"/>
  <c r="K114" i="8"/>
  <c r="L114" i="8"/>
  <c r="M114" i="8"/>
  <c r="N114" i="8"/>
  <c r="O114" i="8"/>
  <c r="P114" i="8"/>
  <c r="Q114" i="8"/>
  <c r="R114" i="8"/>
  <c r="F115" i="8"/>
  <c r="G115" i="8"/>
  <c r="H115" i="8"/>
  <c r="I115" i="8"/>
  <c r="J115" i="8"/>
  <c r="K115" i="8"/>
  <c r="L115" i="8"/>
  <c r="M115" i="8"/>
  <c r="N115" i="8"/>
  <c r="O115" i="8"/>
  <c r="P115" i="8"/>
  <c r="Q115" i="8"/>
  <c r="R115" i="8"/>
  <c r="F116" i="8"/>
  <c r="G116" i="8"/>
  <c r="H116" i="8"/>
  <c r="I116" i="8"/>
  <c r="J116" i="8"/>
  <c r="K116" i="8"/>
  <c r="L116" i="8"/>
  <c r="M116" i="8"/>
  <c r="N116" i="8"/>
  <c r="O116" i="8"/>
  <c r="P116" i="8"/>
  <c r="Q116" i="8"/>
  <c r="R116" i="8"/>
  <c r="F117" i="8"/>
  <c r="G117" i="8"/>
  <c r="H117" i="8"/>
  <c r="I117" i="8"/>
  <c r="J117" i="8"/>
  <c r="K117" i="8"/>
  <c r="L117" i="8"/>
  <c r="M117" i="8"/>
  <c r="N117" i="8"/>
  <c r="O117" i="8"/>
  <c r="P117" i="8"/>
  <c r="Q117" i="8"/>
  <c r="R117" i="8"/>
  <c r="F118" i="8"/>
  <c r="G118" i="8"/>
  <c r="H118" i="8"/>
  <c r="I118" i="8"/>
  <c r="J118" i="8"/>
  <c r="K118" i="8"/>
  <c r="L118" i="8"/>
  <c r="M118" i="8"/>
  <c r="N118" i="8"/>
  <c r="O118" i="8"/>
  <c r="P118" i="8"/>
  <c r="Q118" i="8"/>
  <c r="R118" i="8"/>
  <c r="F119" i="8"/>
  <c r="G119" i="8"/>
  <c r="H119" i="8"/>
  <c r="I119" i="8"/>
  <c r="J119" i="8"/>
  <c r="K119" i="8"/>
  <c r="L119" i="8"/>
  <c r="M119" i="8"/>
  <c r="N119" i="8"/>
  <c r="O119" i="8"/>
  <c r="P119" i="8"/>
  <c r="Q119" i="8"/>
  <c r="R119" i="8"/>
  <c r="F120" i="8"/>
  <c r="G120" i="8"/>
  <c r="H120" i="8"/>
  <c r="I120" i="8"/>
  <c r="J120" i="8"/>
  <c r="K120" i="8"/>
  <c r="L120" i="8"/>
  <c r="M120" i="8"/>
  <c r="N120" i="8"/>
  <c r="O120" i="8"/>
  <c r="P120" i="8"/>
  <c r="Q120" i="8"/>
  <c r="R120" i="8"/>
  <c r="F121" i="8"/>
  <c r="G121" i="8"/>
  <c r="H121" i="8"/>
  <c r="I121" i="8"/>
  <c r="J121" i="8"/>
  <c r="K121" i="8"/>
  <c r="L121" i="8"/>
  <c r="M121" i="8"/>
  <c r="N121" i="8"/>
  <c r="O121" i="8"/>
  <c r="P121" i="8"/>
  <c r="Q121" i="8"/>
  <c r="R121" i="8"/>
  <c r="F122" i="8"/>
  <c r="G122" i="8"/>
  <c r="H122" i="8"/>
  <c r="I122" i="8"/>
  <c r="J122" i="8"/>
  <c r="K122" i="8"/>
  <c r="L122" i="8"/>
  <c r="M122" i="8"/>
  <c r="N122" i="8"/>
  <c r="O122" i="8"/>
  <c r="P122" i="8"/>
  <c r="Q122" i="8"/>
  <c r="R122" i="8"/>
  <c r="M8" i="4"/>
  <c r="I14" i="8"/>
  <c r="I15" i="8"/>
  <c r="L8" i="4"/>
  <c r="F15" i="8"/>
  <c r="H15" i="8"/>
  <c r="F14" i="8"/>
  <c r="H14" i="8"/>
  <c r="G14" i="8"/>
  <c r="G15" i="8"/>
  <c r="C72" i="4"/>
  <c r="D72" i="4"/>
  <c r="C71" i="4"/>
  <c r="D71" i="4"/>
  <c r="C70" i="4"/>
  <c r="D70" i="4"/>
  <c r="C69" i="4"/>
  <c r="D69" i="4"/>
  <c r="C68" i="4"/>
  <c r="D68" i="4"/>
  <c r="C67" i="4"/>
  <c r="D67" i="4"/>
  <c r="C66" i="4"/>
  <c r="D66" i="4"/>
  <c r="C65" i="4"/>
  <c r="D65" i="4"/>
  <c r="C64" i="4"/>
  <c r="D64" i="4"/>
  <c r="C63" i="4"/>
  <c r="D63" i="4"/>
  <c r="C62" i="4"/>
  <c r="D62" i="4"/>
  <c r="C61" i="4"/>
  <c r="D61" i="4"/>
  <c r="C60" i="4"/>
  <c r="D60" i="4"/>
  <c r="C59" i="4"/>
  <c r="D59" i="4"/>
  <c r="C58" i="4"/>
  <c r="D58" i="4"/>
  <c r="C57" i="4"/>
  <c r="D57" i="4"/>
  <c r="C56" i="4"/>
  <c r="D56" i="4"/>
  <c r="C55" i="4"/>
  <c r="D55" i="4"/>
  <c r="C54" i="4"/>
  <c r="D54" i="4"/>
  <c r="C53" i="4"/>
  <c r="D53" i="4"/>
  <c r="C52" i="4"/>
  <c r="D52" i="4"/>
  <c r="C51" i="4"/>
  <c r="D51" i="4"/>
  <c r="C50" i="4"/>
  <c r="D50" i="4"/>
  <c r="C49" i="4"/>
  <c r="D49" i="4"/>
  <c r="C48" i="4"/>
  <c r="D48" i="4"/>
  <c r="C47" i="4"/>
  <c r="D47" i="4"/>
  <c r="C46" i="4"/>
  <c r="D46" i="4"/>
  <c r="C45" i="4"/>
  <c r="D45" i="4"/>
  <c r="C44" i="4"/>
  <c r="D44" i="4"/>
  <c r="C43" i="4"/>
  <c r="D43" i="4"/>
  <c r="C42" i="4"/>
  <c r="D42" i="4"/>
  <c r="C41" i="4"/>
  <c r="D41" i="4"/>
  <c r="C40" i="4"/>
  <c r="D40" i="4"/>
  <c r="C39" i="4"/>
  <c r="D39" i="4"/>
  <c r="C38" i="4"/>
  <c r="D38" i="4"/>
  <c r="C37" i="4"/>
  <c r="D37" i="4"/>
  <c r="C36" i="4"/>
  <c r="D36" i="4"/>
  <c r="C35" i="4"/>
  <c r="D35" i="4"/>
  <c r="C34" i="4"/>
  <c r="D34" i="4"/>
  <c r="C33" i="4"/>
  <c r="D33" i="4"/>
  <c r="C32" i="4"/>
  <c r="D32" i="4"/>
  <c r="C31" i="4"/>
  <c r="D31" i="4"/>
  <c r="C30" i="4"/>
  <c r="D30" i="4"/>
  <c r="C29" i="4"/>
  <c r="D29" i="4"/>
  <c r="C28" i="4"/>
  <c r="D28" i="4"/>
  <c r="C27" i="4"/>
  <c r="D27" i="4"/>
  <c r="C26" i="4"/>
  <c r="D26" i="4"/>
  <c r="C25" i="4"/>
  <c r="D25" i="4"/>
  <c r="C24" i="4"/>
  <c r="D24" i="4"/>
  <c r="E122" i="8"/>
  <c r="E121" i="8"/>
  <c r="E120" i="8"/>
  <c r="E119" i="8"/>
  <c r="E118" i="8"/>
  <c r="E117" i="8"/>
  <c r="E116" i="8"/>
  <c r="E115" i="8"/>
  <c r="E114" i="8"/>
  <c r="E113" i="8"/>
  <c r="E112" i="8"/>
  <c r="E111" i="8"/>
  <c r="E110" i="8"/>
  <c r="E109" i="8"/>
  <c r="E108" i="8"/>
  <c r="E107" i="8"/>
  <c r="E106" i="8"/>
  <c r="E105" i="8"/>
  <c r="E104" i="8"/>
  <c r="E103" i="8"/>
  <c r="E102" i="8"/>
  <c r="E101" i="8"/>
  <c r="E100" i="8"/>
  <c r="E99" i="8"/>
  <c r="E98" i="8"/>
  <c r="E97" i="8"/>
  <c r="E96" i="8"/>
  <c r="E95" i="8"/>
  <c r="E94" i="8"/>
  <c r="E93" i="8"/>
  <c r="E92" i="8"/>
  <c r="E91" i="8"/>
  <c r="E90" i="8"/>
  <c r="E89" i="8"/>
  <c r="E88" i="8"/>
  <c r="E87" i="8"/>
  <c r="E86" i="8"/>
  <c r="E85" i="8"/>
  <c r="E84" i="8"/>
  <c r="E83" i="8"/>
  <c r="E82" i="8"/>
  <c r="E81" i="8"/>
  <c r="E80" i="8"/>
  <c r="E79" i="8"/>
  <c r="E78" i="8"/>
  <c r="E77" i="8"/>
  <c r="E76" i="8"/>
  <c r="E75" i="8"/>
  <c r="E74" i="8"/>
  <c r="E68" i="8"/>
  <c r="E67" i="8"/>
  <c r="E66" i="8"/>
  <c r="E65" i="8"/>
  <c r="E64" i="8"/>
  <c r="E63" i="8"/>
  <c r="E62" i="8"/>
  <c r="E61" i="8"/>
  <c r="E60" i="8"/>
  <c r="E59" i="8"/>
  <c r="E58" i="8"/>
  <c r="E57" i="8"/>
  <c r="E56" i="8"/>
  <c r="E55" i="8"/>
  <c r="E54" i="8"/>
  <c r="E53" i="8"/>
  <c r="E52" i="8"/>
  <c r="E51" i="8"/>
  <c r="E50" i="8"/>
  <c r="E49" i="8"/>
  <c r="E48" i="8"/>
  <c r="E47" i="8"/>
  <c r="E46" i="8"/>
  <c r="E45" i="8"/>
  <c r="E44" i="8"/>
  <c r="E43" i="8"/>
  <c r="E42" i="8"/>
  <c r="E41" i="8"/>
  <c r="E40" i="8"/>
  <c r="E39" i="8"/>
  <c r="E38" i="8"/>
  <c r="E37" i="8"/>
  <c r="E36" i="8"/>
  <c r="E35" i="8"/>
  <c r="E34" i="8"/>
  <c r="E33" i="8"/>
  <c r="E32" i="8"/>
  <c r="E31" i="8"/>
  <c r="E30" i="8"/>
  <c r="E29" i="8"/>
  <c r="E28" i="8"/>
  <c r="E27" i="8"/>
  <c r="E26" i="8"/>
  <c r="E25" i="8"/>
  <c r="E24" i="8"/>
  <c r="E23" i="8"/>
  <c r="E22" i="8"/>
  <c r="E21" i="8"/>
  <c r="E20" i="8"/>
  <c r="M6" i="4"/>
  <c r="N6" i="4"/>
  <c r="F18" i="7"/>
  <c r="I18" i="7"/>
  <c r="F16" i="7"/>
  <c r="I16" i="7"/>
  <c r="F15" i="7"/>
  <c r="I15" i="7"/>
  <c r="F17" i="7"/>
  <c r="I17" i="7"/>
  <c r="F14" i="7"/>
  <c r="I14" i="7"/>
  <c r="F11" i="7"/>
  <c r="I11" i="7"/>
  <c r="F9" i="7"/>
  <c r="I9" i="7"/>
  <c r="F13" i="7"/>
  <c r="I13" i="7"/>
  <c r="F12" i="7"/>
  <c r="I12" i="7"/>
  <c r="F10" i="7"/>
  <c r="I10" i="7"/>
  <c r="F22" i="7"/>
  <c r="I22" i="7"/>
  <c r="F23" i="7"/>
  <c r="I23" i="7"/>
  <c r="F19" i="7"/>
  <c r="I19" i="7"/>
  <c r="F20" i="7"/>
  <c r="I20" i="7"/>
  <c r="F21" i="7"/>
  <c r="I21" i="7"/>
  <c r="F28" i="7"/>
  <c r="I28" i="7"/>
  <c r="F27" i="7"/>
  <c r="I27" i="7"/>
  <c r="F24" i="7"/>
  <c r="I24" i="7"/>
  <c r="F26" i="7"/>
  <c r="I26" i="7"/>
  <c r="F25" i="7"/>
  <c r="I25" i="7"/>
  <c r="C249" i="3"/>
  <c r="C248" i="3"/>
  <c r="C33" i="7"/>
  <c r="C32" i="7"/>
  <c r="B33" i="7"/>
  <c r="B32" i="7"/>
  <c r="C34" i="7"/>
  <c r="B34" i="7"/>
  <c r="K6" i="4"/>
  <c r="K8" i="4"/>
  <c r="K9" i="4"/>
  <c r="J6" i="4"/>
  <c r="J9" i="4"/>
  <c r="K14" i="4"/>
  <c r="C8" i="6"/>
  <c r="L6" i="4"/>
  <c r="C26" i="6"/>
  <c r="C27" i="6"/>
  <c r="L9" i="4"/>
  <c r="K12" i="4" a="1"/>
  <c r="K12" i="4"/>
  <c r="R7" i="4" a="1"/>
  <c r="R7" i="4"/>
  <c r="Q7" i="4" a="1"/>
  <c r="Q7" i="4"/>
  <c r="S7" i="4"/>
  <c r="R13" i="4" a="1"/>
  <c r="R13" i="4"/>
  <c r="Q13" i="4" a="1"/>
  <c r="Q13" i="4"/>
  <c r="S13" i="4"/>
  <c r="R6" i="4" a="1"/>
  <c r="R6" i="4"/>
  <c r="Q6" i="4" a="1"/>
  <c r="Q6" i="4"/>
  <c r="S6" i="4"/>
  <c r="Q29" i="7" a="1"/>
  <c r="Q29" i="7"/>
  <c r="R29" i="7" a="1"/>
  <c r="R29" i="7"/>
  <c r="S29" i="7" a="1"/>
  <c r="S29" i="7"/>
  <c r="T29" i="7" a="1"/>
  <c r="T29" i="7"/>
  <c r="U29" i="7" a="1"/>
  <c r="U29" i="7"/>
  <c r="V29" i="7" a="1"/>
  <c r="V29" i="7"/>
  <c r="W29" i="7" a="1"/>
  <c r="W29" i="7"/>
  <c r="O30" i="7" a="1"/>
  <c r="O30" i="7"/>
  <c r="P30" i="7" a="1"/>
  <c r="P30" i="7"/>
  <c r="Q30" i="7" a="1"/>
  <c r="Q30" i="7"/>
  <c r="R30" i="7" a="1"/>
  <c r="R30" i="7"/>
  <c r="S30" i="7" a="1"/>
  <c r="S30" i="7"/>
  <c r="T30" i="7" a="1"/>
  <c r="T30" i="7"/>
  <c r="U30" i="7" a="1"/>
  <c r="U30" i="7"/>
  <c r="V30" i="7" a="1"/>
  <c r="V30" i="7"/>
  <c r="W30" i="7" a="1"/>
  <c r="W30" i="7"/>
  <c r="N30" i="7" a="1"/>
  <c r="N30" i="7"/>
  <c r="N29" i="7" a="1"/>
  <c r="N29" i="7"/>
  <c r="W31" i="7" a="1"/>
  <c r="W31" i="7"/>
  <c r="V31" i="7" a="1"/>
  <c r="V31" i="7"/>
  <c r="U31" i="7" a="1"/>
  <c r="U31" i="7"/>
  <c r="T31" i="7" a="1"/>
  <c r="T31" i="7"/>
  <c r="S31" i="7" a="1"/>
  <c r="S31" i="7"/>
  <c r="R31" i="7" a="1"/>
  <c r="R31" i="7"/>
  <c r="Q31" i="7" a="1"/>
  <c r="Q31" i="7"/>
  <c r="P31" i="7" a="1"/>
  <c r="P31" i="7"/>
  <c r="O31" i="7" a="1"/>
  <c r="O31" i="7"/>
  <c r="N31" i="7" a="1"/>
  <c r="N31" i="7"/>
  <c r="N32" i="7" a="1"/>
  <c r="N32" i="7"/>
  <c r="Q32" i="7" a="1"/>
  <c r="Q32" i="7"/>
  <c r="R32" i="7" a="1"/>
  <c r="R32" i="7"/>
  <c r="S32" i="7" a="1"/>
  <c r="S32" i="7"/>
  <c r="T32" i="7" a="1"/>
  <c r="T32" i="7"/>
  <c r="U32" i="7" a="1"/>
  <c r="U32" i="7"/>
  <c r="V32" i="7" a="1"/>
  <c r="V32" i="7"/>
  <c r="W32" i="7" a="1"/>
  <c r="W32" i="7"/>
  <c r="P32" i="7" a="1"/>
  <c r="P32" i="7"/>
  <c r="O32" i="7" a="1"/>
  <c r="O32" i="7"/>
  <c r="R14" i="4" a="1"/>
  <c r="R14" i="4"/>
  <c r="Q14" i="4" a="1"/>
  <c r="Q14" i="4"/>
  <c r="S14" i="4"/>
  <c r="R8" i="4" a="1"/>
  <c r="R8" i="4"/>
  <c r="Q8" i="4" a="1"/>
  <c r="Q8" i="4"/>
  <c r="S8" i="4"/>
  <c r="P29" i="7" a="1"/>
  <c r="P29" i="7"/>
  <c r="O29" i="7" a="1"/>
  <c r="O29" i="7"/>
  <c r="N12" i="4" a="1"/>
  <c r="N12" i="4"/>
  <c r="N13" i="4" a="1"/>
  <c r="N13" i="4"/>
  <c r="N14" i="4" a="1"/>
  <c r="N14" i="4"/>
  <c r="AC29" i="7"/>
  <c r="AC28" i="7"/>
  <c r="AC25" i="7"/>
  <c r="AC27" i="7"/>
  <c r="AC26" i="7"/>
  <c r="AC30" i="7"/>
  <c r="AB30" i="7"/>
  <c r="AE18" i="7"/>
  <c r="AE16" i="7"/>
  <c r="AE15" i="7"/>
  <c r="AE17" i="7"/>
  <c r="AE14" i="7"/>
  <c r="AE11" i="7"/>
  <c r="AE9" i="7"/>
  <c r="AE13" i="7"/>
  <c r="AE12" i="7"/>
  <c r="AE10" i="7"/>
  <c r="AE19" i="7"/>
  <c r="AD19" i="7"/>
  <c r="AE20" i="7"/>
  <c r="AD20" i="7"/>
  <c r="AC20" i="7"/>
  <c r="AB20" i="7"/>
  <c r="AA20" i="7"/>
  <c r="AC31" i="7"/>
  <c r="AB31" i="7"/>
  <c r="AA31" i="7"/>
  <c r="Z20" i="7"/>
  <c r="Z31" i="7"/>
</calcChain>
</file>

<file path=xl/sharedStrings.xml><?xml version="1.0" encoding="utf-8"?>
<sst xmlns="http://schemas.openxmlformats.org/spreadsheetml/2006/main" count="940" uniqueCount="294">
  <si>
    <t>Time</t>
  </si>
  <si>
    <t>Elixir</t>
  </si>
  <si>
    <t>Barracks</t>
  </si>
  <si>
    <t>Gold Storage</t>
  </si>
  <si>
    <t>Elixir Storage</t>
  </si>
  <si>
    <t>Clan Castle</t>
  </si>
  <si>
    <t>Cannon</t>
  </si>
  <si>
    <t>Mortar</t>
  </si>
  <si>
    <t>Bomb</t>
  </si>
  <si>
    <t>Giant Bomb</t>
  </si>
  <si>
    <t>Air Bomb</t>
  </si>
  <si>
    <t>Hidden Tesla</t>
  </si>
  <si>
    <t>X-Bow</t>
  </si>
  <si>
    <t>Town Hall</t>
  </si>
  <si>
    <t>Building</t>
  </si>
  <si>
    <t>Gold Mine</t>
  </si>
  <si>
    <t>Elixir Collector</t>
  </si>
  <si>
    <t>Dark Elixir Drill</t>
  </si>
  <si>
    <t>Dark Elixir Storage</t>
  </si>
  <si>
    <t>Dark Barracks</t>
  </si>
  <si>
    <t>Laboratory</t>
  </si>
  <si>
    <t>Spell Factory</t>
  </si>
  <si>
    <t>Archer Tower</t>
  </si>
  <si>
    <t>Wall</t>
  </si>
  <si>
    <t>Air Defense</t>
  </si>
  <si>
    <t>Spring Trap</t>
  </si>
  <si>
    <t>Wizard Tower</t>
  </si>
  <si>
    <t>Seeking Air Mine</t>
  </si>
  <si>
    <t>Inferno Tower</t>
  </si>
  <si>
    <t>Gold</t>
  </si>
  <si>
    <t>Resource</t>
  </si>
  <si>
    <t>Max Level</t>
  </si>
  <si>
    <t>1</t>
  </si>
  <si>
    <t>2</t>
  </si>
  <si>
    <t>3</t>
  </si>
  <si>
    <t>4</t>
  </si>
  <si>
    <t>5</t>
  </si>
  <si>
    <t>6</t>
  </si>
  <si>
    <t>7</t>
  </si>
  <si>
    <t>8</t>
  </si>
  <si>
    <t>9</t>
  </si>
  <si>
    <t>10</t>
  </si>
  <si>
    <t>11</t>
  </si>
  <si>
    <t>12</t>
  </si>
  <si>
    <t>C1</t>
  </si>
  <si>
    <t>C2</t>
  </si>
  <si>
    <t>C3</t>
  </si>
  <si>
    <t>C4</t>
  </si>
  <si>
    <t>C5</t>
  </si>
  <si>
    <t>C6</t>
  </si>
  <si>
    <t>C7</t>
  </si>
  <si>
    <t>C8</t>
  </si>
  <si>
    <t>C9</t>
  </si>
  <si>
    <t>C10</t>
  </si>
  <si>
    <t>C11</t>
  </si>
  <si>
    <t>C12</t>
  </si>
  <si>
    <t>T1</t>
  </si>
  <si>
    <t>T2</t>
  </si>
  <si>
    <t>T3</t>
  </si>
  <si>
    <t>T4</t>
  </si>
  <si>
    <t>T5</t>
  </si>
  <si>
    <t>T6</t>
  </si>
  <si>
    <t>T7</t>
  </si>
  <si>
    <t>T8</t>
  </si>
  <si>
    <t>T9</t>
  </si>
  <si>
    <t>T10</t>
  </si>
  <si>
    <t>T11</t>
  </si>
  <si>
    <t>T12</t>
  </si>
  <si>
    <t>Sum</t>
  </si>
  <si>
    <t>Next</t>
  </si>
  <si>
    <t>Kind</t>
  </si>
  <si>
    <t>Upgrade</t>
  </si>
  <si>
    <t>L1</t>
  </si>
  <si>
    <t>L2</t>
  </si>
  <si>
    <t>L3</t>
  </si>
  <si>
    <t>L4</t>
  </si>
  <si>
    <t>L5</t>
  </si>
  <si>
    <t>L6</t>
  </si>
  <si>
    <t>L7</t>
  </si>
  <si>
    <t>L8</t>
  </si>
  <si>
    <t>L10</t>
  </si>
  <si>
    <t>L9</t>
  </si>
  <si>
    <t>Barbarian</t>
  </si>
  <si>
    <t>Archer</t>
  </si>
  <si>
    <t>Goblin</t>
  </si>
  <si>
    <t>Giant</t>
  </si>
  <si>
    <t>Wall Breaker</t>
  </si>
  <si>
    <t>Balloon</t>
  </si>
  <si>
    <t>Wizard</t>
  </si>
  <si>
    <t>Healer</t>
  </si>
  <si>
    <t>Dragon</t>
  </si>
  <si>
    <t>P.E.K.K.A.</t>
  </si>
  <si>
    <t>Lightning Spell</t>
  </si>
  <si>
    <t>Healing Spell</t>
  </si>
  <si>
    <t>Rage Spell</t>
  </si>
  <si>
    <t>Jump Spell</t>
  </si>
  <si>
    <t>Freeze Spell</t>
  </si>
  <si>
    <t>Minion</t>
  </si>
  <si>
    <t>Hog Rider</t>
  </si>
  <si>
    <t>Valkyrie</t>
  </si>
  <si>
    <t>Golem</t>
  </si>
  <si>
    <t>Witch</t>
  </si>
  <si>
    <t>Dark Elixir</t>
  </si>
  <si>
    <t>Quantity Available</t>
  </si>
  <si>
    <t>Cost</t>
  </si>
  <si>
    <t>Barbarian King Altar</t>
  </si>
  <si>
    <t>Archer Queen Altar</t>
  </si>
  <si>
    <t>Building or Upgrade</t>
  </si>
  <si>
    <t>TOTAL</t>
  </si>
  <si>
    <t>Builder Huts</t>
  </si>
  <si>
    <t>Available</t>
  </si>
  <si>
    <t>Error</t>
  </si>
  <si>
    <t>Invalid Value</t>
  </si>
  <si>
    <t>Key / Legend</t>
  </si>
  <si>
    <t>About</t>
  </si>
  <si>
    <t>Created by Matthew Strax-Haber on a rainy afternoon</t>
  </si>
  <si>
    <t>Acknowledgments</t>
  </si>
  <si>
    <t>This spreadsheet, including but not limited to the data, formulas, and structure contained within, is licensed under the Creative Commons Attribution-Share Alike License 3.0 (Unported) (CC-BY-SA).</t>
  </si>
  <si>
    <t>License &amp; Legal</t>
  </si>
  <si>
    <t>Release Notes</t>
  </si>
  <si>
    <t>Initial Creation</t>
  </si>
  <si>
    <t>Date</t>
  </si>
  <si>
    <t>Change</t>
  </si>
  <si>
    <t xml:space="preserve">Contact me with questions or suggestions: </t>
  </si>
  <si>
    <t>Added locking and protection for tabs</t>
  </si>
  <si>
    <t>"Max" Option</t>
  </si>
  <si>
    <t>Fully Upgraded</t>
  </si>
  <si>
    <t>Maximum Level</t>
  </si>
  <si>
    <t>Not Built/Upgraded</t>
  </si>
  <si>
    <t>** Instructions **</t>
  </si>
  <si>
    <t>Clash of Clans is a trademark of Supercell. This work is neither endorsed by nor affiliated with Supercell.</t>
  </si>
  <si>
    <t>Improved formatting significantly, added upgrades, hero altar buildings, "Next Building" functionality, instructions, a key/legend, this "About" tab with license and acknowledgments, a scratch tab, and a neat table for "remaining" build costs in different categories</t>
  </si>
  <si>
    <t>Based on data from the Clash of Clans Wikia:</t>
  </si>
  <si>
    <t>http://clashofclans.wikia.com/</t>
  </si>
  <si>
    <t>Put anything you want here</t>
  </si>
  <si>
    <t>web+clash@straxhaber.com</t>
  </si>
  <si>
    <t>MatchStr</t>
  </si>
  <si>
    <t>Configuration Options</t>
  </si>
  <si>
    <t>Type</t>
  </si>
  <si>
    <t>&lt;-- set to the number of builder huts you currently have</t>
  </si>
  <si>
    <t>Idea</t>
  </si>
  <si>
    <t>Total Cost</t>
  </si>
  <si>
    <t>Calculate Army damage and XP</t>
  </si>
  <si>
    <t>Unit</t>
  </si>
  <si>
    <t>Spell</t>
  </si>
  <si>
    <t>Level</t>
  </si>
  <si>
    <t>Name</t>
  </si>
  <si>
    <t>Train Time</t>
  </si>
  <si>
    <t>Space</t>
  </si>
  <si>
    <t>Total Time</t>
  </si>
  <si>
    <t>Total Space</t>
  </si>
  <si>
    <t>Upgrades</t>
  </si>
  <si>
    <t>Army Costs</t>
  </si>
  <si>
    <t>Army Camp Capacity</t>
  </si>
  <si>
    <t>Town Hall Level</t>
  </si>
  <si>
    <t>Capacity</t>
  </si>
  <si>
    <t>Not Available or Zero Calculated Value</t>
  </si>
  <si>
    <t>Other Statistics</t>
  </si>
  <si>
    <t>Raid log (resources gained, troops used, etc)</t>
  </si>
  <si>
    <t>Added "skip builds/upgrades" functionality; fixed formatting bug; created army value and build time calculator</t>
  </si>
  <si>
    <t>1. Don't modify anything besides the values in the red box to the below-right.
2. In the red box, quickly mark the quantity of each item you have at each level.
3. At the top of the red box, set # of builder huts.
4. Check out the optional "Max" option and "skip list" at the top of the red box.
5. Again, there is no need to modify anything else!
6. Explore all of the data that is available! Try using Excel's sorting and filters as well.</t>
  </si>
  <si>
    <t>An up-to-date version of this spreadsheet can be found here:</t>
  </si>
  <si>
    <t>Additional Contributors</t>
  </si>
  <si>
    <t>https://www.paypal.com/cgi-bin/webscr?cmd=_s-xclick&amp;hosted_button_id=ME85YXLE2WPCJ</t>
  </si>
  <si>
    <t>1HJucnNZbZgTZF9Npg8BkYYRSuhipejUcf</t>
  </si>
  <si>
    <t>Left</t>
  </si>
  <si>
    <t>Spell Capacity</t>
  </si>
  <si>
    <t>Item Type</t>
  </si>
  <si>
    <t>Army Space</t>
  </si>
  <si>
    <t>Army Cost</t>
  </si>
  <si>
    <t>User Input</t>
  </si>
  <si>
    <t>More Units/Spells Available</t>
  </si>
  <si>
    <t>*** BUILDINGS ***</t>
  </si>
  <si>
    <t>*** UPGRADES ***</t>
  </si>
  <si>
    <t>Actionables</t>
  </si>
  <si>
    <t>Boolean</t>
  </si>
  <si>
    <t>(Put your name here) (NOTE: you can select and modify this box)</t>
  </si>
  <si>
    <t>Unit Set</t>
  </si>
  <si>
    <t>Remaining to Complete Level:</t>
  </si>
  <si>
    <t>Days</t>
  </si>
  <si>
    <t>See the "About" tab for more information</t>
  </si>
  <si>
    <t>Possible uses for this space:
 - Raid stats/records
 - Grocery list
 - Love letters
 - Money spent on Clash of Clans (if applicable)
 - Build orders
 - If you want me to include a new sheet, this is a great place to demo it</t>
  </si>
  <si>
    <t>Days/builder</t>
  </si>
  <si>
    <t>&lt;-- set TRUE to see amount left to max EVERYTHING (excluding skipped items)</t>
  </si>
  <si>
    <t>Total Elixir</t>
  </si>
  <si>
    <t>Elixir for Units</t>
  </si>
  <si>
    <t>Elixir for Spells</t>
  </si>
  <si>
    <t>Cheapo</t>
  </si>
  <si>
    <t>RageT1</t>
  </si>
  <si>
    <t>Barbarian King</t>
  </si>
  <si>
    <t>&lt;-- set to the level of your Barbarian King (0 if you don't have one)</t>
  </si>
  <si>
    <t>&lt;-- set to the level of your Witch Queen (0 if you don't have one)</t>
  </si>
  <si>
    <t>Hero Upgrades</t>
  </si>
  <si>
    <t>Archer Queen</t>
  </si>
  <si>
    <t>*** HEROES ***</t>
  </si>
  <si>
    <t>Time Remaining</t>
  </si>
  <si>
    <t>Cost Remaining</t>
  </si>
  <si>
    <t>Hero Upgrade</t>
  </si>
  <si>
    <t>Hero</t>
  </si>
  <si>
    <t>MaxLevel</t>
  </si>
  <si>
    <t>Upgradeable</t>
  </si>
  <si>
    <t>BK</t>
  </si>
  <si>
    <t>AQ</t>
  </si>
  <si>
    <t>Lookup Key</t>
  </si>
  <si>
    <t>BK-Cost</t>
  </si>
  <si>
    <t>BK-Time</t>
  </si>
  <si>
    <t>AQ-Cost</t>
  </si>
  <si>
    <t>AQ-Time</t>
  </si>
  <si>
    <t>Hero Level</t>
  </si>
  <si>
    <t>Dropdown Config</t>
  </si>
  <si>
    <t>Next Level</t>
  </si>
  <si>
    <t>** Only modify fields in this red box (below) **</t>
  </si>
  <si>
    <t>Cheapest non-wall building construction/upgrade:</t>
  </si>
  <si>
    <t>Cheapest unit, spell, or hero upgrade:</t>
  </si>
  <si>
    <t>Next Cost</t>
  </si>
  <si>
    <t>Next Time</t>
  </si>
  <si>
    <t>Cost to Max</t>
  </si>
  <si>
    <t>Time to Max</t>
  </si>
  <si>
    <t>Days (hero)</t>
  </si>
  <si>
    <t>Days (builder)</t>
  </si>
  <si>
    <t>Days (lab)</t>
  </si>
  <si>
    <t>Empty Cell</t>
  </si>
  <si>
    <t>Contributions to encourage further work can be sent to:</t>
  </si>
  <si>
    <t>b) Bitcoin</t>
  </si>
  <si>
    <t xml:space="preserve"> - Feeding America,
 - the United Nations Foundation,
 - NPR,
 - any 501(c)3 of your choosing.
If you donate, please send me a note to let me know!</t>
  </si>
  <si>
    <t>A deserving charity, such as:</t>
  </si>
  <si>
    <r>
      <rPr>
        <b/>
        <sz val="12"/>
        <color theme="1"/>
        <rFont val="Calibri"/>
        <family val="2"/>
        <scheme val="minor"/>
      </rPr>
      <t>My personal 'gem' fund:</t>
    </r>
    <r>
      <rPr>
        <sz val="12"/>
        <color theme="1"/>
        <rFont val="Calibri"/>
        <family val="2"/>
        <scheme val="minor"/>
      </rPr>
      <t xml:space="preserve">
a) PayPal</t>
    </r>
  </si>
  <si>
    <t>The top donors will have their name or COC handle included in "Acknowledgements."</t>
  </si>
  <si>
    <t>Special thanks to:</t>
  </si>
  <si>
    <t>GorillaMan, for creating the "Clash of Clans" wiki the data is based on.</t>
  </si>
  <si>
    <t>Incorporated changes from 2014-07-03 COC Update (v6.186.1), Added links to GitHub, etc.; corrected army space calculation; created separate tables for army build time and cost; added instructions for army calc tab; added basic validation; implemented attack sets</t>
  </si>
  <si>
    <t>Count</t>
  </si>
  <si>
    <t>Critical Stats</t>
  </si>
  <si>
    <t>Laboratory Level</t>
  </si>
  <si>
    <t># of Barracks</t>
  </si>
  <si>
    <t># of Dark Barracks</t>
  </si>
  <si>
    <t>Remaining Building Upgrades</t>
  </si>
  <si>
    <t>Remaining Unit/Spell Upgrades</t>
  </si>
  <si>
    <t>Remaining Wall Upgrades</t>
  </si>
  <si>
    <t># of Buildings</t>
  </si>
  <si>
    <t>Ratio of Elixir to Gold Needed</t>
  </si>
  <si>
    <t>Field</t>
  </si>
  <si>
    <t>Value</t>
  </si>
  <si>
    <t>Offset of L1 in State</t>
  </si>
  <si>
    <t>Army Camp</t>
  </si>
  <si>
    <t>include hero upgrades; change highlighting; move redundant stats from Construction Dash to Calcs; reformat Army Dash; calculate "remaining # of __" stats; refactored some formulas (not all) to simplify them or make them linked to names rather than fixed positions</t>
  </si>
  <si>
    <t>Fixed bug where "Remaining ___ Upgrades" calculations did not account for 'skips'</t>
  </si>
  <si>
    <t>Attack Set Selected</t>
  </si>
  <si>
    <t>/ Building</t>
  </si>
  <si>
    <t>Minutes</t>
  </si>
  <si>
    <t>&lt;-- this is a dropdown for convenience</t>
  </si>
  <si>
    <t>Barracks1</t>
  </si>
  <si>
    <t>Barracks2</t>
  </si>
  <si>
    <t>Barracks3</t>
  </si>
  <si>
    <t>Barracks4</t>
  </si>
  <si>
    <t>Total</t>
  </si>
  <si>
    <t>DB1</t>
  </si>
  <si>
    <t>DB2</t>
  </si>
  <si>
    <t>Test</t>
  </si>
  <si>
    <t>Already Built</t>
  </si>
  <si>
    <t>B</t>
  </si>
  <si>
    <t>SumStr</t>
  </si>
  <si>
    <t>A</t>
  </si>
  <si>
    <t>C</t>
  </si>
  <si>
    <t>Text Equiv</t>
  </si>
  <si>
    <t>D</t>
  </si>
  <si>
    <t>E</t>
  </si>
  <si>
    <t>F</t>
  </si>
  <si>
    <t>G</t>
  </si>
  <si>
    <t>H</t>
  </si>
  <si>
    <t>I</t>
  </si>
  <si>
    <t>J</t>
  </si>
  <si>
    <t>K</t>
  </si>
  <si>
    <t>L</t>
  </si>
  <si>
    <t>Building Capacities</t>
  </si>
  <si>
    <t>Build Order (not an optimal algorithm)</t>
  </si>
  <si>
    <t>Skip these buildings/upgrades</t>
  </si>
  <si>
    <t>Added table to calculate an efficient distribution of units per Barracks; disabled highlighting of skipped buildings/upgrades</t>
  </si>
  <si>
    <t>Custom</t>
  </si>
  <si>
    <t>Boosted?</t>
  </si>
  <si>
    <t>Added barracks/DB boost logic, provided option to ignore barracks capacity</t>
  </si>
  <si>
    <t>Implement unit/upgrade availability check based on barracks level</t>
  </si>
  <si>
    <t>Future Work (Ideas, TODOs, FIXMEs)</t>
  </si>
  <si>
    <t>Ignore Barracks/DB capacity</t>
  </si>
  <si>
    <t>&lt;- false if you're about to close game</t>
  </si>
  <si>
    <t>** Only modify fields of an orange color **</t>
  </si>
  <si>
    <t xml:space="preserve">  </t>
  </si>
  <si>
    <t>W-GHeal</t>
  </si>
  <si>
    <t>W-NoHeal</t>
  </si>
  <si>
    <t xml:space="preserve"> </t>
  </si>
  <si>
    <t>F-Cheap</t>
  </si>
  <si>
    <t>F-GHeal</t>
  </si>
  <si>
    <t>1. Clear out the numbers in the big red box
2. Enter quantities for an "Attack Set" and give it a name
3. Type the name of the "Attack Set" in the small red box
4. View the calculated values in the tables</t>
  </si>
  <si>
    <t>Army Construction Time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</si>
</sst>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 ???/???"/>
    <numFmt numFmtId="165" formatCode="yyyy\-mm\-dd"/>
    <numFmt numFmtId="166" formatCode="0.0%"/>
    <numFmt numFmtId="167" formatCode="#\ ??/60"/>
    <numFmt numFmtId="168" formatCode="#\ ??/24"/>
  </numFmts>
  <fonts count="19" x14ac:knownFonts="1">
    <font>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4"/>
      <color theme="1"/>
      <name val="Calibri"/>
      <scheme val="minor"/>
    </font>
    <font>
      <b/>
      <sz val="24"/>
      <color theme="4"/>
      <name val="Calibri"/>
      <scheme val="minor"/>
    </font>
    <font>
      <sz val="12"/>
      <color indexed="8"/>
      <name val="Calibri"/>
      <family val="2"/>
    </font>
    <font>
      <b/>
      <sz val="12"/>
      <color theme="1"/>
      <name val="Calibri"/>
      <family val="2"/>
      <scheme val="minor"/>
    </font>
    <font>
      <sz val="8"/>
      <name val="Calibri"/>
      <family val="2"/>
      <scheme val="minor"/>
    </font>
    <font>
      <sz val="12"/>
      <color rgb="FFFFFF00"/>
      <name val="Calibri"/>
      <family val="2"/>
      <scheme val="minor"/>
    </font>
    <font>
      <b/>
      <strike/>
      <u val="double"/>
      <sz val="12"/>
      <color rgb="FFFF0000"/>
      <name val="Calibri"/>
      <family val="2"/>
      <scheme val="minor"/>
    </font>
    <font>
      <sz val="12"/>
      <color theme="9" tint="-0.499984740745262"/>
      <name val="Calibri"/>
      <scheme val="minor"/>
    </font>
    <font>
      <b/>
      <sz val="12"/>
      <color rgb="FF000000"/>
      <name val="Calibri"/>
      <family val="2"/>
      <scheme val="minor"/>
    </font>
    <font>
      <sz val="12"/>
      <color rgb="FF3F3F76"/>
      <name val="Calibri"/>
      <family val="2"/>
      <scheme val="minor"/>
    </font>
    <font>
      <sz val="12"/>
      <color rgb="FF000000"/>
      <name val="Calibri"/>
      <family val="2"/>
      <scheme val="minor"/>
    </font>
    <font>
      <b/>
      <sz val="24"/>
      <color rgb="FF4F81BD"/>
      <name val="Calibri"/>
      <scheme val="minor"/>
    </font>
    <font>
      <b/>
      <i/>
      <sz val="14"/>
      <color theme="1"/>
      <name val="Calibri"/>
      <scheme val="minor"/>
    </font>
    <font>
      <b/>
      <i/>
      <sz val="12"/>
      <color theme="1"/>
      <name val="Calibri"/>
      <scheme val="minor"/>
    </font>
    <font>
      <sz val="14"/>
      <color rgb="FF000000"/>
      <name val="Calibri"/>
      <scheme val="minor"/>
    </font>
  </fonts>
  <fills count="21">
    <fill>
      <patternFill patternType="none"/>
    </fill>
    <fill>
      <patternFill patternType="gray125"/>
    </fill>
    <fill>
      <patternFill patternType="solid">
        <fgColor theme="8" tint="0.39997558519241921"/>
        <bgColor indexed="64"/>
      </patternFill>
    </fill>
    <fill>
      <patternFill patternType="solid">
        <fgColor theme="6" tint="0.59999389629810485"/>
        <bgColor theme="6" tint="0.59999389629810485"/>
      </patternFill>
    </fill>
    <fill>
      <patternFill patternType="solid">
        <fgColor theme="6" tint="0.79998168889431442"/>
        <bgColor theme="6" tint="0.79998168889431442"/>
      </patternFill>
    </fill>
    <fill>
      <patternFill patternType="solid">
        <fgColor theme="0" tint="-0.14999847407452621"/>
        <bgColor indexed="64"/>
      </patternFill>
    </fill>
    <fill>
      <patternFill patternType="solid">
        <fgColor theme="0" tint="-0.249977111117893"/>
        <bgColor indexed="64"/>
      </patternFill>
    </fill>
    <fill>
      <patternFill patternType="solid">
        <fgColor rgb="FFFF0000"/>
        <bgColor indexed="64"/>
      </patternFill>
    </fill>
    <fill>
      <patternFill patternType="solid">
        <fgColor theme="1" tint="0.34998626667073579"/>
        <bgColor indexed="64"/>
      </patternFill>
    </fill>
    <fill>
      <patternFill patternType="solid">
        <fgColor theme="5" tint="0.59999389629810485"/>
        <bgColor indexed="64"/>
      </patternFill>
    </fill>
    <fill>
      <patternFill patternType="solid">
        <fgColor rgb="FFD9D9D9"/>
        <bgColor rgb="FF000000"/>
      </patternFill>
    </fill>
    <fill>
      <patternFill patternType="solid">
        <fgColor rgb="FFFFCC99"/>
      </patternFill>
    </fill>
    <fill>
      <patternFill patternType="solid">
        <fgColor rgb="FFE6B8B7"/>
        <bgColor rgb="FF000000"/>
      </patternFill>
    </fill>
    <fill>
      <patternFill patternType="solid">
        <fgColor theme="3" tint="0.79998168889431442"/>
        <bgColor indexed="64"/>
      </patternFill>
    </fill>
    <fill>
      <patternFill patternType="solid">
        <fgColor theme="3" tint="0.79998168889431442"/>
        <bgColor auto="1"/>
      </patternFill>
    </fill>
    <fill>
      <patternFill patternType="solid">
        <fgColor rgb="FFFFFF00"/>
        <bgColor indexed="64"/>
      </patternFill>
    </fill>
    <fill>
      <patternFill patternType="solid">
        <fgColor rgb="FFC5D9F1"/>
        <bgColor rgb="FF000000"/>
      </patternFill>
    </fill>
    <fill>
      <patternFill patternType="solid">
        <fgColor rgb="FFFF0000"/>
        <bgColor rgb="FF000000"/>
      </patternFill>
    </fill>
    <fill>
      <patternFill patternType="solid">
        <fgColor rgb="FF595959"/>
        <bgColor rgb="FF000000"/>
      </patternFill>
    </fill>
    <fill>
      <patternFill patternType="solid">
        <fgColor theme="6" tint="0.59999389629810485"/>
        <bgColor indexed="64"/>
      </patternFill>
    </fill>
    <fill>
      <patternFill patternType="solid">
        <fgColor theme="6" tint="0.79998168889431442"/>
        <bgColor indexed="64"/>
      </patternFill>
    </fill>
  </fills>
  <borders count="90">
    <border>
      <left/>
      <right/>
      <top/>
      <bottom/>
      <diagonal/>
    </border>
    <border>
      <left/>
      <right style="thin">
        <color auto="1"/>
      </right>
      <top/>
      <bottom style="thin">
        <color auto="1"/>
      </bottom>
      <diagonal/>
    </border>
    <border>
      <left style="thick">
        <color auto="1"/>
      </left>
      <right/>
      <top/>
      <bottom/>
      <diagonal/>
    </border>
    <border>
      <left/>
      <right style="thick">
        <color auto="1"/>
      </right>
      <top/>
      <bottom/>
      <diagonal/>
    </border>
    <border>
      <left style="medium">
        <color auto="1"/>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bottom/>
      <diagonal/>
    </border>
    <border>
      <left/>
      <right style="thick">
        <color rgb="FFFF0000"/>
      </right>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right style="thick">
        <color auto="1"/>
      </right>
      <top style="thin">
        <color auto="1"/>
      </top>
      <bottom/>
      <diagonal/>
    </border>
    <border>
      <left style="thin">
        <color auto="1"/>
      </left>
      <right/>
      <top/>
      <bottom style="thick">
        <color auto="1"/>
      </bottom>
      <diagonal/>
    </border>
    <border>
      <left style="thick">
        <color auto="1"/>
      </left>
      <right/>
      <top style="thin">
        <color auto="1"/>
      </top>
      <bottom style="thick">
        <color auto="1"/>
      </bottom>
      <diagonal/>
    </border>
    <border>
      <left style="thin">
        <color auto="1"/>
      </left>
      <right/>
      <top style="thin">
        <color auto="1"/>
      </top>
      <bottom style="thick">
        <color auto="1"/>
      </bottom>
      <diagonal/>
    </border>
    <border>
      <left/>
      <right/>
      <top style="thin">
        <color auto="1"/>
      </top>
      <bottom style="thick">
        <color auto="1"/>
      </bottom>
      <diagonal/>
    </border>
    <border>
      <left style="thick">
        <color auto="1"/>
      </left>
      <right style="thin">
        <color auto="1"/>
      </right>
      <top style="thick">
        <color auto="1"/>
      </top>
      <bottom style="thin">
        <color auto="1"/>
      </bottom>
      <diagonal/>
    </border>
    <border>
      <left style="thick">
        <color auto="1"/>
      </left>
      <right style="thin">
        <color auto="1"/>
      </right>
      <top style="thick">
        <color auto="1"/>
      </top>
      <bottom/>
      <diagonal/>
    </border>
    <border>
      <left style="thin">
        <color auto="1"/>
      </left>
      <right style="thick">
        <color auto="1"/>
      </right>
      <top style="thick">
        <color auto="1"/>
      </top>
      <bottom/>
      <diagonal/>
    </border>
    <border>
      <left style="thick">
        <color auto="1"/>
      </left>
      <right style="thin">
        <color auto="1"/>
      </right>
      <top/>
      <bottom style="thick">
        <color auto="1"/>
      </bottom>
      <diagonal/>
    </border>
    <border>
      <left style="thin">
        <color auto="1"/>
      </left>
      <right style="thick">
        <color auto="1"/>
      </right>
      <top/>
      <bottom style="thick">
        <color auto="1"/>
      </bottom>
      <diagonal/>
    </border>
    <border>
      <left/>
      <right style="thick">
        <color auto="1"/>
      </right>
      <top style="thin">
        <color auto="1"/>
      </top>
      <bottom style="thick">
        <color auto="1"/>
      </bottom>
      <diagonal/>
    </border>
    <border>
      <left/>
      <right style="thick">
        <color auto="1"/>
      </right>
      <top/>
      <bottom style="thin">
        <color auto="1"/>
      </bottom>
      <diagonal/>
    </border>
    <border>
      <left style="thick">
        <color auto="1"/>
      </left>
      <right/>
      <top style="thick">
        <color auto="1"/>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bottom/>
      <diagonal/>
    </border>
    <border>
      <left style="thick">
        <color rgb="FFFF0000"/>
      </left>
      <right style="thin">
        <color auto="1"/>
      </right>
      <top style="thin">
        <color auto="1"/>
      </top>
      <bottom style="thin">
        <color auto="1"/>
      </bottom>
      <diagonal/>
    </border>
    <border>
      <left style="thick">
        <color rgb="FFFF0000"/>
      </left>
      <right style="thin">
        <color auto="1"/>
      </right>
      <top style="thin">
        <color auto="1"/>
      </top>
      <bottom style="thick">
        <color rgb="FFFF0000"/>
      </bottom>
      <diagonal/>
    </border>
    <border>
      <left style="thin">
        <color auto="1"/>
      </left>
      <right style="thin">
        <color auto="1"/>
      </right>
      <top/>
      <bottom style="thin">
        <color auto="1"/>
      </bottom>
      <diagonal/>
    </border>
    <border>
      <left style="thin">
        <color auto="1"/>
      </left>
      <right style="thick">
        <color rgb="FFFF0000"/>
      </right>
      <top/>
      <bottom style="thin">
        <color auto="1"/>
      </bottom>
      <diagonal/>
    </border>
    <border>
      <left style="thin">
        <color auto="1"/>
      </left>
      <right style="thick">
        <color auto="1"/>
      </right>
      <top style="thin">
        <color auto="1"/>
      </top>
      <bottom/>
      <diagonal/>
    </border>
    <border>
      <left/>
      <right style="thick">
        <color rgb="FF000000"/>
      </right>
      <top style="thick">
        <color auto="1"/>
      </top>
      <bottom style="thick">
        <color auto="1"/>
      </bottom>
      <diagonal/>
    </border>
    <border>
      <left style="thick">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ck">
        <color auto="1"/>
      </top>
      <bottom style="thin">
        <color auto="1"/>
      </bottom>
      <diagonal/>
    </border>
    <border>
      <left style="thick">
        <color rgb="FFFF0000"/>
      </left>
      <right/>
      <top style="thick">
        <color auto="1"/>
      </top>
      <bottom style="thick">
        <color auto="1"/>
      </bottom>
      <diagonal/>
    </border>
    <border>
      <left/>
      <right style="thick">
        <color rgb="FFFF0000"/>
      </right>
      <top style="thick">
        <color auto="1"/>
      </top>
      <bottom style="thick">
        <color auto="1"/>
      </bottom>
      <diagonal/>
    </border>
    <border>
      <left style="thick">
        <color auto="1"/>
      </left>
      <right style="thick">
        <color auto="1"/>
      </right>
      <top/>
      <bottom/>
      <diagonal/>
    </border>
    <border>
      <left style="thin">
        <color auto="1"/>
      </left>
      <right style="thin">
        <color auto="1"/>
      </right>
      <top style="thin">
        <color auto="1"/>
      </top>
      <bottom style="thick">
        <color auto="1"/>
      </bottom>
      <diagonal/>
    </border>
    <border>
      <left style="thin">
        <color auto="1"/>
      </left>
      <right style="thick">
        <color rgb="FFFF0000"/>
      </right>
      <top style="thin">
        <color auto="1"/>
      </top>
      <bottom style="thick">
        <color auto="1"/>
      </bottom>
      <diagonal/>
    </border>
    <border>
      <left style="thick">
        <color auto="1"/>
      </left>
      <right style="thin">
        <color auto="1"/>
      </right>
      <top/>
      <bottom style="thin">
        <color auto="1"/>
      </bottom>
      <diagonal/>
    </border>
    <border>
      <left style="thick">
        <color auto="1"/>
      </left>
      <right style="thin">
        <color auto="1"/>
      </right>
      <top style="thin">
        <color auto="1"/>
      </top>
      <bottom style="thick">
        <color auto="1"/>
      </bottom>
      <diagonal/>
    </border>
    <border>
      <left style="thin">
        <color auto="1"/>
      </left>
      <right/>
      <top/>
      <bottom style="thick">
        <color rgb="FFFF0000"/>
      </bottom>
      <diagonal/>
    </border>
    <border>
      <left style="thick">
        <color rgb="FFFF0000"/>
      </left>
      <right/>
      <top style="thick">
        <color rgb="FFFF0000"/>
      </top>
      <bottom style="thick">
        <color rgb="FFFF0000"/>
      </bottom>
      <diagonal/>
    </border>
    <border>
      <left/>
      <right/>
      <top style="thick">
        <color rgb="FFFF0000"/>
      </top>
      <bottom style="thick">
        <color rgb="FFFF0000"/>
      </bottom>
      <diagonal/>
    </border>
    <border>
      <left/>
      <right style="thick">
        <color rgb="FFFF0000"/>
      </right>
      <top style="thick">
        <color rgb="FFFF0000"/>
      </top>
      <bottom style="thick">
        <color rgb="FFFF0000"/>
      </bottom>
      <diagonal/>
    </border>
    <border>
      <left style="thin">
        <color auto="1"/>
      </left>
      <right style="thick">
        <color auto="1"/>
      </right>
      <top style="thick">
        <color auto="1"/>
      </top>
      <bottom style="thin">
        <color auto="1"/>
      </bottom>
      <diagonal/>
    </border>
    <border>
      <left style="thin">
        <color auto="1"/>
      </left>
      <right/>
      <top style="thick">
        <color rgb="FFFF0000"/>
      </top>
      <bottom/>
      <diagonal/>
    </border>
    <border>
      <left style="thin">
        <color auto="1"/>
      </left>
      <right/>
      <top/>
      <bottom style="thin">
        <color auto="1"/>
      </bottom>
      <diagonal/>
    </border>
    <border>
      <left style="thick">
        <color rgb="FFFF0000"/>
      </left>
      <right style="thin">
        <color auto="1"/>
      </right>
      <top style="thick">
        <color rgb="FFFF0000"/>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n">
        <color auto="1"/>
      </left>
      <right style="thick">
        <color auto="1"/>
      </right>
      <top style="thin">
        <color auto="1"/>
      </top>
      <bottom style="thick">
        <color auto="1"/>
      </bottom>
      <diagonal/>
    </border>
    <border>
      <left style="thin">
        <color auto="1"/>
      </left>
      <right style="thin">
        <color auto="1"/>
      </right>
      <top style="thin">
        <color auto="1"/>
      </top>
      <bottom style="thin">
        <color auto="1"/>
      </bottom>
      <diagonal/>
    </border>
    <border>
      <left style="thick">
        <color auto="1"/>
      </left>
      <right/>
      <top style="thick">
        <color auto="1"/>
      </top>
      <bottom/>
      <diagonal/>
    </border>
    <border>
      <left style="thick">
        <color auto="1"/>
      </left>
      <right/>
      <top style="thin">
        <color auto="1"/>
      </top>
      <bottom/>
      <diagonal/>
    </border>
    <border>
      <left/>
      <right/>
      <top/>
      <bottom style="thin">
        <color auto="1"/>
      </bottom>
      <diagonal/>
    </border>
    <border>
      <left style="thick">
        <color auto="1"/>
      </left>
      <right/>
      <top/>
      <bottom style="thin">
        <color auto="1"/>
      </bottom>
      <diagonal/>
    </border>
    <border>
      <left style="thin">
        <color auto="1"/>
      </left>
      <right style="thick">
        <color auto="1"/>
      </right>
      <top/>
      <bottom style="thin">
        <color auto="1"/>
      </bottom>
      <diagonal/>
    </border>
    <border>
      <left style="thin">
        <color auto="1"/>
      </left>
      <right style="thin">
        <color auto="1"/>
      </right>
      <top/>
      <bottom/>
      <diagonal/>
    </border>
    <border>
      <left/>
      <right style="thin">
        <color auto="1"/>
      </right>
      <top/>
      <bottom/>
      <diagonal/>
    </border>
    <border>
      <left style="thin">
        <color auto="1"/>
      </left>
      <right style="thin">
        <color auto="1"/>
      </right>
      <top/>
      <bottom style="thick">
        <color auto="1"/>
      </bottom>
      <diagonal/>
    </border>
    <border>
      <left style="thin">
        <color auto="1"/>
      </left>
      <right style="thin">
        <color auto="1"/>
      </right>
      <top style="thick">
        <color auto="1"/>
      </top>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style="thick">
        <color rgb="FFFF0000"/>
      </left>
      <right style="thin">
        <color auto="1"/>
      </right>
      <top style="thick">
        <color auto="1"/>
      </top>
      <bottom style="thin">
        <color auto="1"/>
      </bottom>
      <diagonal/>
    </border>
    <border>
      <left style="thick">
        <color rgb="FFFF0000"/>
      </left>
      <right style="thin">
        <color auto="1"/>
      </right>
      <top style="thin">
        <color auto="1"/>
      </top>
      <bottom style="thick">
        <color auto="1"/>
      </bottom>
      <diagonal/>
    </border>
    <border>
      <left style="thin">
        <color auto="1"/>
      </left>
      <right/>
      <top style="thick">
        <color auto="1"/>
      </top>
      <bottom style="thick">
        <color auto="1"/>
      </bottom>
      <diagonal/>
    </border>
    <border>
      <left style="thin">
        <color rgb="FF7F7F7F"/>
      </left>
      <right style="thin">
        <color rgb="FF7F7F7F"/>
      </right>
      <top style="thick">
        <color auto="1"/>
      </top>
      <bottom style="thin">
        <color rgb="FF7F7F7F"/>
      </bottom>
      <diagonal/>
    </border>
    <border>
      <left/>
      <right style="thin">
        <color auto="1"/>
      </right>
      <top style="thick">
        <color auto="1"/>
      </top>
      <bottom style="thick">
        <color auto="1"/>
      </bottom>
      <diagonal/>
    </border>
    <border>
      <left style="thick">
        <color auto="1"/>
      </left>
      <right style="thin">
        <color auto="1"/>
      </right>
      <top style="thin">
        <color auto="1"/>
      </top>
      <bottom/>
      <diagonal/>
    </border>
    <border>
      <left/>
      <right/>
      <top style="thick">
        <color auto="1"/>
      </top>
      <bottom style="thin">
        <color auto="1"/>
      </bottom>
      <diagonal/>
    </border>
    <border>
      <left/>
      <right style="thick">
        <color auto="1"/>
      </right>
      <top style="thick">
        <color auto="1"/>
      </top>
      <bottom style="thin">
        <color auto="1"/>
      </bottom>
      <diagonal/>
    </border>
  </borders>
  <cellStyleXfs count="151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6"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3" fillId="11" borderId="46"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373">
    <xf numFmtId="0" fontId="0" fillId="0" borderId="0" xfId="0"/>
    <xf numFmtId="0" fontId="4" fillId="0" borderId="11" xfId="0" applyFont="1" applyBorder="1" applyAlignment="1" applyProtection="1">
      <alignment horizontal="center"/>
      <protection locked="0"/>
    </xf>
    <xf numFmtId="0" fontId="4" fillId="0" borderId="0" xfId="0" applyFont="1" applyBorder="1" applyAlignment="1" applyProtection="1">
      <alignment horizontal="center"/>
      <protection locked="0"/>
    </xf>
    <xf numFmtId="0" fontId="4" fillId="0" borderId="12" xfId="0" applyFont="1" applyBorder="1" applyAlignment="1" applyProtection="1">
      <alignment horizontal="center"/>
      <protection locked="0"/>
    </xf>
    <xf numFmtId="0" fontId="4" fillId="0" borderId="0" xfId="0" applyNumberFormat="1" applyFont="1" applyBorder="1" applyAlignment="1" applyProtection="1">
      <alignment horizontal="center"/>
      <protection locked="0"/>
    </xf>
    <xf numFmtId="0" fontId="4" fillId="0" borderId="11" xfId="0" applyNumberFormat="1" applyFont="1" applyBorder="1" applyAlignment="1" applyProtection="1">
      <alignment horizontal="center"/>
      <protection locked="0"/>
    </xf>
    <xf numFmtId="0" fontId="4" fillId="0" borderId="13" xfId="0" applyNumberFormat="1" applyFont="1" applyBorder="1" applyAlignment="1" applyProtection="1">
      <alignment horizontal="center"/>
      <protection locked="0"/>
    </xf>
    <xf numFmtId="0" fontId="4" fillId="0" borderId="14" xfId="0" applyNumberFormat="1" applyFont="1" applyBorder="1" applyAlignment="1" applyProtection="1">
      <alignment horizontal="center"/>
      <protection locked="0"/>
    </xf>
    <xf numFmtId="0" fontId="4" fillId="0" borderId="14" xfId="0" applyFont="1" applyBorder="1" applyAlignment="1" applyProtection="1">
      <alignment horizontal="center"/>
      <protection locked="0"/>
    </xf>
    <xf numFmtId="0" fontId="4" fillId="0" borderId="15" xfId="0" applyFont="1" applyBorder="1" applyAlignment="1" applyProtection="1">
      <alignment horizontal="center"/>
      <protection locked="0"/>
    </xf>
    <xf numFmtId="166" fontId="7" fillId="0" borderId="33" xfId="0" applyNumberFormat="1" applyFont="1" applyBorder="1" applyAlignment="1" applyProtection="1">
      <alignment horizontal="center"/>
      <protection hidden="1"/>
    </xf>
    <xf numFmtId="0" fontId="0" fillId="0" borderId="0" xfId="0" applyProtection="1"/>
    <xf numFmtId="0" fontId="3" fillId="6" borderId="29" xfId="0" applyFont="1" applyFill="1" applyBorder="1" applyProtection="1"/>
    <xf numFmtId="38" fontId="0" fillId="0" borderId="5" xfId="0" applyNumberFormat="1" applyFont="1" applyBorder="1" applyProtection="1"/>
    <xf numFmtId="38" fontId="0" fillId="0" borderId="6" xfId="0" applyNumberFormat="1" applyFont="1" applyBorder="1" applyProtection="1"/>
    <xf numFmtId="164" fontId="0" fillId="0" borderId="24" xfId="0" applyNumberFormat="1" applyFont="1" applyBorder="1" applyAlignment="1" applyProtection="1">
      <alignment horizontal="right"/>
    </xf>
    <xf numFmtId="0" fontId="0" fillId="0" borderId="5" xfId="0" applyFont="1" applyBorder="1" applyProtection="1"/>
    <xf numFmtId="38" fontId="0" fillId="0" borderId="7" xfId="0" applyNumberFormat="1" applyFont="1" applyBorder="1" applyProtection="1"/>
    <xf numFmtId="38" fontId="0" fillId="0" borderId="0" xfId="0" applyNumberFormat="1" applyFont="1" applyBorder="1" applyProtection="1"/>
    <xf numFmtId="164" fontId="0" fillId="0" borderId="3" xfId="0" applyNumberFormat="1" applyFont="1" applyBorder="1" applyAlignment="1" applyProtection="1">
      <alignment horizontal="right"/>
    </xf>
    <xf numFmtId="0" fontId="0" fillId="0" borderId="7" xfId="0" applyFont="1" applyBorder="1" applyProtection="1"/>
    <xf numFmtId="0" fontId="0" fillId="0" borderId="25" xfId="0" applyFont="1" applyBorder="1" applyProtection="1"/>
    <xf numFmtId="38" fontId="0" fillId="0" borderId="19" xfId="0" applyNumberFormat="1" applyFont="1" applyBorder="1" applyProtection="1"/>
    <xf numFmtId="164" fontId="0" fillId="0" borderId="20" xfId="0" applyNumberFormat="1" applyFont="1" applyBorder="1" applyAlignment="1" applyProtection="1">
      <alignment horizontal="right"/>
    </xf>
    <xf numFmtId="0" fontId="3" fillId="6" borderId="26" xfId="0" applyFont="1" applyFill="1" applyBorder="1" applyProtection="1"/>
    <xf numFmtId="38" fontId="0" fillId="5" borderId="27" xfId="0" applyNumberFormat="1" applyFont="1" applyFill="1" applyBorder="1" applyProtection="1"/>
    <xf numFmtId="38" fontId="0" fillId="5" borderId="28" xfId="0" applyNumberFormat="1" applyFont="1" applyFill="1" applyBorder="1" applyProtection="1"/>
    <xf numFmtId="0" fontId="0" fillId="7" borderId="0" xfId="0" applyFill="1" applyProtection="1"/>
    <xf numFmtId="0" fontId="0" fillId="0" borderId="0" xfId="0" applyBorder="1" applyAlignment="1" applyProtection="1">
      <alignment wrapText="1"/>
    </xf>
    <xf numFmtId="0" fontId="11" fillId="2" borderId="39" xfId="0" applyFont="1" applyFill="1" applyBorder="1" applyAlignment="1" applyProtection="1">
      <alignment horizontal="center"/>
    </xf>
    <xf numFmtId="0" fontId="0" fillId="8" borderId="39" xfId="0" applyFont="1" applyFill="1" applyBorder="1" applyAlignment="1" applyProtection="1">
      <alignment horizontal="center"/>
    </xf>
    <xf numFmtId="0" fontId="9" fillId="7" borderId="39" xfId="0" applyFont="1" applyFill="1" applyBorder="1" applyAlignment="1" applyProtection="1">
      <alignment horizontal="center"/>
    </xf>
    <xf numFmtId="0" fontId="7" fillId="0" borderId="0" xfId="0" applyFont="1" applyProtection="1"/>
    <xf numFmtId="0" fontId="7" fillId="7" borderId="0" xfId="0" applyFont="1" applyFill="1" applyProtection="1"/>
    <xf numFmtId="0" fontId="7" fillId="0" borderId="11" xfId="0" applyFont="1" applyBorder="1" applyProtection="1"/>
    <xf numFmtId="0" fontId="7" fillId="0" borderId="0" xfId="0" applyFont="1" applyBorder="1" applyProtection="1"/>
    <xf numFmtId="0" fontId="7" fillId="0" borderId="12" xfId="0" applyFont="1" applyBorder="1" applyProtection="1"/>
    <xf numFmtId="0" fontId="4" fillId="0" borderId="0" xfId="0" applyFont="1" applyProtection="1"/>
    <xf numFmtId="0" fontId="4" fillId="7" borderId="0" xfId="0" applyFont="1" applyFill="1" applyProtection="1"/>
    <xf numFmtId="0" fontId="4" fillId="0" borderId="0" xfId="0" applyFont="1" applyAlignment="1" applyProtection="1">
      <alignment horizontal="center"/>
    </xf>
    <xf numFmtId="0" fontId="4" fillId="0" borderId="0" xfId="0" applyNumberFormat="1" applyFont="1" applyBorder="1" applyAlignment="1" applyProtection="1">
      <alignment horizontal="center"/>
    </xf>
    <xf numFmtId="0" fontId="4" fillId="0" borderId="0" xfId="0" applyNumberFormat="1" applyFont="1" applyProtection="1"/>
    <xf numFmtId="0" fontId="4" fillId="7" borderId="0" xfId="0" applyNumberFormat="1" applyFont="1" applyFill="1" applyProtection="1"/>
    <xf numFmtId="0" fontId="4" fillId="0" borderId="0" xfId="0" applyNumberFormat="1" applyFont="1" applyAlignment="1" applyProtection="1">
      <alignment horizontal="center"/>
    </xf>
    <xf numFmtId="0" fontId="4" fillId="0" borderId="0" xfId="0" applyFont="1" applyBorder="1" applyProtection="1"/>
    <xf numFmtId="0" fontId="4" fillId="7" borderId="0" xfId="0" applyFont="1" applyFill="1" applyBorder="1" applyProtection="1"/>
    <xf numFmtId="0" fontId="14" fillId="0" borderId="0" xfId="0" applyFont="1" applyProtection="1"/>
    <xf numFmtId="38" fontId="0" fillId="0" borderId="0" xfId="0" applyNumberFormat="1" applyProtection="1"/>
    <xf numFmtId="3" fontId="0" fillId="0" borderId="0" xfId="0" applyNumberFormat="1" applyProtection="1"/>
    <xf numFmtId="0" fontId="0" fillId="0" borderId="0" xfId="0" applyNumberFormat="1" applyProtection="1"/>
    <xf numFmtId="0" fontId="0" fillId="0" borderId="0" xfId="0" applyBorder="1" applyProtection="1"/>
    <xf numFmtId="0" fontId="0" fillId="0" borderId="0" xfId="0" applyNumberFormat="1" applyBorder="1" applyProtection="1"/>
    <xf numFmtId="38" fontId="0" fillId="0" borderId="0" xfId="0" applyNumberFormat="1" applyBorder="1" applyProtection="1"/>
    <xf numFmtId="3" fontId="0" fillId="0" borderId="0" xfId="0" applyNumberFormat="1" applyBorder="1" applyProtection="1"/>
    <xf numFmtId="164" fontId="0" fillId="0" borderId="0" xfId="0" applyNumberFormat="1" applyAlignment="1" applyProtection="1">
      <alignment horizontal="right"/>
    </xf>
    <xf numFmtId="38" fontId="0" fillId="0" borderId="0" xfId="0" applyNumberFormat="1" applyAlignment="1" applyProtection="1">
      <alignment horizontal="right"/>
    </xf>
    <xf numFmtId="164" fontId="0" fillId="0" borderId="0" xfId="0" applyNumberFormat="1" applyBorder="1" applyAlignment="1" applyProtection="1">
      <alignment horizontal="right"/>
    </xf>
    <xf numFmtId="0" fontId="0" fillId="3" borderId="47" xfId="0" applyFont="1" applyFill="1" applyBorder="1" applyAlignment="1" applyProtection="1">
      <alignment horizontal="center"/>
      <protection locked="0"/>
    </xf>
    <xf numFmtId="0" fontId="0" fillId="4" borderId="51" xfId="0" applyFont="1" applyFill="1" applyBorder="1" applyAlignment="1" applyProtection="1">
      <alignment horizontal="center"/>
      <protection locked="0"/>
    </xf>
    <xf numFmtId="0" fontId="0" fillId="0" borderId="0" xfId="0" applyFont="1" applyProtection="1"/>
    <xf numFmtId="0" fontId="7" fillId="6" borderId="29" xfId="0" applyFont="1" applyFill="1" applyBorder="1" applyProtection="1"/>
    <xf numFmtId="0" fontId="7" fillId="5" borderId="2" xfId="0" applyFont="1" applyFill="1" applyBorder="1" applyProtection="1"/>
    <xf numFmtId="0" fontId="0" fillId="0" borderId="2" xfId="0" applyBorder="1" applyProtection="1"/>
    <xf numFmtId="0" fontId="0" fillId="0" borderId="3" xfId="0" applyBorder="1" applyProtection="1"/>
    <xf numFmtId="3" fontId="0" fillId="0" borderId="4" xfId="0" applyNumberFormat="1" applyFill="1" applyBorder="1" applyProtection="1"/>
    <xf numFmtId="3" fontId="0" fillId="0" borderId="0" xfId="0" applyNumberFormat="1" applyFill="1" applyBorder="1" applyProtection="1"/>
    <xf numFmtId="164" fontId="6" fillId="0" borderId="4" xfId="447" applyNumberFormat="1" applyFill="1" applyBorder="1" applyProtection="1"/>
    <xf numFmtId="164" fontId="6" fillId="0" borderId="0" xfId="447" applyNumberFormat="1" applyFill="1" applyProtection="1"/>
    <xf numFmtId="3" fontId="6" fillId="0" borderId="4" xfId="447" applyNumberFormat="1" applyFill="1" applyBorder="1" applyProtection="1"/>
    <xf numFmtId="167" fontId="0" fillId="0" borderId="0" xfId="0" applyNumberFormat="1" applyProtection="1"/>
    <xf numFmtId="0" fontId="0" fillId="0" borderId="1" xfId="0" applyBorder="1" applyProtection="1"/>
    <xf numFmtId="0" fontId="7" fillId="6" borderId="26" xfId="0" applyFont="1" applyFill="1" applyBorder="1" applyProtection="1"/>
    <xf numFmtId="0" fontId="7" fillId="5" borderId="18" xfId="0" applyFont="1" applyFill="1" applyBorder="1" applyProtection="1"/>
    <xf numFmtId="0" fontId="7" fillId="6" borderId="59" xfId="0" applyFont="1" applyFill="1" applyBorder="1" applyProtection="1"/>
    <xf numFmtId="167" fontId="0" fillId="0" borderId="25" xfId="0" applyNumberFormat="1" applyFont="1" applyBorder="1" applyProtection="1"/>
    <xf numFmtId="167" fontId="0" fillId="0" borderId="7" xfId="0" applyNumberFormat="1" applyFont="1" applyBorder="1" applyProtection="1"/>
    <xf numFmtId="0" fontId="7" fillId="6" borderId="36" xfId="0" applyFont="1" applyFill="1" applyBorder="1" applyProtection="1"/>
    <xf numFmtId="38" fontId="0" fillId="0" borderId="61" xfId="0" applyNumberFormat="1" applyFont="1" applyBorder="1" applyProtection="1"/>
    <xf numFmtId="38" fontId="0" fillId="0" borderId="24" xfId="0" applyNumberFormat="1" applyFont="1" applyBorder="1" applyProtection="1"/>
    <xf numFmtId="38" fontId="0" fillId="0" borderId="35" xfId="0" applyNumberFormat="1" applyFont="1" applyBorder="1" applyProtection="1"/>
    <xf numFmtId="38" fontId="0" fillId="5" borderId="34" xfId="0" applyNumberFormat="1" applyFont="1" applyFill="1" applyBorder="1" applyProtection="1"/>
    <xf numFmtId="0" fontId="0" fillId="8" borderId="40" xfId="0" applyFont="1" applyFill="1" applyBorder="1" applyAlignment="1" applyProtection="1">
      <alignment horizontal="center"/>
    </xf>
    <xf numFmtId="0" fontId="13" fillId="11" borderId="62" xfId="786" applyNumberFormat="1" applyBorder="1" applyAlignment="1" applyProtection="1">
      <alignment horizontal="center"/>
    </xf>
    <xf numFmtId="0" fontId="3" fillId="6" borderId="64" xfId="0" applyFont="1" applyFill="1" applyBorder="1" applyAlignment="1" applyProtection="1">
      <protection hidden="1"/>
    </xf>
    <xf numFmtId="0" fontId="7" fillId="5" borderId="50" xfId="0" applyFont="1" applyFill="1" applyBorder="1" applyAlignment="1" applyProtection="1">
      <protection hidden="1"/>
    </xf>
    <xf numFmtId="0" fontId="7" fillId="5" borderId="65" xfId="0" applyFont="1" applyFill="1" applyBorder="1" applyAlignment="1" applyProtection="1">
      <protection hidden="1"/>
    </xf>
    <xf numFmtId="0" fontId="3" fillId="6" borderId="63" xfId="0" applyFont="1" applyFill="1" applyBorder="1" applyAlignment="1" applyProtection="1">
      <protection hidden="1"/>
    </xf>
    <xf numFmtId="0" fontId="17" fillId="5" borderId="67" xfId="0" applyFont="1" applyFill="1" applyBorder="1" applyAlignment="1" applyProtection="1">
      <protection hidden="1"/>
    </xf>
    <xf numFmtId="0" fontId="17" fillId="5" borderId="66" xfId="0" applyFont="1" applyFill="1" applyBorder="1" applyAlignment="1" applyProtection="1">
      <protection hidden="1"/>
    </xf>
    <xf numFmtId="0" fontId="7" fillId="0" borderId="2" xfId="0" applyNumberFormat="1" applyFont="1" applyBorder="1" applyAlignment="1" applyProtection="1">
      <alignment wrapText="1"/>
    </xf>
    <xf numFmtId="0" fontId="0" fillId="0" borderId="38" xfId="0" applyNumberFormat="1" applyBorder="1" applyAlignment="1" applyProtection="1">
      <alignment horizontal="left" wrapText="1" indent="1"/>
    </xf>
    <xf numFmtId="0" fontId="1" fillId="0" borderId="38" xfId="702" applyNumberFormat="1" applyBorder="1" applyAlignment="1" applyProtection="1">
      <alignment horizontal="left" wrapText="1" indent="1"/>
    </xf>
    <xf numFmtId="0" fontId="0" fillId="0" borderId="2" xfId="0" applyNumberFormat="1" applyBorder="1" applyProtection="1"/>
    <xf numFmtId="0" fontId="0" fillId="0" borderId="38" xfId="0" applyNumberFormat="1" applyFont="1" applyBorder="1" applyAlignment="1" applyProtection="1">
      <alignment wrapText="1"/>
    </xf>
    <xf numFmtId="0" fontId="0" fillId="0" borderId="38" xfId="0" applyBorder="1" applyAlignment="1" applyProtection="1">
      <alignment wrapText="1"/>
    </xf>
    <xf numFmtId="0" fontId="0" fillId="0" borderId="38" xfId="0" applyBorder="1" applyAlignment="1" applyProtection="1">
      <alignment horizontal="left" wrapText="1" indent="1"/>
    </xf>
    <xf numFmtId="0" fontId="0" fillId="0" borderId="38" xfId="0" applyBorder="1" applyAlignment="1" applyProtection="1">
      <alignment horizontal="left" wrapText="1" indent="2"/>
    </xf>
    <xf numFmtId="0" fontId="1" fillId="0" borderId="38" xfId="702" applyBorder="1" applyAlignment="1" applyProtection="1">
      <alignment horizontal="left" wrapText="1" indent="2"/>
    </xf>
    <xf numFmtId="0" fontId="0" fillId="0" borderId="38" xfId="0" quotePrefix="1" applyBorder="1" applyAlignment="1" applyProtection="1">
      <alignment horizontal="left" wrapText="1" indent="1"/>
    </xf>
    <xf numFmtId="0" fontId="0" fillId="0" borderId="18" xfId="0" applyNumberFormat="1" applyBorder="1" applyProtection="1"/>
    <xf numFmtId="0" fontId="0" fillId="0" borderId="0" xfId="0" applyNumberFormat="1" applyAlignment="1" applyProtection="1">
      <alignment wrapText="1"/>
    </xf>
    <xf numFmtId="0" fontId="0" fillId="0" borderId="38" xfId="0" applyNumberFormat="1" applyBorder="1" applyAlignment="1" applyProtection="1">
      <alignment wrapText="1"/>
    </xf>
    <xf numFmtId="0" fontId="0" fillId="0" borderId="33" xfId="0" applyNumberFormat="1" applyBorder="1" applyAlignment="1" applyProtection="1">
      <alignment wrapText="1"/>
    </xf>
    <xf numFmtId="165" fontId="0" fillId="0" borderId="2" xfId="0" applyNumberFormat="1" applyBorder="1" applyAlignment="1" applyProtection="1">
      <alignment vertical="top"/>
    </xf>
    <xf numFmtId="165" fontId="0" fillId="0" borderId="18" xfId="0" applyNumberFormat="1" applyBorder="1" applyAlignment="1" applyProtection="1">
      <alignment vertical="top"/>
    </xf>
    <xf numFmtId="38" fontId="0" fillId="0" borderId="5" xfId="0" applyNumberFormat="1" applyFont="1" applyBorder="1" applyAlignment="1" applyProtection="1">
      <alignment horizontal="center"/>
    </xf>
    <xf numFmtId="38" fontId="0" fillId="0" borderId="25" xfId="0" applyNumberFormat="1" applyFont="1" applyBorder="1" applyAlignment="1" applyProtection="1">
      <alignment horizontal="center"/>
    </xf>
    <xf numFmtId="0" fontId="7" fillId="6" borderId="45" xfId="0" applyFont="1" applyFill="1" applyBorder="1" applyProtection="1"/>
    <xf numFmtId="0" fontId="7" fillId="6" borderId="32" xfId="0" applyFont="1" applyFill="1" applyBorder="1" applyProtection="1"/>
    <xf numFmtId="38" fontId="7" fillId="5" borderId="0" xfId="0" applyNumberFormat="1" applyFont="1" applyFill="1" applyBorder="1" applyProtection="1"/>
    <xf numFmtId="38" fontId="7" fillId="5" borderId="19" xfId="0" applyNumberFormat="1" applyFont="1" applyFill="1" applyBorder="1" applyProtection="1"/>
    <xf numFmtId="168" fontId="0" fillId="0" borderId="24" xfId="0" applyNumberFormat="1" applyFont="1" applyBorder="1" applyAlignment="1" applyProtection="1">
      <alignment horizontal="right"/>
    </xf>
    <xf numFmtId="0" fontId="0" fillId="13" borderId="0" xfId="0" applyFill="1" applyProtection="1"/>
    <xf numFmtId="0" fontId="0" fillId="13" borderId="0" xfId="0" applyFill="1" applyBorder="1" applyAlignment="1" applyProtection="1">
      <alignment wrapText="1"/>
    </xf>
    <xf numFmtId="0" fontId="0" fillId="13" borderId="0" xfId="0" applyFont="1" applyFill="1" applyProtection="1"/>
    <xf numFmtId="0" fontId="0" fillId="0" borderId="0" xfId="0" applyFill="1" applyProtection="1"/>
    <xf numFmtId="0" fontId="0" fillId="0" borderId="0" xfId="0" applyNumberFormat="1" applyFill="1" applyProtection="1"/>
    <xf numFmtId="0" fontId="0" fillId="0" borderId="0" xfId="0" applyNumberFormat="1" applyFill="1" applyBorder="1" applyProtection="1"/>
    <xf numFmtId="0" fontId="0" fillId="0" borderId="0" xfId="0" applyFill="1"/>
    <xf numFmtId="38" fontId="7" fillId="5" borderId="20" xfId="0" applyNumberFormat="1" applyFont="1" applyFill="1" applyBorder="1" applyProtection="1"/>
    <xf numFmtId="38" fontId="7" fillId="5" borderId="3" xfId="0" applyNumberFormat="1" applyFont="1" applyFill="1" applyBorder="1" applyProtection="1"/>
    <xf numFmtId="0" fontId="0" fillId="4" borderId="69" xfId="0" applyFont="1" applyFill="1" applyBorder="1" applyAlignment="1" applyProtection="1">
      <alignment horizontal="center"/>
      <protection locked="0"/>
    </xf>
    <xf numFmtId="0" fontId="0" fillId="3" borderId="41" xfId="0" applyFont="1" applyFill="1" applyBorder="1" applyAlignment="1" applyProtection="1">
      <alignment horizontal="center"/>
      <protection locked="0"/>
    </xf>
    <xf numFmtId="164" fontId="6" fillId="0" borderId="0" xfId="447" applyNumberFormat="1" applyFill="1" applyBorder="1" applyProtection="1"/>
    <xf numFmtId="168" fontId="0" fillId="0" borderId="0" xfId="0" applyNumberFormat="1" applyBorder="1" applyProtection="1"/>
    <xf numFmtId="38" fontId="0" fillId="0" borderId="0" xfId="0" applyNumberFormat="1" applyFill="1"/>
    <xf numFmtId="168" fontId="0" fillId="0" borderId="0" xfId="0" applyNumberFormat="1" applyFill="1"/>
    <xf numFmtId="168" fontId="0" fillId="0" borderId="0" xfId="0" applyNumberFormat="1"/>
    <xf numFmtId="38" fontId="0" fillId="0" borderId="0" xfId="0" applyNumberFormat="1"/>
    <xf numFmtId="168" fontId="0" fillId="0" borderId="34" xfId="0" applyNumberFormat="1" applyFont="1" applyBorder="1" applyAlignment="1" applyProtection="1">
      <alignment horizontal="right"/>
    </xf>
    <xf numFmtId="168" fontId="0" fillId="0" borderId="71" xfId="0" applyNumberFormat="1" applyFont="1" applyBorder="1" applyProtection="1"/>
    <xf numFmtId="168" fontId="0" fillId="0" borderId="26" xfId="0" applyNumberFormat="1" applyFont="1" applyBorder="1" applyProtection="1"/>
    <xf numFmtId="38" fontId="0" fillId="0" borderId="72" xfId="0" applyNumberFormat="1" applyFont="1" applyBorder="1" applyProtection="1"/>
    <xf numFmtId="0" fontId="0" fillId="3" borderId="62" xfId="0" applyNumberFormat="1" applyFont="1" applyFill="1" applyBorder="1" applyAlignment="1" applyProtection="1">
      <alignment horizontal="center"/>
    </xf>
    <xf numFmtId="0" fontId="0" fillId="13" borderId="39" xfId="0" applyFill="1" applyBorder="1" applyProtection="1"/>
    <xf numFmtId="0" fontId="12" fillId="10" borderId="0" xfId="0" applyFont="1" applyFill="1" applyBorder="1" applyProtection="1">
      <protection hidden="1"/>
    </xf>
    <xf numFmtId="0" fontId="12" fillId="10" borderId="61" xfId="0" applyFont="1" applyFill="1" applyBorder="1" applyProtection="1">
      <protection hidden="1"/>
    </xf>
    <xf numFmtId="0" fontId="12" fillId="10" borderId="39" xfId="0" applyFont="1" applyFill="1" applyBorder="1" applyProtection="1">
      <protection hidden="1"/>
    </xf>
    <xf numFmtId="165" fontId="0" fillId="0" borderId="45" xfId="0" applyNumberFormat="1" applyBorder="1" applyAlignment="1" applyProtection="1">
      <alignment vertical="top"/>
    </xf>
    <xf numFmtId="0" fontId="0" fillId="0" borderId="45" xfId="0" applyNumberFormat="1" applyBorder="1" applyProtection="1"/>
    <xf numFmtId="0" fontId="0" fillId="0" borderId="38" xfId="0" applyNumberFormat="1" applyBorder="1" applyProtection="1"/>
    <xf numFmtId="0" fontId="0" fillId="0" borderId="73" xfId="0" applyBorder="1" applyProtection="1"/>
    <xf numFmtId="0" fontId="0" fillId="0" borderId="74" xfId="0" applyBorder="1" applyProtection="1"/>
    <xf numFmtId="0" fontId="7" fillId="0" borderId="38" xfId="0" applyFont="1" applyBorder="1" applyAlignment="1" applyProtection="1">
      <alignment horizontal="left" wrapText="1" indent="1"/>
    </xf>
    <xf numFmtId="0" fontId="7" fillId="0" borderId="38" xfId="0" applyFont="1" applyBorder="1" applyAlignment="1" applyProtection="1">
      <alignment wrapText="1"/>
    </xf>
    <xf numFmtId="0" fontId="0" fillId="0" borderId="38" xfId="0" quotePrefix="1" applyBorder="1" applyAlignment="1" applyProtection="1">
      <alignment horizontal="left" wrapText="1" indent="2"/>
    </xf>
    <xf numFmtId="0" fontId="0" fillId="0" borderId="32" xfId="0" applyNumberFormat="1" applyBorder="1" applyProtection="1"/>
    <xf numFmtId="0" fontId="7" fillId="0" borderId="33" xfId="0" quotePrefix="1" applyFont="1" applyBorder="1" applyAlignment="1" applyProtection="1">
      <alignment horizontal="left" wrapText="1"/>
    </xf>
    <xf numFmtId="0" fontId="7" fillId="0" borderId="30" xfId="0" applyNumberFormat="1" applyFont="1" applyBorder="1" applyAlignment="1" applyProtection="1">
      <alignment wrapText="1"/>
    </xf>
    <xf numFmtId="0" fontId="0" fillId="0" borderId="31" xfId="0" applyNumberFormat="1" applyBorder="1" applyProtection="1"/>
    <xf numFmtId="0" fontId="6" fillId="0" borderId="33" xfId="447" applyBorder="1" applyAlignment="1">
      <alignment horizontal="left" indent="1"/>
    </xf>
    <xf numFmtId="0" fontId="0" fillId="3" borderId="53" xfId="0" applyFont="1" applyFill="1" applyBorder="1" applyAlignment="1" applyProtection="1">
      <alignment horizontal="left" shrinkToFit="1"/>
      <protection locked="0"/>
    </xf>
    <xf numFmtId="0" fontId="0" fillId="3" borderId="41" xfId="0" applyFont="1" applyFill="1" applyBorder="1" applyAlignment="1" applyProtection="1">
      <alignment horizontal="left" shrinkToFit="1"/>
      <protection locked="0"/>
    </xf>
    <xf numFmtId="0" fontId="0" fillId="3" borderId="42" xfId="0" applyFont="1" applyFill="1" applyBorder="1" applyAlignment="1" applyProtection="1">
      <alignment horizontal="left" shrinkToFit="1"/>
      <protection locked="0"/>
    </xf>
    <xf numFmtId="0" fontId="0" fillId="4" borderId="54" xfId="0" applyFont="1" applyFill="1" applyBorder="1" applyAlignment="1" applyProtection="1">
      <alignment horizontal="left" shrinkToFit="1"/>
      <protection locked="0"/>
    </xf>
    <xf numFmtId="0" fontId="0" fillId="4" borderId="51" xfId="0" applyFont="1" applyFill="1" applyBorder="1" applyAlignment="1" applyProtection="1">
      <alignment horizontal="left" shrinkToFit="1"/>
      <protection locked="0"/>
    </xf>
    <xf numFmtId="0" fontId="0" fillId="4" borderId="52" xfId="0" applyFont="1" applyFill="1" applyBorder="1" applyAlignment="1" applyProtection="1">
      <alignment horizontal="left" shrinkToFit="1"/>
      <protection locked="0"/>
    </xf>
    <xf numFmtId="0" fontId="0" fillId="19" borderId="38" xfId="0" applyFont="1" applyFill="1" applyBorder="1" applyProtection="1">
      <protection locked="0"/>
    </xf>
    <xf numFmtId="0" fontId="0" fillId="20" borderId="33" xfId="0" applyFont="1" applyFill="1" applyBorder="1" applyProtection="1">
      <protection locked="0"/>
    </xf>
    <xf numFmtId="0" fontId="0" fillId="0" borderId="0" xfId="0" applyFont="1" applyBorder="1" applyProtection="1">
      <protection locked="0"/>
    </xf>
    <xf numFmtId="0" fontId="0" fillId="0" borderId="0" xfId="0" applyFont="1" applyBorder="1" applyProtection="1"/>
    <xf numFmtId="167" fontId="0" fillId="0" borderId="0" xfId="0" applyNumberFormat="1" applyFont="1" applyBorder="1" applyProtection="1"/>
    <xf numFmtId="38" fontId="0" fillId="0" borderId="76" xfId="0" applyNumberFormat="1" applyFont="1" applyBorder="1" applyProtection="1"/>
    <xf numFmtId="38" fontId="7" fillId="0" borderId="31" xfId="0" applyNumberFormat="1" applyFont="1" applyBorder="1" applyAlignment="1" applyProtection="1">
      <alignment horizontal="center"/>
      <protection hidden="1"/>
    </xf>
    <xf numFmtId="38" fontId="7" fillId="0" borderId="38" xfId="0" applyNumberFormat="1" applyFont="1" applyBorder="1" applyAlignment="1" applyProtection="1">
      <alignment horizontal="center"/>
      <protection hidden="1"/>
    </xf>
    <xf numFmtId="38" fontId="7" fillId="0" borderId="33" xfId="0" applyNumberFormat="1" applyFont="1" applyBorder="1" applyAlignment="1" applyProtection="1">
      <alignment horizontal="center"/>
      <protection hidden="1"/>
    </xf>
    <xf numFmtId="38" fontId="12" fillId="0" borderId="38" xfId="0" applyNumberFormat="1" applyFont="1" applyBorder="1" applyAlignment="1" applyProtection="1">
      <alignment horizontal="center"/>
      <protection hidden="1"/>
    </xf>
    <xf numFmtId="0" fontId="7" fillId="5" borderId="23" xfId="0" applyFont="1" applyFill="1" applyBorder="1" applyProtection="1"/>
    <xf numFmtId="0" fontId="7" fillId="5" borderId="79" xfId="0" applyFont="1" applyFill="1" applyBorder="1" applyProtection="1"/>
    <xf numFmtId="0" fontId="14" fillId="16" borderId="0" xfId="0" applyFont="1" applyFill="1" applyBorder="1" applyProtection="1"/>
    <xf numFmtId="0" fontId="9" fillId="17" borderId="39" xfId="0" applyFont="1" applyFill="1" applyBorder="1" applyAlignment="1" applyProtection="1">
      <alignment horizontal="center"/>
    </xf>
    <xf numFmtId="0" fontId="10" fillId="18" borderId="40" xfId="0" applyFont="1" applyFill="1" applyBorder="1" applyAlignment="1" applyProtection="1">
      <alignment horizontal="center"/>
    </xf>
    <xf numFmtId="0" fontId="0" fillId="14" borderId="0" xfId="0" applyFont="1" applyFill="1" applyBorder="1" applyAlignment="1" applyProtection="1">
      <alignment horizontal="left"/>
    </xf>
    <xf numFmtId="0" fontId="0" fillId="14" borderId="12" xfId="0" applyFont="1" applyFill="1" applyBorder="1" applyAlignment="1" applyProtection="1">
      <alignment horizontal="left"/>
    </xf>
    <xf numFmtId="0" fontId="7" fillId="5" borderId="70" xfId="0" applyFont="1" applyFill="1" applyBorder="1" applyProtection="1"/>
    <xf numFmtId="0" fontId="7" fillId="0" borderId="31" xfId="0" applyFont="1" applyBorder="1" applyAlignment="1" applyProtection="1">
      <alignment horizontal="center"/>
      <protection hidden="1"/>
    </xf>
    <xf numFmtId="0" fontId="7" fillId="0" borderId="38" xfId="0" applyFont="1" applyBorder="1" applyAlignment="1" applyProtection="1">
      <alignment horizontal="center"/>
      <protection hidden="1"/>
    </xf>
    <xf numFmtId="0" fontId="7" fillId="0" borderId="33" xfId="0" applyFont="1" applyBorder="1" applyAlignment="1" applyProtection="1">
      <alignment horizontal="center"/>
      <protection hidden="1"/>
    </xf>
    <xf numFmtId="167" fontId="0" fillId="0" borderId="3" xfId="0" applyNumberFormat="1" applyFont="1" applyBorder="1" applyAlignment="1" applyProtection="1"/>
    <xf numFmtId="167" fontId="0" fillId="0" borderId="24" xfId="0" applyNumberFormat="1" applyFont="1" applyBorder="1" applyAlignment="1" applyProtection="1"/>
    <xf numFmtId="167" fontId="0" fillId="0" borderId="20" xfId="0" applyNumberFormat="1" applyFont="1" applyBorder="1" applyAlignment="1" applyProtection="1"/>
    <xf numFmtId="0" fontId="3" fillId="5" borderId="2" xfId="0" applyFont="1" applyFill="1" applyBorder="1" applyAlignment="1" applyProtection="1">
      <alignment horizontal="left"/>
    </xf>
    <xf numFmtId="0" fontId="3" fillId="5" borderId="18" xfId="0" applyFont="1" applyFill="1" applyBorder="1" applyAlignment="1" applyProtection="1">
      <alignment horizontal="left"/>
    </xf>
    <xf numFmtId="0" fontId="0" fillId="13" borderId="0" xfId="0" applyFont="1" applyFill="1" applyBorder="1" applyProtection="1"/>
    <xf numFmtId="0" fontId="6" fillId="0" borderId="7" xfId="447" applyFont="1" applyBorder="1" applyProtection="1"/>
    <xf numFmtId="0" fontId="7" fillId="5" borderId="47" xfId="0" applyFont="1" applyFill="1" applyBorder="1" applyProtection="1"/>
    <xf numFmtId="0" fontId="7" fillId="5" borderId="59" xfId="0" applyFont="1" applyFill="1" applyBorder="1" applyAlignment="1" applyProtection="1"/>
    <xf numFmtId="0" fontId="7" fillId="5" borderId="59" xfId="0" applyFont="1" applyFill="1" applyBorder="1" applyProtection="1"/>
    <xf numFmtId="0" fontId="3" fillId="5" borderId="47" xfId="0" applyFont="1" applyFill="1" applyBorder="1" applyProtection="1"/>
    <xf numFmtId="0" fontId="3" fillId="5" borderId="59" xfId="0" applyFont="1" applyFill="1" applyBorder="1" applyProtection="1"/>
    <xf numFmtId="0" fontId="3" fillId="5" borderId="29" xfId="0" applyFont="1" applyFill="1" applyBorder="1" applyProtection="1"/>
    <xf numFmtId="0" fontId="0" fillId="14" borderId="0" xfId="0" applyFill="1" applyBorder="1" applyProtection="1"/>
    <xf numFmtId="0" fontId="7" fillId="5" borderId="82" xfId="0" applyFont="1" applyFill="1" applyBorder="1" applyAlignment="1" applyProtection="1">
      <alignment horizontal="left"/>
      <protection hidden="1"/>
    </xf>
    <xf numFmtId="0" fontId="7" fillId="5" borderId="39" xfId="0" applyFont="1" applyFill="1" applyBorder="1" applyAlignment="1" applyProtection="1">
      <alignment horizontal="left"/>
      <protection hidden="1"/>
    </xf>
    <xf numFmtId="0" fontId="7" fillId="5" borderId="83" xfId="0" applyFont="1" applyFill="1" applyBorder="1" applyAlignment="1" applyProtection="1">
      <alignment horizontal="left"/>
      <protection hidden="1"/>
    </xf>
    <xf numFmtId="0" fontId="0" fillId="0" borderId="0" xfId="0" applyFont="1" applyFill="1" applyBorder="1" applyProtection="1"/>
    <xf numFmtId="0" fontId="7" fillId="5" borderId="80" xfId="0" quotePrefix="1" applyNumberFormat="1" applyFont="1" applyFill="1" applyBorder="1" applyProtection="1"/>
    <xf numFmtId="0" fontId="7" fillId="5" borderId="81" xfId="0" quotePrefix="1" applyNumberFormat="1" applyFont="1" applyFill="1" applyBorder="1" applyProtection="1"/>
    <xf numFmtId="0" fontId="7" fillId="5" borderId="70" xfId="0" applyNumberFormat="1" applyFont="1" applyFill="1" applyBorder="1" applyProtection="1"/>
    <xf numFmtId="0" fontId="7" fillId="5" borderId="78" xfId="0" applyNumberFormat="1" applyFont="1" applyFill="1" applyBorder="1" applyProtection="1"/>
    <xf numFmtId="0" fontId="7" fillId="5" borderId="31" xfId="0" applyNumberFormat="1" applyFont="1" applyFill="1" applyBorder="1" applyProtection="1"/>
    <xf numFmtId="0" fontId="7" fillId="5" borderId="30" xfId="0" applyFont="1" applyFill="1" applyBorder="1" applyProtection="1"/>
    <xf numFmtId="0" fontId="7" fillId="5" borderId="45" xfId="0" applyFont="1" applyFill="1" applyBorder="1" applyProtection="1"/>
    <xf numFmtId="0" fontId="7" fillId="5" borderId="32" xfId="0" applyFont="1" applyFill="1" applyBorder="1" applyProtection="1"/>
    <xf numFmtId="0" fontId="0" fillId="0" borderId="70" xfId="0" applyNumberFormat="1" applyBorder="1"/>
    <xf numFmtId="0" fontId="0" fillId="0" borderId="18" xfId="0" applyBorder="1"/>
    <xf numFmtId="0" fontId="7" fillId="5" borderId="21" xfId="0" applyNumberFormat="1" applyFont="1" applyFill="1" applyBorder="1" applyProtection="1"/>
    <xf numFmtId="0" fontId="7" fillId="5" borderId="22" xfId="0" applyNumberFormat="1" applyFont="1" applyFill="1" applyBorder="1" applyProtection="1"/>
    <xf numFmtId="0" fontId="0" fillId="0" borderId="78" xfId="0" applyNumberFormat="1" applyBorder="1"/>
    <xf numFmtId="0" fontId="0" fillId="0" borderId="31" xfId="0" applyNumberFormat="1" applyBorder="1"/>
    <xf numFmtId="0" fontId="0" fillId="0" borderId="77" xfId="0" applyNumberFormat="1" applyBorder="1"/>
    <xf numFmtId="0" fontId="0" fillId="0" borderId="33" xfId="0" applyNumberFormat="1" applyBorder="1"/>
    <xf numFmtId="16" fontId="0" fillId="0" borderId="0" xfId="0" applyNumberFormat="1" applyProtection="1"/>
    <xf numFmtId="0" fontId="13" fillId="11" borderId="84" xfId="786" applyBorder="1" applyAlignment="1"/>
    <xf numFmtId="0" fontId="0" fillId="13" borderId="2" xfId="0" applyFont="1" applyFill="1" applyBorder="1" applyProtection="1"/>
    <xf numFmtId="0" fontId="13" fillId="11" borderId="46" xfId="786" applyBorder="1" applyProtection="1"/>
    <xf numFmtId="0" fontId="0" fillId="13" borderId="3" xfId="0" applyFont="1" applyFill="1" applyBorder="1" applyProtection="1"/>
    <xf numFmtId="0" fontId="0" fillId="0" borderId="2" xfId="0" applyFont="1" applyBorder="1" applyProtection="1"/>
    <xf numFmtId="0" fontId="0" fillId="0" borderId="3" xfId="0" applyFont="1" applyBorder="1" applyProtection="1"/>
    <xf numFmtId="0" fontId="0" fillId="0" borderId="18" xfId="0" applyFont="1" applyBorder="1" applyProtection="1"/>
    <xf numFmtId="0" fontId="0" fillId="13" borderId="70" xfId="0" applyFont="1" applyFill="1" applyBorder="1" applyProtection="1"/>
    <xf numFmtId="0" fontId="13" fillId="11" borderId="85" xfId="786" applyBorder="1" applyProtection="1"/>
    <xf numFmtId="0" fontId="0" fillId="0" borderId="3" xfId="0" applyFont="1" applyBorder="1" applyProtection="1">
      <protection locked="0"/>
    </xf>
    <xf numFmtId="167" fontId="0" fillId="0" borderId="19" xfId="0" applyNumberFormat="1" applyFont="1" applyBorder="1" applyAlignment="1" applyProtection="1">
      <alignment horizontal="left"/>
    </xf>
    <xf numFmtId="0" fontId="0" fillId="0" borderId="20" xfId="0" applyFont="1" applyBorder="1" applyAlignment="1" applyProtection="1">
      <alignment horizontal="left"/>
    </xf>
    <xf numFmtId="0" fontId="7" fillId="6" borderId="79" xfId="0" applyFont="1" applyFill="1" applyBorder="1" applyProtection="1"/>
    <xf numFmtId="38" fontId="7" fillId="5" borderId="22" xfId="0" applyNumberFormat="1" applyFont="1" applyFill="1" applyBorder="1" applyAlignment="1" applyProtection="1">
      <alignment horizontal="left"/>
    </xf>
    <xf numFmtId="38" fontId="7" fillId="5" borderId="23" xfId="0" applyNumberFormat="1" applyFont="1" applyFill="1" applyBorder="1" applyAlignment="1" applyProtection="1">
      <alignment horizontal="left"/>
    </xf>
    <xf numFmtId="38" fontId="7" fillId="5" borderId="43" xfId="0" applyNumberFormat="1" applyFont="1" applyFill="1" applyBorder="1" applyAlignment="1" applyProtection="1">
      <alignment horizontal="center"/>
    </xf>
    <xf numFmtId="38" fontId="7" fillId="5" borderId="33" xfId="0" applyNumberFormat="1" applyFont="1" applyFill="1" applyBorder="1" applyAlignment="1" applyProtection="1">
      <alignment horizontal="center"/>
    </xf>
    <xf numFmtId="0" fontId="7" fillId="6" borderId="87" xfId="0" applyFont="1" applyFill="1" applyBorder="1" applyProtection="1"/>
    <xf numFmtId="38" fontId="7" fillId="5" borderId="6" xfId="0" applyNumberFormat="1" applyFont="1" applyFill="1" applyBorder="1" applyProtection="1"/>
    <xf numFmtId="38" fontId="7" fillId="5" borderId="24" xfId="0" applyNumberFormat="1" applyFont="1" applyFill="1" applyBorder="1" applyProtection="1"/>
    <xf numFmtId="0" fontId="0" fillId="0" borderId="45" xfId="0" applyFont="1" applyBorder="1" applyProtection="1">
      <protection locked="0"/>
    </xf>
    <xf numFmtId="0" fontId="0" fillId="0" borderId="53" xfId="0" applyFont="1" applyBorder="1" applyProtection="1">
      <protection locked="0"/>
    </xf>
    <xf numFmtId="0" fontId="0" fillId="0" borderId="29" xfId="0" applyFont="1" applyBorder="1" applyProtection="1"/>
    <xf numFmtId="0" fontId="0" fillId="0" borderId="88" xfId="0" applyFont="1" applyBorder="1" applyProtection="1"/>
    <xf numFmtId="0" fontId="0" fillId="0" borderId="89" xfId="0" applyFont="1" applyBorder="1" applyProtection="1"/>
    <xf numFmtId="0" fontId="18" fillId="0" borderId="55" xfId="0" applyFont="1" applyBorder="1" applyAlignment="1" applyProtection="1">
      <alignment horizontal="left" indent="1"/>
    </xf>
    <xf numFmtId="0" fontId="18" fillId="0" borderId="14" xfId="0" applyFont="1" applyBorder="1" applyAlignment="1" applyProtection="1">
      <alignment horizontal="left" indent="1"/>
    </xf>
    <xf numFmtId="0" fontId="18" fillId="0" borderId="15" xfId="0" applyFont="1" applyBorder="1" applyAlignment="1" applyProtection="1">
      <alignment horizontal="left" indent="1"/>
    </xf>
    <xf numFmtId="0" fontId="4" fillId="0" borderId="7" xfId="0" applyFont="1" applyBorder="1" applyAlignment="1" applyProtection="1">
      <alignment horizontal="left" indent="1"/>
    </xf>
    <xf numFmtId="0" fontId="4" fillId="0" borderId="0" xfId="0" applyFont="1" applyBorder="1" applyAlignment="1" applyProtection="1">
      <alignment horizontal="left" indent="1"/>
    </xf>
    <xf numFmtId="0" fontId="4" fillId="0" borderId="12" xfId="0" applyFont="1" applyBorder="1" applyAlignment="1" applyProtection="1">
      <alignment horizontal="left" indent="1"/>
    </xf>
    <xf numFmtId="0" fontId="7" fillId="5" borderId="47" xfId="0" applyFont="1" applyFill="1" applyBorder="1" applyAlignment="1" applyProtection="1">
      <protection hidden="1"/>
    </xf>
    <xf numFmtId="0" fontId="0" fillId="0" borderId="47" xfId="0" applyBorder="1" applyAlignment="1" applyProtection="1"/>
    <xf numFmtId="0" fontId="0" fillId="0" borderId="59" xfId="0" applyBorder="1" applyAlignment="1" applyProtection="1"/>
    <xf numFmtId="0" fontId="3" fillId="6" borderId="48" xfId="0" applyFont="1" applyFill="1" applyBorder="1" applyAlignment="1" applyProtection="1"/>
    <xf numFmtId="0" fontId="0" fillId="6" borderId="22" xfId="0" applyFill="1" applyBorder="1" applyAlignment="1" applyProtection="1"/>
    <xf numFmtId="0" fontId="0" fillId="0" borderId="22" xfId="0" applyBorder="1" applyAlignment="1" applyProtection="1"/>
    <xf numFmtId="0" fontId="0" fillId="0" borderId="23" xfId="0" applyBorder="1" applyAlignment="1" applyProtection="1"/>
    <xf numFmtId="0" fontId="7" fillId="5" borderId="69" xfId="0" applyFont="1" applyFill="1" applyBorder="1" applyAlignment="1" applyProtection="1">
      <protection hidden="1"/>
    </xf>
    <xf numFmtId="0" fontId="0" fillId="0" borderId="69" xfId="0" applyBorder="1" applyAlignment="1" applyProtection="1"/>
    <xf numFmtId="0" fontId="0" fillId="0" borderId="37" xfId="0" applyBorder="1" applyAlignment="1" applyProtection="1"/>
    <xf numFmtId="0" fontId="7" fillId="5" borderId="51" xfId="0" applyFont="1" applyFill="1" applyBorder="1" applyAlignment="1" applyProtection="1">
      <protection hidden="1"/>
    </xf>
    <xf numFmtId="0" fontId="0" fillId="0" borderId="51" xfId="0" applyBorder="1" applyAlignment="1" applyProtection="1"/>
    <xf numFmtId="0" fontId="0" fillId="0" borderId="68" xfId="0" applyBorder="1" applyAlignment="1" applyProtection="1"/>
    <xf numFmtId="0" fontId="3" fillId="6" borderId="21" xfId="0" applyFont="1" applyFill="1" applyBorder="1" applyAlignment="1" applyProtection="1"/>
    <xf numFmtId="0" fontId="0" fillId="0" borderId="49" xfId="0" applyBorder="1" applyAlignment="1" applyProtection="1"/>
    <xf numFmtId="0" fontId="16" fillId="0" borderId="8" xfId="0" applyFont="1" applyBorder="1" applyAlignment="1" applyProtection="1">
      <alignment horizontal="left" vertical="top" wrapText="1" indent="1"/>
    </xf>
    <xf numFmtId="0" fontId="16" fillId="0" borderId="9" xfId="0" applyFont="1" applyBorder="1" applyAlignment="1" applyProtection="1">
      <alignment horizontal="left" vertical="top" wrapText="1" indent="1"/>
    </xf>
    <xf numFmtId="0" fontId="17" fillId="0" borderId="10" xfId="0" applyFont="1" applyBorder="1" applyAlignment="1" applyProtection="1">
      <alignment wrapText="1"/>
    </xf>
    <xf numFmtId="0" fontId="16" fillId="0" borderId="11" xfId="0" applyFont="1" applyBorder="1" applyAlignment="1" applyProtection="1">
      <alignment horizontal="left" vertical="top" wrapText="1" indent="1"/>
    </xf>
    <xf numFmtId="0" fontId="16" fillId="0" borderId="0" xfId="0" applyFont="1" applyBorder="1" applyAlignment="1" applyProtection="1">
      <alignment horizontal="left" vertical="top" wrapText="1" indent="1"/>
    </xf>
    <xf numFmtId="0" fontId="17" fillId="0" borderId="12" xfId="0" applyFont="1" applyBorder="1" applyAlignment="1" applyProtection="1">
      <alignment wrapText="1"/>
    </xf>
    <xf numFmtId="0" fontId="16" fillId="0" borderId="13" xfId="0" applyFont="1" applyBorder="1" applyAlignment="1" applyProtection="1">
      <alignment horizontal="left" vertical="top" wrapText="1" indent="1"/>
    </xf>
    <xf numFmtId="0" fontId="16" fillId="0" borderId="14" xfId="0" applyFont="1" applyBorder="1" applyAlignment="1" applyProtection="1">
      <alignment horizontal="left" vertical="top" wrapText="1" indent="1"/>
    </xf>
    <xf numFmtId="0" fontId="17" fillId="0" borderId="15" xfId="0" applyFont="1" applyBorder="1" applyAlignment="1" applyProtection="1">
      <alignment wrapText="1"/>
    </xf>
    <xf numFmtId="0" fontId="5" fillId="9" borderId="8" xfId="0" applyFont="1" applyFill="1" applyBorder="1" applyAlignment="1" applyProtection="1">
      <alignment horizontal="center" vertical="center"/>
    </xf>
    <xf numFmtId="0" fontId="5" fillId="9" borderId="9" xfId="0" applyFont="1" applyFill="1" applyBorder="1" applyAlignment="1" applyProtection="1">
      <alignment horizontal="center" vertical="center"/>
    </xf>
    <xf numFmtId="0" fontId="0" fillId="0" borderId="9" xfId="0" applyBorder="1" applyAlignment="1" applyProtection="1">
      <alignment horizontal="center" vertical="center"/>
    </xf>
    <xf numFmtId="0" fontId="0" fillId="0" borderId="9" xfId="0" applyBorder="1" applyAlignment="1" applyProtection="1"/>
    <xf numFmtId="0" fontId="0" fillId="0" borderId="10" xfId="0" applyBorder="1" applyAlignment="1" applyProtection="1"/>
    <xf numFmtId="0" fontId="5" fillId="9" borderId="13" xfId="0" applyFont="1" applyFill="1" applyBorder="1" applyAlignment="1" applyProtection="1">
      <alignment horizontal="center" vertical="center"/>
    </xf>
    <xf numFmtId="0" fontId="5" fillId="9" borderId="14" xfId="0" applyFont="1" applyFill="1" applyBorder="1" applyAlignment="1" applyProtection="1">
      <alignment horizontal="center" vertical="center"/>
    </xf>
    <xf numFmtId="0" fontId="0" fillId="0" borderId="14" xfId="0" applyBorder="1" applyAlignment="1" applyProtection="1">
      <alignment horizontal="center" vertical="center"/>
    </xf>
    <xf numFmtId="0" fontId="0" fillId="0" borderId="14" xfId="0" applyBorder="1" applyAlignment="1" applyProtection="1"/>
    <xf numFmtId="0" fontId="0" fillId="0" borderId="15" xfId="0" applyBorder="1" applyAlignment="1" applyProtection="1"/>
    <xf numFmtId="0" fontId="3" fillId="6" borderId="21" xfId="0" applyFont="1" applyFill="1" applyBorder="1" applyAlignment="1" applyProtection="1">
      <protection hidden="1"/>
    </xf>
    <xf numFmtId="0" fontId="3" fillId="6" borderId="22" xfId="0" applyFont="1" applyFill="1" applyBorder="1" applyAlignment="1" applyProtection="1">
      <protection hidden="1"/>
    </xf>
    <xf numFmtId="0" fontId="0" fillId="0" borderId="44" xfId="0" applyBorder="1" applyAlignment="1" applyProtection="1"/>
    <xf numFmtId="0" fontId="0" fillId="0" borderId="10" xfId="0" applyBorder="1" applyAlignment="1" applyProtection="1">
      <alignment horizontal="center" vertical="center"/>
    </xf>
    <xf numFmtId="0" fontId="5" fillId="9" borderId="11" xfId="0" applyFont="1" applyFill="1" applyBorder="1" applyAlignment="1" applyProtection="1">
      <alignment horizontal="center" vertical="center"/>
    </xf>
    <xf numFmtId="0" fontId="5" fillId="9" borderId="0" xfId="0" applyFont="1" applyFill="1" applyBorder="1" applyAlignment="1" applyProtection="1">
      <alignment horizontal="center" vertical="center"/>
    </xf>
    <xf numFmtId="0" fontId="0" fillId="0" borderId="12" xfId="0" applyBorder="1" applyAlignment="1" applyProtection="1">
      <alignment horizontal="center" vertical="center"/>
    </xf>
    <xf numFmtId="0" fontId="0" fillId="0" borderId="15" xfId="0" applyBorder="1" applyAlignment="1" applyProtection="1">
      <alignment horizontal="center" vertical="center"/>
    </xf>
    <xf numFmtId="0" fontId="3" fillId="6" borderId="21" xfId="0" applyFont="1" applyFill="1" applyBorder="1" applyProtection="1"/>
    <xf numFmtId="0" fontId="3" fillId="6" borderId="22" xfId="0" applyFont="1" applyFill="1" applyBorder="1" applyProtection="1"/>
    <xf numFmtId="0" fontId="3" fillId="6" borderId="23" xfId="0" applyFont="1" applyFill="1" applyBorder="1" applyProtection="1"/>
    <xf numFmtId="0" fontId="5" fillId="15" borderId="8" xfId="0" applyFont="1" applyFill="1" applyBorder="1" applyAlignment="1" applyProtection="1">
      <alignment horizontal="center" vertical="center"/>
    </xf>
    <xf numFmtId="0" fontId="5" fillId="15" borderId="9" xfId="0" applyFont="1" applyFill="1" applyBorder="1" applyAlignment="1" applyProtection="1">
      <alignment horizontal="center" vertical="center"/>
    </xf>
    <xf numFmtId="0" fontId="5" fillId="15" borderId="10" xfId="0" applyFont="1" applyFill="1" applyBorder="1" applyAlignment="1" applyProtection="1">
      <alignment horizontal="center" vertical="center"/>
    </xf>
    <xf numFmtId="0" fontId="5" fillId="15" borderId="11" xfId="0" applyFont="1" applyFill="1" applyBorder="1" applyAlignment="1" applyProtection="1">
      <alignment horizontal="center" vertical="center"/>
    </xf>
    <xf numFmtId="0" fontId="5" fillId="15" borderId="0" xfId="0" applyFont="1" applyFill="1" applyBorder="1" applyAlignment="1" applyProtection="1">
      <alignment horizontal="center" vertical="center"/>
    </xf>
    <xf numFmtId="0" fontId="5" fillId="15" borderId="14" xfId="0" applyFont="1" applyFill="1" applyBorder="1" applyAlignment="1" applyProtection="1">
      <alignment horizontal="center" vertical="center"/>
    </xf>
    <xf numFmtId="0" fontId="5" fillId="15" borderId="12" xfId="0" applyFont="1" applyFill="1" applyBorder="1" applyAlignment="1" applyProtection="1">
      <alignment horizontal="center" vertical="center"/>
    </xf>
    <xf numFmtId="0" fontId="0" fillId="6" borderId="23" xfId="0" applyFill="1" applyBorder="1" applyAlignment="1" applyProtection="1"/>
    <xf numFmtId="0" fontId="4" fillId="0" borderId="60" xfId="0" applyFont="1" applyBorder="1" applyAlignment="1" applyProtection="1">
      <alignment horizontal="left" indent="1"/>
    </xf>
    <xf numFmtId="0" fontId="4" fillId="0" borderId="9" xfId="0" applyFont="1" applyBorder="1" applyAlignment="1" applyProtection="1">
      <alignment horizontal="left" indent="1"/>
    </xf>
    <xf numFmtId="0" fontId="4" fillId="0" borderId="10" xfId="0" applyFont="1" applyBorder="1" applyAlignment="1" applyProtection="1">
      <alignment horizontal="left" indent="1"/>
    </xf>
    <xf numFmtId="0" fontId="18" fillId="0" borderId="7" xfId="0" applyFont="1" applyBorder="1" applyAlignment="1" applyProtection="1">
      <alignment horizontal="left" indent="1"/>
    </xf>
    <xf numFmtId="0" fontId="18" fillId="0" borderId="0" xfId="0" applyFont="1" applyBorder="1" applyAlignment="1" applyProtection="1">
      <alignment horizontal="left" indent="1"/>
    </xf>
    <xf numFmtId="0" fontId="18" fillId="0" borderId="12" xfId="0" applyFont="1" applyBorder="1" applyAlignment="1" applyProtection="1">
      <alignment horizontal="left" indent="1"/>
    </xf>
    <xf numFmtId="0" fontId="7" fillId="5" borderId="30" xfId="0" applyFont="1" applyFill="1" applyBorder="1" applyAlignment="1" applyProtection="1">
      <alignment horizontal="left"/>
      <protection hidden="1"/>
    </xf>
    <xf numFmtId="0" fontId="7" fillId="0" borderId="78" xfId="0" applyFont="1" applyBorder="1" applyAlignment="1" applyProtection="1">
      <alignment horizontal="left"/>
    </xf>
    <xf numFmtId="0" fontId="7" fillId="5" borderId="78" xfId="0" applyFont="1" applyFill="1" applyBorder="1" applyAlignment="1" applyProtection="1">
      <alignment horizontal="left"/>
      <protection hidden="1"/>
    </xf>
    <xf numFmtId="0" fontId="12" fillId="10" borderId="32" xfId="0" applyFont="1" applyFill="1" applyBorder="1" applyAlignment="1" applyProtection="1">
      <alignment horizontal="left"/>
      <protection hidden="1"/>
    </xf>
    <xf numFmtId="0" fontId="12" fillId="10" borderId="77" xfId="0" applyFont="1" applyFill="1" applyBorder="1" applyAlignment="1" applyProtection="1">
      <alignment horizontal="left"/>
      <protection hidden="1"/>
    </xf>
    <xf numFmtId="0" fontId="7" fillId="5" borderId="45" xfId="0" applyFont="1" applyFill="1" applyBorder="1" applyAlignment="1" applyProtection="1">
      <alignment horizontal="left"/>
      <protection hidden="1"/>
    </xf>
    <xf numFmtId="0" fontId="7" fillId="5" borderId="75" xfId="0" applyFont="1" applyFill="1" applyBorder="1" applyAlignment="1" applyProtection="1">
      <alignment horizontal="left"/>
      <protection hidden="1"/>
    </xf>
    <xf numFmtId="0" fontId="7" fillId="5" borderId="32" xfId="0" applyFont="1" applyFill="1" applyBorder="1" applyAlignment="1" applyProtection="1">
      <alignment horizontal="left"/>
      <protection hidden="1"/>
    </xf>
    <xf numFmtId="0" fontId="7" fillId="5" borderId="77" xfId="0" applyFont="1" applyFill="1" applyBorder="1" applyAlignment="1" applyProtection="1">
      <alignment horizontal="left"/>
      <protection hidden="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7" fillId="6" borderId="21" xfId="0" applyFont="1" applyFill="1" applyBorder="1" applyAlignment="1" applyProtection="1"/>
    <xf numFmtId="0" fontId="0" fillId="0" borderId="22" xfId="0" applyBorder="1" applyAlignment="1"/>
    <xf numFmtId="0" fontId="0" fillId="0" borderId="23" xfId="0" applyBorder="1" applyAlignment="1"/>
    <xf numFmtId="0" fontId="5" fillId="9" borderId="10" xfId="0" applyFont="1" applyFill="1" applyBorder="1" applyAlignment="1" applyProtection="1">
      <alignment horizontal="center" vertical="center"/>
    </xf>
    <xf numFmtId="0" fontId="5" fillId="9" borderId="15" xfId="0" applyFont="1" applyFill="1" applyBorder="1" applyAlignment="1" applyProtection="1">
      <alignment horizontal="center" vertical="center"/>
    </xf>
    <xf numFmtId="0" fontId="7" fillId="5" borderId="79" xfId="0" applyFont="1" applyFill="1" applyBorder="1" applyAlignment="1" applyProtection="1">
      <protection hidden="1"/>
    </xf>
    <xf numFmtId="0" fontId="0" fillId="0" borderId="80" xfId="0" applyBorder="1" applyAlignment="1"/>
    <xf numFmtId="0" fontId="7" fillId="5" borderId="80" xfId="0" applyFont="1" applyFill="1" applyBorder="1" applyAlignment="1" applyProtection="1">
      <protection hidden="1"/>
    </xf>
    <xf numFmtId="0" fontId="0" fillId="0" borderId="81" xfId="0" applyBorder="1" applyAlignment="1"/>
    <xf numFmtId="0" fontId="0" fillId="0" borderId="9" xfId="0" applyBorder="1" applyAlignment="1"/>
    <xf numFmtId="0" fontId="0" fillId="0" borderId="10" xfId="0" applyBorder="1" applyAlignment="1"/>
    <xf numFmtId="0" fontId="0" fillId="0" borderId="13" xfId="0" applyBorder="1" applyAlignment="1"/>
    <xf numFmtId="0" fontId="0" fillId="0" borderId="14" xfId="0" applyBorder="1" applyAlignment="1"/>
    <xf numFmtId="0" fontId="0" fillId="0" borderId="15" xfId="0" applyBorder="1" applyAlignment="1"/>
    <xf numFmtId="0" fontId="0" fillId="0" borderId="60" xfId="0" applyFont="1" applyBorder="1" applyAlignment="1" applyProtection="1">
      <alignment horizontal="left" indent="1"/>
    </xf>
    <xf numFmtId="0" fontId="0" fillId="0" borderId="9" xfId="0" applyFont="1" applyBorder="1" applyAlignment="1" applyProtection="1">
      <alignment horizontal="left" indent="1"/>
    </xf>
    <xf numFmtId="0" fontId="0" fillId="0" borderId="10" xfId="0" applyFont="1" applyBorder="1" applyAlignment="1" applyProtection="1">
      <alignment horizontal="left" indent="1"/>
    </xf>
    <xf numFmtId="0" fontId="0" fillId="0" borderId="7" xfId="0" applyFont="1" applyBorder="1" applyAlignment="1" applyProtection="1">
      <alignment horizontal="left" indent="1"/>
    </xf>
    <xf numFmtId="0" fontId="0" fillId="0" borderId="0" xfId="0" applyFont="1" applyBorder="1" applyAlignment="1" applyProtection="1">
      <alignment horizontal="left" indent="1"/>
    </xf>
    <xf numFmtId="0" fontId="0" fillId="0" borderId="12" xfId="0" applyFont="1" applyBorder="1" applyAlignment="1" applyProtection="1">
      <alignment horizontal="left" indent="1"/>
    </xf>
    <xf numFmtId="0" fontId="0" fillId="0" borderId="55" xfId="0" applyFont="1" applyBorder="1" applyAlignment="1" applyProtection="1">
      <alignment horizontal="left" indent="1"/>
    </xf>
    <xf numFmtId="0" fontId="0" fillId="0" borderId="14" xfId="0" applyFont="1" applyBorder="1" applyAlignment="1" applyProtection="1">
      <alignment horizontal="left" indent="1"/>
    </xf>
    <xf numFmtId="0" fontId="0" fillId="0" borderId="15" xfId="0" applyFont="1" applyBorder="1" applyAlignment="1" applyProtection="1">
      <alignment horizontal="left" indent="1"/>
    </xf>
    <xf numFmtId="0" fontId="7" fillId="5" borderId="79" xfId="0" applyFont="1" applyFill="1" applyBorder="1" applyAlignment="1" applyProtection="1">
      <alignment horizontal="left"/>
      <protection hidden="1"/>
    </xf>
    <xf numFmtId="0" fontId="7" fillId="5" borderId="80" xfId="0" applyFont="1" applyFill="1" applyBorder="1" applyAlignment="1" applyProtection="1">
      <alignment horizontal="left"/>
      <protection hidden="1"/>
    </xf>
    <xf numFmtId="0" fontId="13" fillId="11" borderId="84" xfId="786" applyBorder="1" applyAlignment="1">
      <alignment horizontal="center"/>
    </xf>
    <xf numFmtId="0" fontId="13" fillId="11" borderId="86" xfId="786" applyBorder="1" applyAlignment="1">
      <alignment horizontal="center"/>
    </xf>
    <xf numFmtId="0" fontId="17" fillId="0" borderId="8" xfId="0" applyFont="1" applyBorder="1" applyAlignment="1" applyProtection="1">
      <alignment horizontal="left" vertical="top" wrapText="1" inden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0"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5" fillId="9" borderId="8" xfId="0" applyFont="1" applyFill="1" applyBorder="1" applyAlignment="1" applyProtection="1">
      <alignment horizontal="center"/>
    </xf>
    <xf numFmtId="0" fontId="5" fillId="9" borderId="9" xfId="0" applyFont="1" applyFill="1" applyBorder="1" applyAlignment="1" applyProtection="1">
      <alignment horizontal="center"/>
    </xf>
    <xf numFmtId="0" fontId="5" fillId="9" borderId="10" xfId="0" applyFont="1" applyFill="1" applyBorder="1" applyAlignment="1" applyProtection="1">
      <alignment horizontal="center"/>
    </xf>
    <xf numFmtId="0" fontId="5" fillId="9" borderId="13" xfId="0" applyFont="1" applyFill="1" applyBorder="1" applyAlignment="1" applyProtection="1">
      <alignment horizontal="center"/>
    </xf>
    <xf numFmtId="0" fontId="5" fillId="9" borderId="14" xfId="0" applyFont="1" applyFill="1" applyBorder="1" applyAlignment="1" applyProtection="1">
      <alignment horizontal="center"/>
    </xf>
    <xf numFmtId="0" fontId="5" fillId="9" borderId="15" xfId="0" applyFont="1" applyFill="1" applyBorder="1" applyAlignment="1" applyProtection="1">
      <alignment horizontal="center"/>
    </xf>
    <xf numFmtId="0" fontId="7" fillId="0" borderId="0" xfId="0" applyFont="1" applyAlignment="1" applyProtection="1">
      <alignment vertical="top" wrapText="1"/>
    </xf>
    <xf numFmtId="0" fontId="7" fillId="0" borderId="0" xfId="0" applyFont="1" applyAlignment="1" applyProtection="1">
      <alignment vertical="top"/>
    </xf>
    <xf numFmtId="0" fontId="0" fillId="0" borderId="0" xfId="0" applyAlignment="1">
      <alignment vertical="top"/>
    </xf>
    <xf numFmtId="0" fontId="7" fillId="0" borderId="21" xfId="0" applyNumberFormat="1" applyFont="1" applyBorder="1" applyAlignment="1" applyProtection="1">
      <alignment wrapText="1"/>
    </xf>
    <xf numFmtId="0" fontId="7" fillId="0" borderId="23" xfId="0" applyNumberFormat="1" applyFont="1" applyBorder="1" applyAlignment="1" applyProtection="1">
      <alignment wrapText="1"/>
    </xf>
    <xf numFmtId="0" fontId="15" fillId="12" borderId="56" xfId="0" applyFont="1" applyFill="1" applyBorder="1" applyAlignment="1" applyProtection="1">
      <alignment horizontal="center"/>
    </xf>
    <xf numFmtId="0" fontId="15" fillId="12" borderId="57" xfId="0" applyFont="1" applyFill="1" applyBorder="1" applyAlignment="1" applyProtection="1">
      <alignment horizontal="center"/>
    </xf>
    <xf numFmtId="0" fontId="15" fillId="12" borderId="58" xfId="0" applyFont="1" applyFill="1" applyBorder="1" applyAlignment="1" applyProtection="1">
      <alignment horizontal="center"/>
    </xf>
    <xf numFmtId="0" fontId="5" fillId="9" borderId="56" xfId="0" applyFont="1" applyFill="1" applyBorder="1" applyAlignment="1" applyProtection="1">
      <alignment horizontal="center"/>
    </xf>
    <xf numFmtId="0" fontId="0" fillId="0" borderId="57" xfId="0" applyBorder="1" applyAlignment="1" applyProtection="1"/>
    <xf numFmtId="0" fontId="0" fillId="0" borderId="58" xfId="0" applyBorder="1" applyAlignment="1" applyProtection="1"/>
    <xf numFmtId="0" fontId="3" fillId="6" borderId="70" xfId="0" applyFont="1" applyFill="1" applyBorder="1" applyAlignment="1" applyProtection="1">
      <protection hidden="1"/>
    </xf>
    <xf numFmtId="0" fontId="0" fillId="0" borderId="16" xfId="0" applyBorder="1" applyAlignment="1"/>
    <xf numFmtId="0" fontId="0" fillId="0" borderId="17" xfId="0" applyBorder="1" applyAlignment="1"/>
  </cellXfs>
  <cellStyles count="15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8"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Followed Hyperlink" xfId="1326" builtinId="9" hidden="1"/>
    <cellStyle name="Followed Hyperlink" xfId="1327" builtinId="9" hidden="1"/>
    <cellStyle name="Followed Hyperlink" xfId="1328"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4" builtinId="9" hidden="1"/>
    <cellStyle name="Followed Hyperlink" xfId="1335" builtinId="9" hidden="1"/>
    <cellStyle name="Followed Hyperlink" xfId="1336" builtinId="9" hidden="1"/>
    <cellStyle name="Followed Hyperlink" xfId="1337" builtinId="9" hidden="1"/>
    <cellStyle name="Followed Hyperlink" xfId="1338" builtinId="9" hidden="1"/>
    <cellStyle name="Followed Hyperlink" xfId="1339" builtinId="9" hidden="1"/>
    <cellStyle name="Followed Hyperlink" xfId="1340" builtinId="9" hidden="1"/>
    <cellStyle name="Followed Hyperlink" xfId="1341" builtinId="9" hidden="1"/>
    <cellStyle name="Followed Hyperlink" xfId="1342" builtinId="9" hidden="1"/>
    <cellStyle name="Followed Hyperlink" xfId="1343" builtinId="9" hidden="1"/>
    <cellStyle name="Followed Hyperlink" xfId="1344" builtinId="9" hidden="1"/>
    <cellStyle name="Followed Hyperlink" xfId="1345" builtinId="9" hidden="1"/>
    <cellStyle name="Followed Hyperlink" xfId="1346" builtinId="9" hidden="1"/>
    <cellStyle name="Followed Hyperlink" xfId="1347" builtinId="9" hidden="1"/>
    <cellStyle name="Followed Hyperlink" xfId="1348" builtinId="9" hidden="1"/>
    <cellStyle name="Followed Hyperlink" xfId="1349" builtinId="9" hidden="1"/>
    <cellStyle name="Followed Hyperlink" xfId="1350" builtinId="9" hidden="1"/>
    <cellStyle name="Followed Hyperlink" xfId="1351" builtinId="9" hidden="1"/>
    <cellStyle name="Followed Hyperlink" xfId="1352" builtinId="9" hidden="1"/>
    <cellStyle name="Followed Hyperlink" xfId="1353" builtinId="9" hidden="1"/>
    <cellStyle name="Followed Hyperlink" xfId="1354" builtinId="9" hidden="1"/>
    <cellStyle name="Followed Hyperlink" xfId="1355" builtinId="9" hidden="1"/>
    <cellStyle name="Followed Hyperlink" xfId="1356" builtinId="9" hidden="1"/>
    <cellStyle name="Followed Hyperlink" xfId="1357" builtinId="9" hidden="1"/>
    <cellStyle name="Followed Hyperlink" xfId="1358" builtinId="9" hidden="1"/>
    <cellStyle name="Followed Hyperlink" xfId="1359" builtinId="9" hidden="1"/>
    <cellStyle name="Followed Hyperlink" xfId="1360" builtinId="9" hidden="1"/>
    <cellStyle name="Followed Hyperlink" xfId="1361" builtinId="9" hidden="1"/>
    <cellStyle name="Followed Hyperlink" xfId="1362" builtinId="9" hidden="1"/>
    <cellStyle name="Followed Hyperlink" xfId="1363" builtinId="9" hidden="1"/>
    <cellStyle name="Followed Hyperlink" xfId="1364" builtinId="9" hidden="1"/>
    <cellStyle name="Followed Hyperlink" xfId="1365" builtinId="9" hidden="1"/>
    <cellStyle name="Followed Hyperlink" xfId="1366"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2" builtinId="9" hidden="1"/>
    <cellStyle name="Followed Hyperlink" xfId="1373" builtinId="9" hidden="1"/>
    <cellStyle name="Followed Hyperlink" xfId="1374" builtinId="9" hidden="1"/>
    <cellStyle name="Followed Hyperlink" xfId="1375" builtinId="9" hidden="1"/>
    <cellStyle name="Followed Hyperlink" xfId="1376" builtinId="9" hidden="1"/>
    <cellStyle name="Followed Hyperlink" xfId="1377" builtinId="9" hidden="1"/>
    <cellStyle name="Followed Hyperlink" xfId="1378" builtinId="9" hidden="1"/>
    <cellStyle name="Followed Hyperlink" xfId="1379" builtinId="9" hidden="1"/>
    <cellStyle name="Followed Hyperlink" xfId="1380" builtinId="9" hidden="1"/>
    <cellStyle name="Followed Hyperlink" xfId="1381"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Followed Hyperlink" xfId="1397" builtinId="9" hidden="1"/>
    <cellStyle name="Followed Hyperlink" xfId="1398" builtinId="9" hidden="1"/>
    <cellStyle name="Followed Hyperlink" xfId="1399" builtinId="9" hidden="1"/>
    <cellStyle name="Followed Hyperlink" xfId="1400" builtinId="9" hidden="1"/>
    <cellStyle name="Followed Hyperlink" xfId="1401" builtinId="9" hidden="1"/>
    <cellStyle name="Followed Hyperlink" xfId="1402" builtinId="9" hidden="1"/>
    <cellStyle name="Followed Hyperlink" xfId="1403" builtinId="9" hidden="1"/>
    <cellStyle name="Followed Hyperlink" xfId="1404"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0" builtinId="9" hidden="1"/>
    <cellStyle name="Followed Hyperlink" xfId="1411" builtinId="9" hidden="1"/>
    <cellStyle name="Followed Hyperlink" xfId="1412" builtinId="9" hidden="1"/>
    <cellStyle name="Followed Hyperlink" xfId="1413" builtinId="9" hidden="1"/>
    <cellStyle name="Followed Hyperlink" xfId="1414" builtinId="9" hidden="1"/>
    <cellStyle name="Followed Hyperlink" xfId="1415" builtinId="9" hidden="1"/>
    <cellStyle name="Followed Hyperlink" xfId="1416" builtinId="9" hidden="1"/>
    <cellStyle name="Followed Hyperlink" xfId="1417" builtinId="9" hidden="1"/>
    <cellStyle name="Followed Hyperlink" xfId="1418" builtinId="9" hidden="1"/>
    <cellStyle name="Followed Hyperlink" xfId="1419" builtinId="9" hidden="1"/>
    <cellStyle name="Followed Hyperlink" xfId="1420" builtinId="9" hidden="1"/>
    <cellStyle name="Followed Hyperlink" xfId="1421" builtinId="9" hidden="1"/>
    <cellStyle name="Followed Hyperlink" xfId="1422" builtinId="9" hidden="1"/>
    <cellStyle name="Followed Hyperlink" xfId="1423" builtinId="9" hidden="1"/>
    <cellStyle name="Followed Hyperlink" xfId="1424" builtinId="9" hidden="1"/>
    <cellStyle name="Followed Hyperlink" xfId="1425" builtinId="9" hidden="1"/>
    <cellStyle name="Followed Hyperlink" xfId="1426" builtinId="9" hidden="1"/>
    <cellStyle name="Followed Hyperlink" xfId="1427" builtinId="9" hidden="1"/>
    <cellStyle name="Followed Hyperlink" xfId="1428" builtinId="9" hidden="1"/>
    <cellStyle name="Followed Hyperlink" xfId="1429" builtinId="9" hidden="1"/>
    <cellStyle name="Followed Hyperlink" xfId="1430" builtinId="9" hidden="1"/>
    <cellStyle name="Followed Hyperlink" xfId="1431" builtinId="9" hidden="1"/>
    <cellStyle name="Followed Hyperlink" xfId="1432" builtinId="9" hidden="1"/>
    <cellStyle name="Followed Hyperlink" xfId="1433" builtinId="9" hidden="1"/>
    <cellStyle name="Followed Hyperlink" xfId="1434" builtinId="9" hidden="1"/>
    <cellStyle name="Followed Hyperlink" xfId="1435" builtinId="9" hidden="1"/>
    <cellStyle name="Followed Hyperlink" xfId="1436" builtinId="9" hidden="1"/>
    <cellStyle name="Followed Hyperlink" xfId="1437" builtinId="9" hidden="1"/>
    <cellStyle name="Followed Hyperlink" xfId="1438" builtinId="9" hidden="1"/>
    <cellStyle name="Followed Hyperlink" xfId="1439" builtinId="9" hidden="1"/>
    <cellStyle name="Followed Hyperlink" xfId="1440" builtinId="9" hidden="1"/>
    <cellStyle name="Followed Hyperlink" xfId="1441" builtinId="9" hidden="1"/>
    <cellStyle name="Followed Hyperlink" xfId="1442"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48" builtinId="9" hidden="1"/>
    <cellStyle name="Followed Hyperlink" xfId="1449" builtinId="9" hidden="1"/>
    <cellStyle name="Followed Hyperlink" xfId="1450" builtinId="9" hidden="1"/>
    <cellStyle name="Followed Hyperlink" xfId="1451" builtinId="9" hidden="1"/>
    <cellStyle name="Followed Hyperlink" xfId="1452" builtinId="9" hidden="1"/>
    <cellStyle name="Followed Hyperlink" xfId="1453" builtinId="9" hidden="1"/>
    <cellStyle name="Followed Hyperlink" xfId="1454" builtinId="9" hidden="1"/>
    <cellStyle name="Followed Hyperlink" xfId="1455" builtinId="9" hidden="1"/>
    <cellStyle name="Followed Hyperlink" xfId="1456" builtinId="9" hidden="1"/>
    <cellStyle name="Followed Hyperlink" xfId="1457" builtinId="9" hidden="1"/>
    <cellStyle name="Followed Hyperlink" xfId="1458" builtinId="9" hidden="1"/>
    <cellStyle name="Followed Hyperlink" xfId="1459" builtinId="9" hidden="1"/>
    <cellStyle name="Followed Hyperlink" xfId="1460" builtinId="9" hidden="1"/>
    <cellStyle name="Followed Hyperlink" xfId="1461" builtinId="9" hidden="1"/>
    <cellStyle name="Followed Hyperlink" xfId="1462" builtinId="9" hidden="1"/>
    <cellStyle name="Followed Hyperlink" xfId="1463" builtinId="9" hidden="1"/>
    <cellStyle name="Followed Hyperlink" xfId="1464" builtinId="9" hidden="1"/>
    <cellStyle name="Followed Hyperlink" xfId="1465" builtinId="9" hidden="1"/>
    <cellStyle name="Followed Hyperlink" xfId="1466" builtinId="9" hidden="1"/>
    <cellStyle name="Followed Hyperlink" xfId="1467" builtinId="9" hidden="1"/>
    <cellStyle name="Followed Hyperlink" xfId="1468" builtinId="9" hidden="1"/>
    <cellStyle name="Followed Hyperlink" xfId="1469" builtinId="9" hidden="1"/>
    <cellStyle name="Followed Hyperlink" xfId="1470" builtinId="9" hidden="1"/>
    <cellStyle name="Followed Hyperlink" xfId="1471" builtinId="9" hidden="1"/>
    <cellStyle name="Followed Hyperlink" xfId="1472" builtinId="9" hidden="1"/>
    <cellStyle name="Followed Hyperlink" xfId="1473" builtinId="9" hidden="1"/>
    <cellStyle name="Followed Hyperlink" xfId="1474" builtinId="9" hidden="1"/>
    <cellStyle name="Followed Hyperlink" xfId="1475" builtinId="9" hidden="1"/>
    <cellStyle name="Followed Hyperlink" xfId="1476" builtinId="9" hidden="1"/>
    <cellStyle name="Followed Hyperlink" xfId="1477" builtinId="9" hidden="1"/>
    <cellStyle name="Followed Hyperlink" xfId="1478" builtinId="9" hidden="1"/>
    <cellStyle name="Followed Hyperlink" xfId="1479" builtinId="9" hidden="1"/>
    <cellStyle name="Followed Hyperlink" xfId="1480"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86" builtinId="9" hidden="1"/>
    <cellStyle name="Followed Hyperlink" xfId="1487" builtinId="9" hidden="1"/>
    <cellStyle name="Followed Hyperlink" xfId="1488" builtinId="9" hidden="1"/>
    <cellStyle name="Followed Hyperlink" xfId="1489" builtinId="9" hidden="1"/>
    <cellStyle name="Followed Hyperlink" xfId="1490" builtinId="9" hidden="1"/>
    <cellStyle name="Followed Hyperlink" xfId="1491" builtinId="9" hidden="1"/>
    <cellStyle name="Followed Hyperlink" xfId="1492" builtinId="9" hidden="1"/>
    <cellStyle name="Followed Hyperlink" xfId="1493" builtinId="9" hidden="1"/>
    <cellStyle name="Followed Hyperlink" xfId="1494" builtinId="9" hidden="1"/>
    <cellStyle name="Followed Hyperlink" xfId="1495" builtinId="9" hidden="1"/>
    <cellStyle name="Followed Hyperlink" xfId="1496" builtinId="9" hidden="1"/>
    <cellStyle name="Followed Hyperlink" xfId="1497" builtinId="9" hidden="1"/>
    <cellStyle name="Followed Hyperlink" xfId="1498" builtinId="9" hidden="1"/>
    <cellStyle name="Followed Hyperlink" xfId="1499" builtinId="9" hidden="1"/>
    <cellStyle name="Followed Hyperlink" xfId="1500" builtinId="9" hidden="1"/>
    <cellStyle name="Followed Hyperlink" xfId="1501" builtinId="9" hidden="1"/>
    <cellStyle name="Followed Hyperlink" xfId="1502" builtinId="9" hidden="1"/>
    <cellStyle name="Followed Hyperlink" xfId="1503" builtinId="9" hidden="1"/>
    <cellStyle name="Followed Hyperlink" xfId="1504" builtinId="9" hidden="1"/>
    <cellStyle name="Followed Hyperlink" xfId="1505" builtinId="9" hidden="1"/>
    <cellStyle name="Followed Hyperlink" xfId="1506" builtinId="9" hidden="1"/>
    <cellStyle name="Followed Hyperlink" xfId="1507" builtinId="9" hidden="1"/>
    <cellStyle name="Followed Hyperlink" xfId="1508" builtinId="9" hidden="1"/>
    <cellStyle name="Followed Hyperlink" xfId="1509" builtinId="9" hidden="1"/>
    <cellStyle name="Followed Hyperlink" xfId="15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cellStyle name="Input" xfId="786" builtinId="20"/>
    <cellStyle name="Normal" xfId="0" builtinId="0"/>
    <cellStyle name="Normal_Upgrade Costs" xfId="447"/>
  </cellStyles>
  <dxfs count="331">
    <dxf>
      <font>
        <b val="0"/>
        <i val="0"/>
        <strike val="0"/>
        <condense val="0"/>
        <extend val="0"/>
        <outline val="0"/>
        <shadow val="0"/>
        <u val="none"/>
        <vertAlign val="baseline"/>
        <sz val="12"/>
        <color theme="1"/>
        <name val="Calibri"/>
        <scheme val="minor"/>
      </font>
      <alignment horizontal="left" vertical="bottom" textRotation="0" wrapText="0" indent="0" justifyLastLine="0" shrinkToFit="0" readingOrder="0"/>
      <border diagonalUp="0" diagonalDown="0" outline="0">
        <left/>
        <right style="thick">
          <color auto="1"/>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border diagonalUp="0" diagonalDown="0" outline="0">
        <left style="thick">
          <color auto="1"/>
        </left>
        <right/>
        <top/>
        <bottom style="thick">
          <color auto="1"/>
        </bottom>
      </border>
      <protection locked="1" hidden="0"/>
    </dxf>
    <dxf>
      <numFmt numFmtId="168" formatCode="#\ ??/24"/>
    </dxf>
    <dxf>
      <numFmt numFmtId="6" formatCode="#,##0_);[Red]\(#,##0\)"/>
    </dxf>
    <dxf>
      <numFmt numFmtId="168" formatCode="#\ ??/24"/>
    </dxf>
    <dxf>
      <numFmt numFmtId="6" formatCode="#,##0_);[Red]\(#,##0\)"/>
      <fill>
        <patternFill patternType="none">
          <fgColor indexed="64"/>
          <bgColor indexed="65"/>
        </patternFill>
      </fill>
    </dxf>
    <dxf>
      <numFmt numFmtId="0" formatCode="General"/>
    </dxf>
    <dxf>
      <numFmt numFmtId="0" formatCode="General"/>
    </dxf>
    <dxf>
      <numFmt numFmtId="0" formatCode="General"/>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6" formatCode="#,##0_);[Red]\(#,##0\)"/>
      <alignment horizontal="right" vertical="bottom" textRotation="0" wrapText="0" justifyLastLine="0" shrinkToFit="0"/>
      <protection locked="1"/>
    </dxf>
    <dxf>
      <numFmt numFmtId="0" formatCode="General"/>
      <fill>
        <patternFill patternType="none">
          <fgColor indexed="64"/>
          <bgColor auto="1"/>
        </patternFill>
      </fill>
      <protection locked="1"/>
    </dxf>
    <dxf>
      <numFmt numFmtId="0" formatCode="General"/>
      <protection locked="1"/>
    </dxf>
    <dxf>
      <numFmt numFmtId="0" formatCode="General"/>
      <protection locked="1"/>
    </dxf>
    <dxf>
      <protection locked="1"/>
    </dxf>
    <dxf>
      <protection locked="1"/>
    </dxf>
    <dxf>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6" formatCode="#,##0_);[Red]\(#,##0\)"/>
      <protection locked="1"/>
    </dxf>
    <dxf>
      <numFmt numFmtId="0" formatCode="General"/>
      <fill>
        <patternFill patternType="none">
          <fgColor indexed="64"/>
          <bgColor auto="1"/>
        </patternFill>
      </fill>
      <protection locked="1"/>
    </dxf>
    <dxf>
      <numFmt numFmtId="0" formatCode="General"/>
      <protection locked="1"/>
    </dxf>
    <dxf>
      <numFmt numFmtId="0" formatCode="General"/>
      <protection locked="1"/>
    </dxf>
    <dxf>
      <protection locked="1"/>
    </dxf>
    <dxf>
      <protection locked="1"/>
    </dxf>
    <dxf>
      <protection locked="1"/>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numFmt numFmtId="168" formatCode="#\ ??/24"/>
      <protection locked="1" hidden="0"/>
    </dxf>
    <dxf>
      <numFmt numFmtId="6" formatCode="#,##0_);[Red]\(#,##0\)"/>
      <protection locked="1" hidden="0"/>
    </dxf>
    <dxf>
      <protection locked="1" hidden="0"/>
    </dxf>
    <dxf>
      <border outline="0">
        <top style="thick">
          <color auto="1"/>
        </top>
      </border>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numFmt numFmtId="6" formatCode="#,##0_);[Red]\(#,##0\)"/>
      <protection locked="1" hidden="0"/>
    </dxf>
    <dxf>
      <numFmt numFmtId="6" formatCode="#,##0_);[Red]\(#,##0\)"/>
      <protection locked="1" hidden="0"/>
    </dxf>
    <dxf>
      <numFmt numFmtId="6" formatCode="#,##0_);[Red]\(#,##0\)"/>
      <protection locked="1" hidden="0"/>
    </dxf>
    <dxf>
      <numFmt numFmtId="6" formatCode="#,##0_);[Red]\(#,##0\)"/>
      <protection locked="1" hidden="0"/>
    </dxf>
    <dxf>
      <numFmt numFmtId="6" formatCode="#,##0_);[Red]\(#,##0\)"/>
      <protection locked="1" hidden="0"/>
    </dxf>
    <dxf>
      <numFmt numFmtId="6" formatCode="#,##0_);[Red]\(#,##0\)"/>
      <protection locked="1" hidden="0"/>
    </dxf>
    <dxf>
      <protection locked="1" hidden="0"/>
    </dxf>
    <dxf>
      <numFmt numFmtId="167" formatCode="#\ ??/60"/>
      <protection locked="1" hidden="0"/>
    </dxf>
    <dxf>
      <protection locked="1" hidden="0"/>
    </dxf>
    <dxf>
      <protection locked="1" hidden="0"/>
    </dxf>
    <dxf>
      <protection locked="1" hidden="0"/>
    </dxf>
    <dxf>
      <protection locked="1" hidden="0"/>
    </dxf>
    <dxf>
      <numFmt numFmtId="6" formatCode="#,##0_);[Red]\(#,##0\)"/>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border diagonalUp="0" diagonalDown="0">
        <left style="medium">
          <color auto="1"/>
        </left>
        <right/>
        <top/>
        <bottom/>
        <vertical/>
        <horizontal/>
      </border>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auto="1"/>
        </patternFill>
      </fill>
      <border diagonalUp="0" diagonalDown="0">
        <left style="medium">
          <color auto="1"/>
        </left>
        <right/>
        <top/>
        <bottom/>
        <vertical/>
        <horizontal/>
      </border>
      <protection locked="1" hidden="0"/>
    </dxf>
    <dxf>
      <protection locked="1" hidden="0"/>
    </dxf>
    <dxf>
      <protection locked="1" hidden="0"/>
    </dxf>
    <dxf>
      <protection locked="1" hidden="0"/>
    </dxf>
    <dxf>
      <protection locked="1" hidden="0"/>
    </dxf>
    <dxf>
      <protection locked="1" hidden="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2"/>
        <color theme="1"/>
        <name val="Calibri"/>
        <scheme val="minor"/>
      </font>
      <alignment horizontal="left" vertical="bottom" textRotation="0" wrapText="0" indent="0" justifyLastLine="0" shrinkToFit="0" readingOrder="0"/>
      <border diagonalUp="0" diagonalDown="0" outline="0">
        <left/>
        <right style="thick">
          <color auto="1"/>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border diagonalUp="0" diagonalDown="0" outline="0">
        <left style="thick">
          <color auto="1"/>
        </left>
        <right/>
        <top/>
        <bottom style="thick">
          <color auto="1"/>
        </bottom>
      </border>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border diagonalUp="0" diagonalDown="0">
        <left/>
        <right style="thick">
          <color auto="1"/>
        </right>
        <top/>
        <bottom/>
        <vertical/>
        <horizontal/>
      </border>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border diagonalUp="0" diagonalDown="0">
        <left style="thick">
          <color auto="1"/>
        </left>
        <right style="thin">
          <color auto="1"/>
        </right>
        <top/>
        <bottom/>
        <vertical/>
        <horizontal/>
      </border>
      <protection locked="0" hidden="0"/>
    </dxf>
    <dxf>
      <protection locked="1" hidden="0"/>
    </dxf>
    <dxf>
      <border>
        <bottom style="thin">
          <color auto="1"/>
        </bottom>
      </border>
    </dxf>
    <dxf>
      <border diagonalUp="0" diagonalDown="0">
        <left style="thin">
          <color auto="1"/>
        </left>
        <right style="thin">
          <color auto="1"/>
        </right>
        <top/>
        <bottom/>
        <vertical style="thin">
          <color auto="1"/>
        </vertical>
        <horizontal/>
      </border>
    </dxf>
    <dxf>
      <font>
        <b val="0"/>
        <i val="0"/>
        <strike val="0"/>
        <condense val="0"/>
        <extend val="0"/>
        <outline val="0"/>
        <shadow val="0"/>
        <u val="none"/>
        <vertAlign val="baseline"/>
        <sz val="12"/>
        <color theme="1"/>
        <name val="Calibri"/>
        <scheme val="minor"/>
      </font>
      <numFmt numFmtId="6" formatCode="#,##0_);[Red]\(#,##0\)"/>
      <protection locked="1" hidden="0"/>
    </dxf>
    <dxf>
      <font>
        <strike val="0"/>
        <outline val="0"/>
        <shadow val="0"/>
        <u val="none"/>
        <vertAlign val="baseline"/>
        <sz val="12"/>
        <name val="Calibri"/>
        <scheme val="minor"/>
      </font>
      <numFmt numFmtId="6" formatCode="#,##0_);[Red]\(#,##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167" formatCode="#\ ??/6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6" formatCode="#,##0_);[Red]\(#,##0\)"/>
      <border diagonalUp="0" diagonalDown="0">
        <left style="thin">
          <color auto="1"/>
        </left>
        <right/>
        <top/>
        <bottom/>
        <vertical/>
        <horizontal/>
      </border>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6" formatCode="#,##0_);[Red]\(#,##0\)"/>
      <border diagonalUp="0" diagonalDown="0">
        <left/>
        <right style="thin">
          <color auto="1"/>
        </right>
        <top/>
        <bottom/>
        <vertical/>
        <horizontal/>
      </border>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167" formatCode="#\ ??/6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6" formatCode="#,##0_);[Red]\(#,##0\)"/>
      <border diagonalUp="0" diagonalDown="0">
        <left style="thin">
          <color auto="1"/>
        </left>
        <right/>
        <top/>
        <bottom/>
        <vertical/>
        <horizontal/>
      </border>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0" formatCode="General"/>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numFmt numFmtId="167" formatCode="#\ ??/60"/>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numFmt numFmtId="0" formatCode="General"/>
      <border diagonalUp="0" diagonalDown="0">
        <left style="thin">
          <color auto="1"/>
        </left>
        <right/>
        <top/>
        <bottom/>
        <vertical/>
        <horizontal/>
      </border>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protection locked="1" hidden="0"/>
    </dxf>
    <dxf>
      <protection locked="1" hidden="0"/>
    </dxf>
    <dxf>
      <border diagonalUp="0" diagonalDown="0">
        <left style="thin">
          <color auto="1"/>
        </left>
        <right style="thin">
          <color auto="1"/>
        </right>
        <top style="thin">
          <color auto="1"/>
        </top>
        <bottom style="thin">
          <color auto="1"/>
        </bottom>
      </border>
    </dxf>
    <dxf>
      <font>
        <strike val="0"/>
        <outline val="0"/>
        <shadow val="0"/>
        <u val="none"/>
        <vertAlign val="baseline"/>
        <sz val="12"/>
        <name val="Calibri"/>
        <scheme val="minor"/>
      </font>
      <protection locked="1" hidden="0"/>
    </dxf>
    <dxf>
      <font>
        <strike val="0"/>
        <outline val="0"/>
        <shadow val="0"/>
        <u val="none"/>
        <vertAlign val="baseline"/>
        <sz val="12"/>
        <name val="Calibri"/>
        <scheme val="minor"/>
      </font>
      <protection locked="1" hidden="0"/>
    </dxf>
    <dxf>
      <fill>
        <patternFill patternType="solid">
          <fgColor indexed="64"/>
          <bgColor theme="9" tint="0.39997558519241921"/>
        </patternFill>
      </fill>
      <border>
        <left style="thin">
          <color theme="9" tint="-0.499984740745262"/>
        </left>
        <right style="thin">
          <color theme="9" tint="-0.499984740745262"/>
        </right>
      </border>
    </dxf>
    <dxf>
      <font>
        <color rgb="FFFFFF00"/>
      </font>
      <fill>
        <patternFill patternType="solid">
          <fgColor indexed="64"/>
          <bgColor rgb="FF008000"/>
        </patternFill>
      </fill>
    </dxf>
    <dxf>
      <font>
        <color rgb="FFFFFF00"/>
      </font>
      <fill>
        <patternFill patternType="solid">
          <fgColor indexed="64"/>
          <bgColor rgb="FFFF0000"/>
        </patternFill>
      </fill>
    </dxf>
    <dxf>
      <font>
        <b/>
        <i val="0"/>
        <strike val="0"/>
        <color theme="9" tint="-0.499984740745262"/>
      </font>
      <fill>
        <patternFill patternType="solid">
          <fgColor indexed="64"/>
          <bgColor theme="8" tint="0.39997558519241921"/>
        </patternFill>
      </fill>
    </dxf>
    <dxf>
      <font>
        <color rgb="FFFFFF00"/>
      </font>
      <fill>
        <patternFill patternType="solid">
          <fgColor indexed="64"/>
          <bgColor rgb="FFFF0000"/>
        </patternFill>
      </fill>
    </dxf>
    <dxf>
      <font>
        <color theme="1" tint="0.34998626667073579"/>
      </font>
      <fill>
        <patternFill patternType="solid">
          <fgColor indexed="64"/>
          <bgColor theme="1" tint="0.34998626667073579"/>
        </patternFill>
      </fill>
    </dxf>
    <dxf>
      <font>
        <b val="0"/>
        <i val="0"/>
        <strike val="0"/>
        <outline val="0"/>
        <shadow val="0"/>
        <u val="none"/>
        <vertAlign val="baseline"/>
        <sz val="14"/>
        <color theme="1"/>
        <name val="Calibri"/>
        <scheme val="minor"/>
      </font>
      <alignment horizontal="center" vertical="bottom" textRotation="0" wrapText="0" indent="0" justifyLastLine="0" shrinkToFit="0"/>
      <border diagonalUp="0" diagonalDown="0">
        <left/>
        <right style="thick">
          <color rgb="FFFF0000"/>
        </right>
        <top/>
        <bottom/>
      </border>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0" hidden="0"/>
    </dxf>
    <dxf>
      <font>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1"/>
    </dxf>
    <dxf>
      <font>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1"/>
    </dxf>
    <dxf>
      <font>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1"/>
    </dxf>
    <dxf>
      <font>
        <b val="0"/>
        <i val="0"/>
        <strike val="0"/>
        <condense val="0"/>
        <extend val="0"/>
        <outline val="0"/>
        <shadow val="0"/>
        <u val="none"/>
        <vertAlign val="baseline"/>
        <sz val="14"/>
        <color theme="1"/>
        <name val="Calibri"/>
        <scheme val="minor"/>
      </font>
      <numFmt numFmtId="0" formatCode="General"/>
      <fill>
        <patternFill patternType="solid">
          <fgColor indexed="64"/>
          <bgColor rgb="FFFF0000"/>
        </patternFill>
      </fill>
      <protection locked="1"/>
    </dxf>
    <dxf>
      <font>
        <strike val="0"/>
        <outline val="0"/>
        <shadow val="0"/>
        <u val="none"/>
        <vertAlign val="baseline"/>
        <sz val="14"/>
        <color theme="1"/>
        <name val="Calibri"/>
        <scheme val="minor"/>
      </font>
      <numFmt numFmtId="0" formatCode="General"/>
      <protection locked="1"/>
    </dxf>
    <dxf>
      <font>
        <strike val="0"/>
        <outline val="0"/>
        <shadow val="0"/>
        <u val="none"/>
        <vertAlign val="baseline"/>
        <sz val="14"/>
        <color theme="1"/>
        <name val="Calibri"/>
        <scheme val="minor"/>
      </font>
      <numFmt numFmtId="0" formatCode="General"/>
      <protection locked="1"/>
    </dxf>
    <dxf>
      <font>
        <strike val="0"/>
        <outline val="0"/>
        <shadow val="0"/>
        <u val="none"/>
        <vertAlign val="baseline"/>
        <sz val="14"/>
        <color theme="1"/>
        <name val="Calibri"/>
        <scheme val="minor"/>
      </font>
      <protection locked="1"/>
    </dxf>
    <dxf>
      <font>
        <strike val="0"/>
        <outline val="0"/>
        <shadow val="0"/>
        <u val="none"/>
        <vertAlign val="baseline"/>
        <sz val="14"/>
        <color theme="1"/>
        <name val="Calibri"/>
        <scheme val="minor"/>
      </font>
      <protection locked="1"/>
    </dxf>
    <dxf>
      <font>
        <strike val="0"/>
        <outline val="0"/>
        <shadow val="0"/>
        <u val="none"/>
        <vertAlign val="baseline"/>
        <sz val="12"/>
        <color theme="1"/>
        <name val="Calibri"/>
        <scheme val="minor"/>
      </font>
      <protection locked="1"/>
    </dxf>
    <dxf>
      <font>
        <b/>
        <i val="0"/>
        <color theme="9" tint="-0.499984740745262"/>
      </font>
      <fill>
        <patternFill patternType="solid">
          <fgColor indexed="64"/>
          <bgColor theme="8" tint="0.39997558519241921"/>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b/>
        <i val="0"/>
        <strike val="0"/>
        <color theme="9" tint="-0.499984740745262"/>
      </font>
      <fill>
        <patternFill patternType="solid">
          <fgColor indexed="64"/>
          <bgColor theme="8" tint="0.39997558519241921"/>
        </patternFill>
      </fill>
    </dxf>
    <dxf>
      <font>
        <b/>
        <i val="0"/>
        <strike/>
        <u val="double"/>
        <color rgb="FFFF0000"/>
      </font>
      <fill>
        <patternFill patternType="solid">
          <fgColor indexed="64"/>
          <bgColor theme="1" tint="0.34998626667073579"/>
        </patternFill>
      </fill>
    </dxf>
    <dxf>
      <font>
        <b/>
        <i val="0"/>
        <color rgb="FFFFFF00"/>
      </font>
      <fill>
        <patternFill patternType="solid">
          <fgColor indexed="64"/>
          <bgColor rgb="FFFF0000"/>
        </patternFill>
      </fill>
    </dxf>
    <dxf>
      <font>
        <color theme="1" tint="0.34998626667073579"/>
      </font>
      <fill>
        <patternFill patternType="solid">
          <fgColor indexed="64"/>
          <bgColor theme="1" tint="0.34998626667073579"/>
        </patternFill>
      </fill>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1"/>
      </font>
    </dxf>
    <dxf>
      <font>
        <b/>
        <color theme="1"/>
      </font>
      <fill>
        <patternFill patternType="solid">
          <fgColor theme="7"/>
          <bgColor theme="7"/>
        </patternFill>
      </fill>
    </dxf>
    <dxf>
      <font>
        <b/>
        <color theme="1"/>
      </font>
      <border>
        <top style="double">
          <color theme="1"/>
        </top>
      </border>
    </dxf>
    <dxf>
      <font>
        <b/>
        <i val="0"/>
        <color auto="1"/>
      </font>
      <fill>
        <patternFill patternType="solid">
          <fgColor theme="6"/>
          <bgColor theme="6"/>
        </patternFill>
      </fill>
    </dxf>
    <dxf>
      <fill>
        <patternFill patternType="solid">
          <fgColor theme="6" tint="0.79998168889431442"/>
          <bgColor theme="6" tint="0.79998168889431442"/>
        </patternFill>
      </fill>
    </dxf>
    <dxf>
      <font>
        <b/>
        <i val="0"/>
        <color auto="1"/>
      </font>
      <fill>
        <patternFill patternType="solid">
          <fgColor theme="0" tint="-0.249977111117893"/>
          <bgColor theme="0" tint="-0.249977111117893"/>
        </patternFill>
      </fill>
      <border>
        <left/>
        <right/>
        <top/>
        <bottom/>
        <vertical/>
        <horizontal/>
      </border>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0"/>
      </font>
      <fill>
        <patternFill patternType="solid">
          <fgColor theme="9"/>
          <bgColor theme="9"/>
        </patternFill>
      </fill>
    </dxf>
    <dxf>
      <font>
        <b/>
        <i val="0"/>
        <color auto="1"/>
      </font>
      <fill>
        <patternFill patternType="solid">
          <fgColor theme="0" tint="-0.249977111117893"/>
          <bgColor theme="0" tint="-0.249977111117893"/>
        </patternFill>
      </fill>
      <border>
        <left/>
        <right/>
        <top/>
        <bottom/>
        <vertical/>
        <horizontal/>
      </border>
    </dxf>
    <dxf>
      <font>
        <b/>
        <color theme="0"/>
      </font>
      <fill>
        <patternFill patternType="solid">
          <fgColor theme="9"/>
          <bgColor theme="9"/>
        </patternFill>
      </fill>
      <border>
        <top style="thick">
          <color theme="0"/>
        </top>
      </border>
    </dxf>
    <dxf>
      <font>
        <color auto="1"/>
      </font>
      <fill>
        <patternFill patternType="solid">
          <fgColor theme="9"/>
          <bgColor theme="9"/>
        </patternFill>
      </fill>
      <border>
        <bottom style="thick">
          <color theme="0"/>
        </bottom>
      </border>
    </dxf>
    <dxf>
      <font>
        <color theme="1"/>
      </font>
      <fill>
        <patternFill patternType="solid">
          <fgColor theme="9" tint="0.79998168889431442"/>
          <bgColor theme="9" tint="0.79998168889431442"/>
        </patternFill>
      </fill>
      <border>
        <vertical style="thin">
          <color theme="0"/>
        </vertical>
        <horizontal style="thin">
          <color theme="0"/>
        </horizontal>
      </border>
    </dxf>
    <dxf>
      <font>
        <color auto="1"/>
      </font>
      <fill>
        <patternFill patternType="solid">
          <fgColor theme="0" tint="-0.249977111117893"/>
          <bgColor theme="0" tint="-0.249977111117893"/>
        </patternFill>
      </fill>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0"/>
      </font>
      <fill>
        <patternFill patternType="solid">
          <fgColor theme="9"/>
          <bgColor theme="9"/>
        </patternFill>
      </fill>
    </dxf>
    <dxf>
      <font>
        <color auto="1"/>
      </font>
      <fill>
        <patternFill patternType="solid">
          <fgColor theme="0" tint="-0.249977111117893"/>
          <bgColor theme="0" tint="-0.249977111117893"/>
        </patternFill>
      </fill>
    </dxf>
    <dxf>
      <font>
        <b/>
        <color theme="0"/>
      </font>
      <fill>
        <patternFill patternType="solid">
          <fgColor theme="9"/>
          <bgColor theme="9"/>
        </patternFill>
      </fill>
      <border>
        <top style="thick">
          <color theme="0"/>
        </top>
      </border>
    </dxf>
    <dxf>
      <font>
        <color auto="1"/>
      </font>
      <fill>
        <patternFill patternType="solid">
          <fgColor theme="9"/>
          <bgColor theme="9"/>
        </patternFill>
      </fill>
      <border>
        <bottom style="thick">
          <color theme="0"/>
        </bottom>
      </border>
    </dxf>
    <dxf>
      <font>
        <color theme="1"/>
      </font>
      <fill>
        <patternFill patternType="solid">
          <fgColor theme="9" tint="0.79998168889431442"/>
          <bgColor theme="9" tint="0.79998168889431442"/>
        </patternFill>
      </fill>
      <border>
        <vertical style="thin">
          <color theme="0"/>
        </vertical>
        <horizontal style="thin">
          <color theme="0"/>
        </horizontal>
      </border>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0"/>
      </font>
      <fill>
        <patternFill patternType="solid">
          <fgColor theme="9"/>
          <bgColor theme="9"/>
        </patternFill>
      </fill>
    </dxf>
    <dxf>
      <font>
        <b/>
        <color theme="0"/>
      </font>
      <fill>
        <patternFill patternType="solid">
          <fgColor theme="9"/>
          <bgColor theme="9"/>
        </patternFill>
      </fill>
    </dxf>
    <dxf>
      <font>
        <b/>
        <color theme="0"/>
      </font>
      <fill>
        <patternFill patternType="solid">
          <fgColor theme="9"/>
          <bgColor theme="9"/>
        </patternFill>
      </fill>
      <border>
        <top style="thick">
          <color theme="0"/>
        </top>
      </border>
    </dxf>
    <dxf>
      <font>
        <b/>
        <color theme="0"/>
      </font>
      <fill>
        <patternFill patternType="solid">
          <fgColor theme="9"/>
          <bgColor theme="9"/>
        </patternFill>
      </fill>
      <border>
        <bottom style="thick">
          <color theme="0"/>
        </bottom>
      </border>
    </dxf>
    <dxf>
      <font>
        <color theme="1"/>
      </font>
      <fill>
        <patternFill patternType="solid">
          <fgColor theme="9" tint="0.79998168889431442"/>
          <bgColor theme="9" tint="0.79998168889431442"/>
        </patternFill>
      </fill>
      <border>
        <vertical style="thin">
          <color theme="0"/>
        </vertical>
        <horizontal style="thin">
          <color theme="0"/>
        </horizontal>
      </border>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1"/>
      </font>
    </dxf>
    <dxf>
      <font>
        <b/>
        <color theme="1"/>
      </font>
      <fill>
        <patternFill patternType="solid">
          <fgColor theme="7"/>
          <bgColor theme="7"/>
        </patternFill>
      </fill>
    </dxf>
    <dxf>
      <font>
        <b/>
        <color theme="1"/>
      </font>
      <border>
        <top style="double">
          <color theme="1"/>
        </top>
      </border>
    </dxf>
    <dxf>
      <font>
        <color theme="0"/>
      </font>
      <fill>
        <patternFill patternType="solid">
          <fgColor theme="6"/>
          <bgColor theme="6"/>
        </patternFill>
      </fill>
    </dxf>
    <dxf>
      <fill>
        <patternFill patternType="solid">
          <fgColor theme="6" tint="0.79998168889431442"/>
          <bgColor theme="6" tint="0.79998168889431442"/>
        </patternFill>
      </fill>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0"/>
      </font>
      <fill>
        <patternFill patternType="solid">
          <fgColor theme="9"/>
          <bgColor theme="9"/>
        </patternFill>
      </fill>
    </dxf>
    <dxf>
      <font>
        <b/>
        <color theme="0"/>
      </font>
      <fill>
        <patternFill patternType="solid">
          <fgColor theme="9"/>
          <bgColor theme="9"/>
        </patternFill>
      </fill>
    </dxf>
    <dxf>
      <font>
        <b/>
        <color theme="0"/>
      </font>
      <fill>
        <patternFill patternType="solid">
          <fgColor theme="9"/>
          <bgColor theme="9"/>
        </patternFill>
      </fill>
      <border>
        <top style="thick">
          <color theme="0"/>
        </top>
      </border>
    </dxf>
    <dxf>
      <font>
        <b/>
        <color theme="0"/>
      </font>
      <fill>
        <patternFill patternType="solid">
          <fgColor theme="4"/>
          <bgColor theme="4"/>
        </patternFill>
      </fill>
      <border>
        <bottom style="thick">
          <color theme="0"/>
        </bottom>
      </border>
    </dxf>
    <dxf>
      <font>
        <color theme="1"/>
      </font>
      <fill>
        <patternFill patternType="solid">
          <fgColor theme="9" tint="0.79998168889431442"/>
          <bgColor theme="9" tint="0.79998168889431442"/>
        </patternFill>
      </fill>
      <border>
        <vertical style="thin">
          <color theme="0"/>
        </vertical>
        <horizontal style="thin">
          <color theme="0"/>
        </horizontal>
      </border>
    </dxf>
  </dxfs>
  <tableStyles count="6" defaultTableStyle="TableStyleMedium9" defaultPivotStyle="PivotStyleMedium4">
    <tableStyle name="Custom" pivot="0" count="7">
      <tableStyleElement type="wholeTable" dxfId="330"/>
      <tableStyleElement type="headerRow" dxfId="329"/>
      <tableStyleElement type="totalRow" dxfId="328"/>
      <tableStyleElement type="firstColumn" dxfId="327"/>
      <tableStyleElement type="lastColumn" dxfId="326"/>
      <tableStyleElement type="firstRowStripe" dxfId="325"/>
      <tableStyleElement type="firstColumnStripe" dxfId="324"/>
    </tableStyle>
    <tableStyle name="TableStyleDark10 2" pivot="0" count="7">
      <tableStyleElement type="wholeTable" dxfId="323"/>
      <tableStyleElement type="headerRow" dxfId="322"/>
      <tableStyleElement type="totalRow" dxfId="321"/>
      <tableStyleElement type="firstColumn" dxfId="320"/>
      <tableStyleElement type="lastColumn" dxfId="319"/>
      <tableStyleElement type="firstRowStripe" dxfId="318"/>
      <tableStyleElement type="firstColumnStripe" dxfId="317"/>
    </tableStyle>
    <tableStyle name="TableStyleMedium14 2" pivot="0" count="7">
      <tableStyleElement type="wholeTable" dxfId="316"/>
      <tableStyleElement type="headerRow" dxfId="315"/>
      <tableStyleElement type="totalRow" dxfId="314"/>
      <tableStyleElement type="firstColumn" dxfId="313"/>
      <tableStyleElement type="lastColumn" dxfId="312"/>
      <tableStyleElement type="firstRowStripe" dxfId="311"/>
      <tableStyleElement type="firstColumnStripe" dxfId="310"/>
    </tableStyle>
    <tableStyle name="TableStyleMedium14 2 2" pivot="0" count="8">
      <tableStyleElement type="wholeTable" dxfId="309"/>
      <tableStyleElement type="headerRow" dxfId="308"/>
      <tableStyleElement type="totalRow" dxfId="307"/>
      <tableStyleElement type="firstColumn" dxfId="306"/>
      <tableStyleElement type="lastColumn" dxfId="305"/>
      <tableStyleElement type="firstRowStripe" dxfId="304"/>
      <tableStyleElement type="firstColumnStripe" dxfId="303"/>
      <tableStyleElement type="firstHeaderCell" dxfId="302"/>
    </tableStyle>
    <tableStyle name="TableStyleMedium14 2 2 2" pivot="0" count="8">
      <tableStyleElement type="wholeTable" dxfId="301"/>
      <tableStyleElement type="headerRow" dxfId="300"/>
      <tableStyleElement type="totalRow" dxfId="299"/>
      <tableStyleElement type="firstColumn" dxfId="298"/>
      <tableStyleElement type="lastColumn" dxfId="297"/>
      <tableStyleElement type="firstRowStripe" dxfId="296"/>
      <tableStyleElement type="firstColumnStripe" dxfId="295"/>
      <tableStyleElement type="firstHeaderCell" dxfId="294"/>
    </tableStyle>
    <tableStyle name="UnitSets" pivot="0" count="7">
      <tableStyleElement type="wholeTable" dxfId="293"/>
      <tableStyleElement type="headerRow" dxfId="292"/>
      <tableStyleElement type="totalRow" dxfId="291"/>
      <tableStyleElement type="firstColumn" dxfId="290"/>
      <tableStyleElement type="lastColumn" dxfId="289"/>
      <tableStyleElement type="firstRowStripe" dxfId="288"/>
      <tableStyleElement type="firstColumnStripe" dxfId="287"/>
    </tableStyle>
  </table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7" name="ConstructionState" displayName="ConstructionState" ref="A23:S72" totalsRowShown="0" headerRowDxfId="279" dataDxfId="278">
  <tableColumns count="19">
    <tableColumn id="1" name="Building or Upgrade" dataDxfId="277"/>
    <tableColumn id="14" name="Kind" dataDxfId="276">
      <calculatedColumnFormula>VLOOKUP(ConstructionState[[#This Row],[Building or Upgrade]],Upgrades[],2,FALSE)</calculatedColumnFormula>
    </tableColumn>
    <tableColumn id="15" name="Resource" dataDxfId="275">
      <calculatedColumnFormula>VLOOKUP(ConstructionState[Building or Upgrade],Upgrades[],3,FALSE)</calculatedColumnFormula>
    </tableColumn>
    <tableColumn id="21" name="MatchStr" dataDxfId="274">
      <calculatedColumnFormula>IF(COUNTIF(Skips,ConstructionState[[#This Row],[Building or Upgrade]]),"IGNORE",ConstructionState[Kind]&amp;"-"&amp;ConstructionState[Resource])</calculatedColumnFormula>
    </tableColumn>
    <tableColumn id="2" name="Available" dataDxfId="273">
      <calculatedColumnFormula>IF(AND(ConstructionState[[#This Row],[Kind]]="Upgrade",LabLevel=0),0,VLOOKUP(ConstructionState[Building or Upgrade],QuantAvail[],1+IF(ConstructionState[[#This Row],[Kind]]="Upgrade",LabLevel,THLevel),FALSE))</calculatedColumnFormula>
    </tableColumn>
    <tableColumn id="3" name="Maximum Level" dataDxfId="272">
      <calculatedColumnFormula>IF(AND(ConstructionState[[#This Row],[Kind]]="Upgrade",LabLevel=0),0,VLOOKUP(ConstructionState[Building or Upgrade],MaxLevel[],1+IF(ConstructionState[[#This Row],[Kind]]="Upgrade",LabLevel,THLevel),FALSE))</calculatedColumnFormula>
    </tableColumn>
    <tableColumn id="4" name="Not Built/Upgraded" dataDxfId="271">
      <calculatedColumnFormula>ConstructionState[[#This Row],[Available]]-SUM(ConstructionState[[#This Row],[1]:[12]])</calculatedColumnFormula>
    </tableColumn>
    <tableColumn id="5" name="1" dataDxfId="270"/>
    <tableColumn id="6" name="2" dataDxfId="269"/>
    <tableColumn id="7" name="3" dataDxfId="268"/>
    <tableColumn id="8" name="4" dataDxfId="267"/>
    <tableColumn id="9" name="5" dataDxfId="266"/>
    <tableColumn id="10" name="6" dataDxfId="265"/>
    <tableColumn id="11" name="7" dataDxfId="264"/>
    <tableColumn id="12" name="8" dataDxfId="263"/>
    <tableColumn id="13" name="9" dataDxfId="262"/>
    <tableColumn id="16" name="10" dataDxfId="261"/>
    <tableColumn id="17" name="11" dataDxfId="260"/>
    <tableColumn id="18" name="12" dataDxfId="259"/>
  </tableColumns>
  <tableStyleInfo name="TableStyleDark10" showFirstColumn="1" showLastColumn="0" showRowStripes="1" showColumnStripes="0"/>
</table>
</file>

<file path=xl/tables/table2.xml><?xml version="1.0" encoding="utf-8"?>
<table xmlns="http://schemas.openxmlformats.org/spreadsheetml/2006/main" id="6" name="ArmyState" displayName="ArmyState" ref="A8:K28" headerRowDxfId="252" dataDxfId="251" totalsRowDxfId="249" tableBorderDxfId="250">
  <sortState ref="A9:L28">
    <sortCondition ref="B14:B34"/>
  </sortState>
  <tableColumns count="11">
    <tableColumn id="1" name="Name" totalsRowLabel="Total" dataDxfId="248" totalsRowDxfId="247"/>
    <tableColumn id="4" name="Count" dataDxfId="246" totalsRowDxfId="245">
      <calculatedColumnFormula>INDEX(AttackSets[],MATCH(ArmyState[[#This Row],[Name]],AttackSets[Unit Set],0),MATCH(AttackSet,AttackSets[#Headers],0))</calculatedColumnFormula>
    </tableColumn>
    <tableColumn id="12" name="Type" dataDxfId="244" totalsRowDxfId="243">
      <calculatedColumnFormula>INDEX(UnitCosts[Type],MATCH(ArmyState[[#This Row],[Name]],UnitCosts[Name],0))</calculatedColumnFormula>
    </tableColumn>
    <tableColumn id="2" name="Level" dataDxfId="242" totalsRowDxfId="241">
      <calculatedColumnFormula>IFERROR(MATCH(1,OFFSET(ConstructionState[],MATCH(ArmyState[[#This Row],[Name]],ConstructionState[Building or Upgrade],0)-1,L1Offset,1,12)),1)</calculatedColumnFormula>
    </tableColumn>
    <tableColumn id="3" name="Resource" dataDxfId="240" totalsRowDxfId="239">
      <calculatedColumnFormula>INDEX(UnitCosts[Resource],MATCH(ArmyState[[#This Row],[Name]],UnitCosts[Name],0))</calculatedColumnFormula>
    </tableColumn>
    <tableColumn id="9" name="Cost" dataDxfId="238" totalsRowDxfId="237">
      <calculatedColumnFormula>VLOOKUP(ArmyState[[#This Row],[Name]],UnitCosts[],MATCH(TEXT(ArmyState[[#This Row],[Level]],"#"),UnitCosts[#Headers],0),FALSE)</calculatedColumnFormula>
    </tableColumn>
    <tableColumn id="7" name="Time" dataDxfId="236" totalsRowDxfId="235">
      <calculatedColumnFormula>INDEX(UnitCosts[Train Time],MATCH(ArmyState[[#This Row],[Name]],UnitCosts[Name],0))</calculatedColumnFormula>
    </tableColumn>
    <tableColumn id="8" name="Space" dataDxfId="234" totalsRowDxfId="233">
      <calculatedColumnFormula>INDEX(UnitCosts[Space],MATCH(ArmyState[[#This Row],[Name]],UnitCosts[Name],0))</calculatedColumnFormula>
    </tableColumn>
    <tableColumn id="6" name="Total Cost" dataDxfId="232" totalsRowDxfId="231">
      <calculatedColumnFormula>ArmyState[[#This Row],[Count]]*ArmyState[[#This Row],[Cost]]</calculatedColumnFormula>
    </tableColumn>
    <tableColumn id="10" name="Total Time" dataDxfId="230" totalsRowDxfId="229">
      <calculatedColumnFormula>ArmyState[[#This Row],[Count]]*ArmyState[[#This Row],[Time]]</calculatedColumnFormula>
    </tableColumn>
    <tableColumn id="11" name="Total Space" dataDxfId="228" totalsRowDxfId="227">
      <calculatedColumnFormula>ArmyState[[#This Row],[Count]]*ArmyState[[#This Row],[Space]]</calculatedColumnFormula>
    </tableColumn>
  </tableColumns>
  <tableStyleInfo name="TableStyleDark8" showFirstColumn="0" showLastColumn="0" showRowStripes="1" showColumnStripes="0"/>
</table>
</file>

<file path=xl/tables/table3.xml><?xml version="1.0" encoding="utf-8"?>
<table xmlns="http://schemas.openxmlformats.org/spreadsheetml/2006/main" id="12" name="AttackSets" displayName="AttackSets" ref="M8:W28" headerRowDxfId="226" totalsRowDxfId="224" headerRowBorderDxfId="225">
  <tableColumns count="11">
    <tableColumn id="1" name="Unit Set" totalsRowLabel="Total" dataDxfId="223"/>
    <tableColumn id="2" name="Custom" dataDxfId="222"/>
    <tableColumn id="3" name="F-Cheap" dataDxfId="221"/>
    <tableColumn id="4" name="W-GHeal" dataDxfId="220"/>
    <tableColumn id="6" name="W-NoHeal" dataDxfId="219"/>
    <tableColumn id="7" name="F-GHeal" dataDxfId="218"/>
    <tableColumn id="8" name=" " dataDxfId="217"/>
    <tableColumn id="9" name="RageT1" dataDxfId="216"/>
    <tableColumn id="10" name="Cheapo" dataDxfId="215"/>
    <tableColumn id="11" name="  " dataDxfId="214"/>
    <tableColumn id="12" name="Test" dataDxfId="213"/>
  </tableColumns>
  <tableStyleInfo name="TableStyleMedium14 2 2 2" showFirstColumn="1" showLastColumn="0" showRowStripes="1" showColumnStripes="0"/>
</table>
</file>

<file path=xl/tables/table4.xml><?xml version="1.0" encoding="utf-8"?>
<table xmlns="http://schemas.openxmlformats.org/spreadsheetml/2006/main" id="15" name="BO_Barracks" displayName="BO_Barracks" ref="Y8:AE19" totalsRowCount="1" headerRowDxfId="212" dataDxfId="211">
  <tableColumns count="7">
    <tableColumn id="1" name="Unit" totalsRowLabel="Time" totalsRowDxfId="6"/>
    <tableColumn id="6" name="Already Built" totalsRowFunction="custom" totalsRowDxfId="5" dataCellStyle="Input">
      <totalsRowFormula>SUMPRODUCT(BO_Barracks[Already Built],$G9:$G18)</totalsRowFormula>
    </tableColumn>
    <tableColumn id="2" name="Barracks1" totalsRowFunction="custom" totalsRowDxfId="4">
      <calculatedColumnFormula>MAX(0,
MIN($B9-IF(NOT(ISNUMBER(Y9)),0,SUM(Y9:$AA9)),
  FLOOR(
    (IF(NOT(ISNUMBER(#REF!)),$K$32,($J$32-SUM(#REF!))/(NumBarracks-COLUMNS(#REF!)))
      -IF(NOT(ISNUMBER(AA8)),
        0,
        SUMPRODUCT(AA8:AA$9,$G8:$G$9)
      )
    )/$G9+10^-10,
    1)))</calculatedColumnFormula>
      <totalsRowFormula>SUMPRODUCT(BO_Barracks[Barracks1],$G9:$G18)</totalsRowFormula>
    </tableColumn>
    <tableColumn id="3" name="Barracks2" totalsRowFunction="custom" totalsRowDxfId="3">
      <totalsRowFormula>SUMPRODUCT(BO_Barracks[Barracks2],$G9:$G18)</totalsRowFormula>
    </tableColumn>
    <tableColumn id="4" name="Barracks3" totalsRowFunction="custom" totalsRowDxfId="2">
      <totalsRowFormula>SUMPRODUCT(BO_Barracks[Barracks3],$G9:$G18)</totalsRowFormula>
    </tableColumn>
    <tableColumn id="5" name="Barracks4" totalsRowFunction="custom" totalsRowDxfId="1">
      <totalsRowFormula>SUMPRODUCT(BO_Barracks[Barracks4],$G9:$G18)</totalsRowFormula>
    </tableColumn>
    <tableColumn id="7" name="Left" totalsRowFunction="custom" totalsRowDxfId="0">
      <calculatedColumnFormula>ArmyState[[#This Row],[Count]]-SUM(BO_Barracks[[#This Row],[Already Built]:[Barracks4]])</calculatedColumnFormula>
      <totalsRowFormula>COUNTIF(BO_Barracks[Left],"&lt;&gt;0")</totalsRowFormula>
    </tableColumn>
  </tableColumns>
  <tableStyleInfo name="TableStyleMedium9" showFirstColumn="0" showLastColumn="0" showRowStripes="1" showColumnStripes="0"/>
</table>
</file>

<file path=xl/tables/table5.xml><?xml version="1.0" encoding="utf-8"?>
<table xmlns="http://schemas.openxmlformats.org/spreadsheetml/2006/main" id="11" name="BO_DarkBar" displayName="BO_DarkBar" ref="Y24:AC30" totalsRowCount="1" headerRowDxfId="210" dataDxfId="209">
  <tableColumns count="5">
    <tableColumn id="1" name="Unit" totalsRowLabel="Total" totalsRowDxfId="208"/>
    <tableColumn id="4" name="Already Built" totalsRowFunction="custom" dataCellStyle="Input">
      <totalsRowFormula>SUMPRODUCT(BO_DarkBar[Already Built],$G24:$G28)</totalsRowFormula>
    </tableColumn>
    <tableColumn id="2" name="DB1" totalsRowFunction="custom" totalsRowDxfId="207">
      <calculatedColumnFormula>MAX(0,
MIN($B9-IF(NOT(ISNUMBER(Y9)),0,SUM(Y9:$AA9)),
  FLOOR(
    (IF(NOT(ISNUMBER(Y$19)),$K$32,($J$32-SUM(Y$19:$AA$19))/(NumBarracks-COLUMNS(Y$19:$AA$19)))
      -IF(NOT(ISNUMBER(AA8)),
        0,
        SUMPRODUCT(AA8:AA$9,$G8:$G$9)
      )
    )/$G9+10^-10,
    1)))</calculatedColumnFormula>
      <totalsRowFormula>SUMPRODUCT(BO_DarkBar[DB1],$G24:$G28)</totalsRowFormula>
    </tableColumn>
    <tableColumn id="3" name="DB2" totalsRowFunction="custom" totalsRowDxfId="206">
      <totalsRowFormula>SUMPRODUCT(BO_DarkBar[DB2],$G24:$G28)</totalsRowFormula>
    </tableColumn>
    <tableColumn id="5" name="Left" totalsRowFunction="custom" totalsRowDxfId="205">
      <calculatedColumnFormula>B24-SUM(BO_DarkBar[[#This Row],[Already Built]:[DB2]])</calculatedColumnFormula>
      <totalsRowFormula>COUNTIF(BO_DarkBar[Left],"&lt;&gt;0")</totalsRowFormula>
    </tableColumn>
  </tableColumns>
  <tableStyleInfo name="TableStyleMedium9" showFirstColumn="0" showLastColumn="0" showRowStripes="1" showColumnStripes="0"/>
</table>
</file>

<file path=xl/tables/table6.xml><?xml version="1.0" encoding="utf-8"?>
<table xmlns="http://schemas.openxmlformats.org/spreadsheetml/2006/main" id="4" name="Upgrades" displayName="Upgrades" ref="A2:AA51" totalsRowShown="0" headerRowDxfId="149" dataDxfId="148">
  <tableColumns count="27">
    <tableColumn id="1" name="Building" dataDxfId="147"/>
    <tableColumn id="3" name="Kind" dataDxfId="146"/>
    <tableColumn id="2" name="Resource" dataDxfId="145"/>
    <tableColumn id="5" name="C1" dataDxfId="144"/>
    <tableColumn id="6" name="C2" dataDxfId="143"/>
    <tableColumn id="7" name="C3" dataDxfId="142"/>
    <tableColumn id="8" name="C4" dataDxfId="141"/>
    <tableColumn id="9" name="C5" dataDxfId="140"/>
    <tableColumn id="10" name="C6" dataDxfId="139"/>
    <tableColumn id="11" name="C7" dataDxfId="138"/>
    <tableColumn id="12" name="C8" dataDxfId="137"/>
    <tableColumn id="13" name="C9" dataDxfId="136"/>
    <tableColumn id="14" name="C10" dataDxfId="135"/>
    <tableColumn id="15" name="C11" dataDxfId="134"/>
    <tableColumn id="16" name="C12" dataDxfId="133"/>
    <tableColumn id="17" name="T1" dataDxfId="132" dataCellStyle="Normal_Upgrade Costs"/>
    <tableColumn id="18" name="T2" dataDxfId="131" dataCellStyle="Normal_Upgrade Costs"/>
    <tableColumn id="19" name="T3" dataDxfId="130" dataCellStyle="Normal_Upgrade Costs"/>
    <tableColumn id="20" name="T4" dataDxfId="129" dataCellStyle="Normal_Upgrade Costs"/>
    <tableColumn id="21" name="T5" dataDxfId="128" dataCellStyle="Normal_Upgrade Costs"/>
    <tableColumn id="22" name="T6" dataDxfId="127" dataCellStyle="Normal_Upgrade Costs"/>
    <tableColumn id="23" name="T7" dataDxfId="126" dataCellStyle="Normal_Upgrade Costs"/>
    <tableColumn id="24" name="T8" dataDxfId="125" dataCellStyle="Normal_Upgrade Costs"/>
    <tableColumn id="25" name="T9" dataDxfId="124" dataCellStyle="Normal_Upgrade Costs"/>
    <tableColumn id="26" name="T10" dataDxfId="123" dataCellStyle="Normal_Upgrade Costs"/>
    <tableColumn id="27" name="T11" dataDxfId="122" dataCellStyle="Normal_Upgrade Costs"/>
    <tableColumn id="28" name="T12" dataDxfId="121" dataCellStyle="Normal_Upgrade Costs"/>
  </tableColumns>
  <tableStyleInfo name="TableStyleMedium9" showFirstColumn="0" showLastColumn="0" showRowStripes="1" showColumnStripes="0"/>
</table>
</file>

<file path=xl/tables/table7.xml><?xml version="1.0" encoding="utf-8"?>
<table xmlns="http://schemas.openxmlformats.org/spreadsheetml/2006/main" id="5" name="UnitCosts" displayName="UnitCosts" ref="A114:K134" totalsRowShown="0" headerRowDxfId="120" dataDxfId="119">
  <tableColumns count="11">
    <tableColumn id="1" name="Name" dataDxfId="118"/>
    <tableColumn id="2" name="Type" dataDxfId="117"/>
    <tableColumn id="3" name="Resource" dataDxfId="116"/>
    <tableColumn id="16" name="Train Time" dataDxfId="115"/>
    <tableColumn id="15" name="Space" dataDxfId="114"/>
    <tableColumn id="4" name="1" dataDxfId="113"/>
    <tableColumn id="5" name="2" dataDxfId="112"/>
    <tableColumn id="6" name="3" dataDxfId="111"/>
    <tableColumn id="7" name="4" dataDxfId="110"/>
    <tableColumn id="8" name="5" dataDxfId="109"/>
    <tableColumn id="9" name="6" dataDxfId="108"/>
  </tableColumns>
  <tableStyleInfo name="TableStyleMedium9" showFirstColumn="0" showLastColumn="0" showRowStripes="1" showColumnStripes="0"/>
</table>
</file>

<file path=xl/tables/table8.xml><?xml version="1.0" encoding="utf-8"?>
<table xmlns="http://schemas.openxmlformats.org/spreadsheetml/2006/main" id="2" name="QuantAvail" displayName="QuantAvail" ref="A138:K189" totalsRowShown="0" headerRowDxfId="107" dataDxfId="106">
  <autoFilter ref="A138:K189"/>
  <tableColumns count="11">
    <tableColumn id="1" name="Quantity Available" dataDxfId="105"/>
    <tableColumn id="2" name="L1" dataDxfId="104"/>
    <tableColumn id="3" name="L2" dataDxfId="103"/>
    <tableColumn id="4" name="L3" dataDxfId="102"/>
    <tableColumn id="5" name="L4" dataDxfId="101"/>
    <tableColumn id="6" name="L5" dataDxfId="100"/>
    <tableColumn id="7" name="L6" dataDxfId="99"/>
    <tableColumn id="8" name="L7" dataDxfId="98"/>
    <tableColumn id="9" name="L8" dataDxfId="97"/>
    <tableColumn id="10" name="L9" dataDxfId="96"/>
    <tableColumn id="11" name="L10" dataDxfId="95"/>
  </tableColumns>
  <tableStyleInfo name="TableStyleMedium9" showFirstColumn="0" showLastColumn="0" showRowStripes="1" showColumnStripes="0"/>
</table>
</file>

<file path=xl/tables/table9.xml><?xml version="1.0" encoding="utf-8"?>
<table xmlns="http://schemas.openxmlformats.org/spreadsheetml/2006/main" id="3" name="MaxLevel" displayName="MaxLevel" ref="A192:K243" totalsRowShown="0" headerRowDxfId="94" dataDxfId="93">
  <autoFilter ref="A192:K243"/>
  <tableColumns count="11">
    <tableColumn id="1" name="Max Level" dataDxfId="92"/>
    <tableColumn id="2" name="L1" dataDxfId="91"/>
    <tableColumn id="3" name="L2" dataDxfId="90"/>
    <tableColumn id="4" name="L3" dataDxfId="89"/>
    <tableColumn id="5" name="L4" dataDxfId="88"/>
    <tableColumn id="6" name="L5" dataDxfId="87"/>
    <tableColumn id="7" name="L6" dataDxfId="86"/>
    <tableColumn id="8" name="L7" dataDxfId="85"/>
    <tableColumn id="9" name="L8" dataDxfId="84"/>
    <tableColumn id="10" name="L9" dataDxfId="83"/>
    <tableColumn id="11" name="L10" dataDxfId="82"/>
  </tableColumns>
  <tableStyleInfo name="TableStyleMedium9" showFirstColumn="0" showLastColumn="0" showRowStripes="1" showColumnStripes="0"/>
</table>
</file>

<file path=xl/tables/table10.xml><?xml version="1.0" encoding="utf-8"?>
<table xmlns="http://schemas.openxmlformats.org/spreadsheetml/2006/main" id="1" name="HeroUpgrades" displayName="HeroUpgrades" ref="A56:E96" totalsRowShown="0" headerRowDxfId="81" dataDxfId="80" tableBorderDxfId="79">
  <autoFilter ref="A56:E96"/>
  <tableColumns count="5">
    <tableColumn id="1" name="Level" dataDxfId="78"/>
    <tableColumn id="2" name="BK-Cost" dataDxfId="77"/>
    <tableColumn id="3" name="BK-Time" dataDxfId="76"/>
    <tableColumn id="4" name="AQ-Cost" dataDxfId="75"/>
    <tableColumn id="5" name="AQ-Time" dataDxfId="74"/>
  </tableColumns>
  <tableStyleInfo name="TableStyleMedium9" showFirstColumn="0" showLastColumn="0" showRowStripes="1" showColumnStripes="0"/>
</table>
</file>

<file path=xl/tables/table11.xml><?xml version="1.0" encoding="utf-8"?>
<table xmlns="http://schemas.openxmlformats.org/spreadsheetml/2006/main" id="10" name="Cap_AC" displayName="Cap_AC" ref="A101:B109" totalsRowShown="0" headerRowDxfId="73" dataDxfId="72">
  <tableColumns count="2">
    <tableColumn id="1" name="Level" dataDxfId="71"/>
    <tableColumn id="2" name="Capacity" dataDxfId="70"/>
  </tableColumns>
  <tableStyleInfo name="TableStyleMedium9" showFirstColumn="0" showLastColumn="0" showRowStripes="1" showColumnStripes="0"/>
</table>
</file>

<file path=xl/tables/table12.xml><?xml version="1.0" encoding="utf-8"?>
<table xmlns="http://schemas.openxmlformats.org/spreadsheetml/2006/main" id="17" name="Cap_Bar" displayName="Cap_Bar" ref="D101:E111" totalsRowShown="0" headerRowDxfId="69" dataDxfId="68">
  <tableColumns count="2">
    <tableColumn id="1" name="Level" dataDxfId="67"/>
    <tableColumn id="2" name="Capacity" dataDxfId="66"/>
  </tableColumns>
  <tableStyleInfo name="TableStyleMedium9" showFirstColumn="0" showLastColumn="0" showRowStripes="1" showColumnStripes="0"/>
</table>
</file>

<file path=xl/tables/table13.xml><?xml version="1.0" encoding="utf-8"?>
<table xmlns="http://schemas.openxmlformats.org/spreadsheetml/2006/main" id="18" name="Cap_DB" displayName="Cap_DB" ref="G101:H106" totalsRowShown="0" headerRowDxfId="65" dataDxfId="64">
  <tableColumns count="2">
    <tableColumn id="1" name="Level" dataDxfId="63"/>
    <tableColumn id="2" name="Capacity" dataDxfId="62"/>
  </tableColumns>
  <tableStyleInfo name="TableStyleMedium9" showFirstColumn="0" showLastColumn="0" showRowStripes="1" showColumnStripes="0"/>
</table>
</file>

<file path=xl/tables/table14.xml><?xml version="1.0" encoding="utf-8"?>
<table xmlns="http://schemas.openxmlformats.org/spreadsheetml/2006/main" id="8" name="Remaining_Cost" displayName="Remaining_Cost" ref="A19:R68" totalsRowShown="0" headerRowDxfId="53" dataDxfId="52">
  <autoFilter ref="A19:R68"/>
  <tableColumns count="18">
    <tableColumn id="1" name="Cost" dataDxfId="51"/>
    <tableColumn id="15" name="Kind" dataDxfId="50">
      <calculatedColumnFormula>VLOOKUP(Remaining_Cost[[#This Row],[Cost]],Upgrades[],2,FALSE)</calculatedColumnFormula>
    </tableColumn>
    <tableColumn id="2" name="Resource" dataDxfId="49">
      <calculatedColumnFormula>VLOOKUP(Remaining_Cost[[#This Row],[Cost]],Upgrades[],3,FALSE)</calculatedColumnFormula>
    </tableColumn>
    <tableColumn id="18" name="MatchStr" dataDxfId="48">
      <calculatedColumnFormula>IF(COUNTIF(Skips,Remaining_Cost[[#This Row],[Cost]])&gt;0,"IGNORE",Remaining_Cost[Kind]&amp;"-"&amp;Remaining_Cost[Resource])</calculatedColumnFormula>
    </tableColumn>
    <tableColumn id="14" name="Next" dataDxfId="47">
      <calculatedColumnFormula>IFERROR(VLOOKUP(Remaining_Cost[[#This Row],[Cost]],Upgrades[],MATCH("C"&amp;MATCH(TRUE,INDEX(Remaining_Cost[[#This Row],[1]:[12]]&lt;&gt;0,),0),Upgrades[#Headers],0),FALSE),"")</calculatedColumnFormula>
    </tableColumn>
    <tableColumn id="3" name="1" dataDxfId="46">
      <calculatedColumnFormula>IF(VALUE(Remaining_Cost[#Headers])&lt;='Construction Dashboard'!$F24,IFERROR(VLOOKUP(Remaining_Cost[[#This Row],[Cost]],Upgrades[],MATCH("C"&amp;Remaining_Cost[#Headers],Upgrades[#Headers],0),FALSE),0)*MAX(0,SUM('Construction Dashboard'!$G24:G24)),0)</calculatedColumnFormula>
    </tableColumn>
    <tableColumn id="4" name="2" dataDxfId="45">
      <calculatedColumnFormula>IF(VALUE(Remaining_Cost[#Headers])&lt;='Construction Dashboard'!$F24,IFERROR(VLOOKUP(Remaining_Cost[[#This Row],[Cost]],Upgrades[],MATCH("C"&amp;Remaining_Cost[#Headers],Upgrades[#Headers],0),FALSE),0)*MAX(0,SUM('Construction Dashboard'!$G24:H24)),0)</calculatedColumnFormula>
    </tableColumn>
    <tableColumn id="5" name="3" dataDxfId="44">
      <calculatedColumnFormula>IF(VALUE(Remaining_Cost[#Headers])&lt;='Construction Dashboard'!$F24,IFERROR(VLOOKUP(Remaining_Cost[[#This Row],[Cost]],Upgrades[],MATCH("C"&amp;Remaining_Cost[#Headers],Upgrades[#Headers],0),FALSE),0)*MAX(0,SUM('Construction Dashboard'!$G24:I24)),0)</calculatedColumnFormula>
    </tableColumn>
    <tableColumn id="6" name="4" dataDxfId="43">
      <calculatedColumnFormula>IF(VALUE(Remaining_Cost[#Headers])&lt;='Construction Dashboard'!$F24,IFERROR(VLOOKUP(Remaining_Cost[[#This Row],[Cost]],Upgrades[],MATCH("C"&amp;Remaining_Cost[#Headers],Upgrades[#Headers],0),FALSE),0)*MAX(0,SUM('Construction Dashboard'!$G24:J24)),0)</calculatedColumnFormula>
    </tableColumn>
    <tableColumn id="7" name="5" dataDxfId="42">
      <calculatedColumnFormula>IF(VALUE(Remaining_Cost[#Headers])&lt;='Construction Dashboard'!$F24,IFERROR(VLOOKUP(Remaining_Cost[[#This Row],[Cost]],Upgrades[],MATCH("C"&amp;Remaining_Cost[#Headers],Upgrades[#Headers],0),FALSE),0)*MAX(0,SUM('Construction Dashboard'!$G24:K24)),0)</calculatedColumnFormula>
    </tableColumn>
    <tableColumn id="8" name="6" dataDxfId="41">
      <calculatedColumnFormula>IF(VALUE(Remaining_Cost[#Headers])&lt;='Construction Dashboard'!$F24,IFERROR(VLOOKUP(Remaining_Cost[[#This Row],[Cost]],Upgrades[],MATCH("C"&amp;Remaining_Cost[#Headers],Upgrades[#Headers],0),FALSE),0)*MAX(0,SUM('Construction Dashboard'!$G24:L24)),0)</calculatedColumnFormula>
    </tableColumn>
    <tableColumn id="9" name="7" dataDxfId="40">
      <calculatedColumnFormula>IF(VALUE(Remaining_Cost[#Headers])&lt;='Construction Dashboard'!$F24,IFERROR(VLOOKUP(Remaining_Cost[[#This Row],[Cost]],Upgrades[],MATCH("C"&amp;Remaining_Cost[#Headers],Upgrades[#Headers],0),FALSE),0)*MAX(0,SUM('Construction Dashboard'!$G24:M24)),0)</calculatedColumnFormula>
    </tableColumn>
    <tableColumn id="10" name="8" dataDxfId="39">
      <calculatedColumnFormula>IF(VALUE(Remaining_Cost[#Headers])&lt;='Construction Dashboard'!$F24,IFERROR(VLOOKUP(Remaining_Cost[[#This Row],[Cost]],Upgrades[],MATCH("C"&amp;Remaining_Cost[#Headers],Upgrades[#Headers],0),FALSE),0)*MAX(0,SUM('Construction Dashboard'!$G24:N24)),0)</calculatedColumnFormula>
    </tableColumn>
    <tableColumn id="11" name="9" dataDxfId="38">
      <calculatedColumnFormula>IF(VALUE(Remaining_Cost[#Headers])&lt;='Construction Dashboard'!$F24,IFERROR(VLOOKUP(Remaining_Cost[[#This Row],[Cost]],Upgrades[],MATCH("C"&amp;Remaining_Cost[#Headers],Upgrades[#Headers],0),FALSE),0)*MAX(0,SUM('Construction Dashboard'!$G24:O24)),0)</calculatedColumnFormula>
    </tableColumn>
    <tableColumn id="12" name="10" dataDxfId="37">
      <calculatedColumnFormula>IF(VALUE(Remaining_Cost[#Headers])&lt;='Construction Dashboard'!$F24,IFERROR(VLOOKUP(Remaining_Cost[[#This Row],[Cost]],Upgrades[],MATCH("C"&amp;Remaining_Cost[#Headers],Upgrades[#Headers],0),FALSE),0)*MAX(0,SUM('Construction Dashboard'!$G24:P24)),0)</calculatedColumnFormula>
    </tableColumn>
    <tableColumn id="13" name="11" dataDxfId="36">
      <calculatedColumnFormula>IF(VALUE(Remaining_Cost[#Headers])&lt;='Construction Dashboard'!$F24,IFERROR(VLOOKUP(Remaining_Cost[[#This Row],[Cost]],Upgrades[],MATCH("C"&amp;Remaining_Cost[#Headers],Upgrades[#Headers],0),FALSE),0)*MAX(0,SUM('Construction Dashboard'!$G24:Q24)),0)</calculatedColumnFormula>
    </tableColumn>
    <tableColumn id="16" name="12" dataDxfId="35">
      <calculatedColumnFormula>IF(VALUE(Remaining_Cost[#Headers])&lt;='Construction Dashboard'!$F24,IFERROR(VLOOKUP(Remaining_Cost[[#This Row],[Cost]],Upgrades[],MATCH("C"&amp;Remaining_Cost[#Headers],Upgrades[#Headers],0),FALSE),0)*MAX(0,SUM('Construction Dashboard'!$G24:R24)),0)</calculatedColumnFormula>
    </tableColumn>
    <tableColumn id="17" name="Sum" dataDxfId="34">
      <calculatedColumnFormula>IF(Remaining_Cost[[#This Row],[MatchStr]]="IGNORE",0,SUM(Remaining_Cost[[#This Row],[1]:[12]]))</calculatedColumnFormula>
    </tableColumn>
  </tableColumns>
  <tableStyleInfo name="TableStyleDark8" showFirstColumn="0" showLastColumn="1" showRowStripes="1" showColumnStripes="0"/>
</table>
</file>

<file path=xl/tables/table15.xml><?xml version="1.0" encoding="utf-8"?>
<table xmlns="http://schemas.openxmlformats.org/spreadsheetml/2006/main" id="9" name="Remaining_Time" displayName="Remaining_Time" ref="A73:R122" totalsRowShown="0" headerRowDxfId="33" dataDxfId="32">
  <autoFilter ref="A73:R122"/>
  <tableColumns count="18">
    <tableColumn id="1" name="Time" dataDxfId="31"/>
    <tableColumn id="15" name="Kind" dataDxfId="30">
      <calculatedColumnFormula>VLOOKUP(Remaining_Time[[#This Row],[Time]],Upgrades[],MATCH("Kind",Upgrades[#Headers],0),FALSE)</calculatedColumnFormula>
    </tableColumn>
    <tableColumn id="2" name="Resource" dataDxfId="29">
      <calculatedColumnFormula>VLOOKUP(Remaining_Time[[#This Row],[Time]],Upgrades[],MATCH("Resource",Upgrades[#Headers],0),FALSE)</calculatedColumnFormula>
    </tableColumn>
    <tableColumn id="18" name="MatchStr" dataDxfId="28">
      <calculatedColumnFormula>IF(COUNTIF(Skips,Remaining_Time[[#This Row],[Time]])&gt;0,"IGNORE",Remaining_Time[Kind]&amp;"-"&amp;Remaining_Time[Resource])</calculatedColumnFormula>
    </tableColumn>
    <tableColumn id="14" name="Next" dataDxfId="27">
      <calculatedColumnFormula>IFERROR(VLOOKUP(Remaining_Time[[#This Row],[Time]],Upgrades[],MATCH("T"&amp;MATCH(TRUE,INDEX(Remaining_Time[[#This Row],[1]:[12]]&lt;&gt;0,),0),Upgrades[#Headers],0),FALSE),"")</calculatedColumnFormula>
    </tableColumn>
    <tableColumn id="3" name="1" dataDxfId="26">
      <calculatedColumnFormula>IF(VALUE(Remaining_Time[#Headers])&lt;='Construction Dashboard'!$F24,IFERROR(VLOOKUP(Remaining_Time[[#This Row],[Time]],Upgrades[],MATCH("T"&amp;Remaining_Time[#Headers],Upgrades[#Headers],0),FALSE),0)*MAX(0,SUM('Construction Dashboard'!$G24:G24)),0)</calculatedColumnFormula>
    </tableColumn>
    <tableColumn id="4" name="2" dataDxfId="25">
      <calculatedColumnFormula>IF(VALUE(Remaining_Time[#Headers])&lt;='Construction Dashboard'!$F24,IFERROR(VLOOKUP(Remaining_Time[[#This Row],[Time]],Upgrades[],MATCH("T"&amp;Remaining_Time[#Headers],Upgrades[#Headers],0),FALSE),0)*MAX(0,SUM('Construction Dashboard'!$G24:H24)),0)</calculatedColumnFormula>
    </tableColumn>
    <tableColumn id="5" name="3" dataDxfId="24">
      <calculatedColumnFormula>IF(VALUE(Remaining_Time[#Headers])&lt;='Construction Dashboard'!$F24,IFERROR(VLOOKUP(Remaining_Time[[#This Row],[Time]],Upgrades[],MATCH("T"&amp;Remaining_Time[#Headers],Upgrades[#Headers],0),FALSE),0)*MAX(0,SUM('Construction Dashboard'!$G24:I24)),0)</calculatedColumnFormula>
    </tableColumn>
    <tableColumn id="6" name="4" dataDxfId="23">
      <calculatedColumnFormula>IF(VALUE(Remaining_Time[#Headers])&lt;='Construction Dashboard'!$F24,IFERROR(VLOOKUP(Remaining_Time[[#This Row],[Time]],Upgrades[],MATCH("T"&amp;Remaining_Time[#Headers],Upgrades[#Headers],0),FALSE),0)*MAX(0,SUM('Construction Dashboard'!$G24:J24)),0)</calculatedColumnFormula>
    </tableColumn>
    <tableColumn id="7" name="5" dataDxfId="22">
      <calculatedColumnFormula>IF(VALUE(Remaining_Time[#Headers])&lt;='Construction Dashboard'!$F24,IFERROR(VLOOKUP(Remaining_Time[[#This Row],[Time]],Upgrades[],MATCH("T"&amp;Remaining_Time[#Headers],Upgrades[#Headers],0),FALSE),0)*MAX(0,SUM('Construction Dashboard'!$G24:K24)),0)</calculatedColumnFormula>
    </tableColumn>
    <tableColumn id="8" name="6" dataDxfId="21">
      <calculatedColumnFormula>IF(VALUE(Remaining_Time[#Headers])&lt;='Construction Dashboard'!$F24,IFERROR(VLOOKUP(Remaining_Time[[#This Row],[Time]],Upgrades[],MATCH("T"&amp;Remaining_Time[#Headers],Upgrades[#Headers],0),FALSE),0)*MAX(0,SUM('Construction Dashboard'!$G24:L24)),0)</calculatedColumnFormula>
    </tableColumn>
    <tableColumn id="9" name="7" dataDxfId="20">
      <calculatedColumnFormula>IF(VALUE(Remaining_Time[#Headers])&lt;='Construction Dashboard'!$F24,IFERROR(VLOOKUP(Remaining_Time[[#This Row],[Time]],Upgrades[],MATCH("T"&amp;Remaining_Time[#Headers],Upgrades[#Headers],0),FALSE),0)*MAX(0,SUM('Construction Dashboard'!$G24:M24)),0)</calculatedColumnFormula>
    </tableColumn>
    <tableColumn id="10" name="8" dataDxfId="19">
      <calculatedColumnFormula>IF(VALUE(Remaining_Time[#Headers])&lt;='Construction Dashboard'!$F24,IFERROR(VLOOKUP(Remaining_Time[[#This Row],[Time]],Upgrades[],MATCH("T"&amp;Remaining_Time[#Headers],Upgrades[#Headers],0),FALSE),0)*MAX(0,SUM('Construction Dashboard'!$G24:N24)),0)</calculatedColumnFormula>
    </tableColumn>
    <tableColumn id="11" name="9" dataDxfId="18">
      <calculatedColumnFormula>IF(VALUE(Remaining_Time[#Headers])&lt;='Construction Dashboard'!$F24,IFERROR(VLOOKUP(Remaining_Time[[#This Row],[Time]],Upgrades[],MATCH("T"&amp;Remaining_Time[#Headers],Upgrades[#Headers],0),FALSE),0)*MAX(0,SUM('Construction Dashboard'!$G24:O24)),0)</calculatedColumnFormula>
    </tableColumn>
    <tableColumn id="12" name="10" dataDxfId="17">
      <calculatedColumnFormula>IF(VALUE(Remaining_Time[#Headers])&lt;='Construction Dashboard'!$F24,IFERROR(VLOOKUP(Remaining_Time[[#This Row],[Time]],Upgrades[],MATCH("T"&amp;Remaining_Time[#Headers],Upgrades[#Headers],0),FALSE),0)*MAX(0,SUM('Construction Dashboard'!$G24:P24)),0)</calculatedColumnFormula>
    </tableColumn>
    <tableColumn id="13" name="11" dataDxfId="16">
      <calculatedColumnFormula>IF(VALUE(Remaining_Time[#Headers])&lt;='Construction Dashboard'!$F24,IFERROR(VLOOKUP(Remaining_Time[[#This Row],[Time]],Upgrades[],MATCH("T"&amp;Remaining_Time[#Headers],Upgrades[#Headers],0),FALSE),0)*MAX(0,SUM('Construction Dashboard'!$G24:Q24)),0)</calculatedColumnFormula>
    </tableColumn>
    <tableColumn id="16" name="12" dataDxfId="15">
      <calculatedColumnFormula>IF(VALUE(Remaining_Time[#Headers])&lt;='Construction Dashboard'!$F24,IFERROR(VLOOKUP(Remaining_Time[[#This Row],[Time]],Upgrades[],MATCH("T"&amp;Remaining_Time[#Headers],Upgrades[#Headers],0),FALSE),0)*MAX(0,SUM('Construction Dashboard'!$G24:R24)),0)</calculatedColumnFormula>
    </tableColumn>
    <tableColumn id="17" name="Sum" dataDxfId="14">
      <calculatedColumnFormula>IF(Remaining_Time[[#This Row],[MatchStr]]="IGNORE",0,SUM(Remaining_Time[[#This Row],[1]:[12]]))</calculatedColumnFormula>
    </tableColumn>
  </tableColumns>
  <tableStyleInfo name="TableStyleDark8" showFirstColumn="0" showLastColumn="1" showRowStripes="1" showColumnStripes="0"/>
</table>
</file>

<file path=xl/tables/table16.xml><?xml version="1.0" encoding="utf-8"?>
<table xmlns="http://schemas.openxmlformats.org/spreadsheetml/2006/main" id="13" name="HeroNextUpgrade" displayName="HeroNextUpgrade" ref="A13:J15" totalsRowShown="0">
  <tableColumns count="10">
    <tableColumn id="1" name="Hero"/>
    <tableColumn id="7" name="Lookup Key"/>
    <tableColumn id="2" name="Level">
      <calculatedColumnFormula>AQLevel</calculatedColumnFormula>
    </tableColumn>
    <tableColumn id="3" name="MaxLevel" dataDxfId="13">
      <calculatedColumnFormula>VLOOKUP(HeroNextUpgrade[[#This Row],[Hero]],MaxLevel[],MATCH("L"&amp;THLevel,MaxLevel[#Headers],0),FALSE)</calculatedColumnFormula>
    </tableColumn>
    <tableColumn id="6" name="Upgradeable" dataDxfId="12">
      <calculatedColumnFormula>AND(HeroNextUpgrade[[#This Row],[Level]]&lt;HeroNextUpgrade[[#This Row],[MaxLevel]],COUNTIF(Skips,HeroNextUpgrade[[#This Row],[Hero]])=0)</calculatedColumnFormula>
    </tableColumn>
    <tableColumn id="9" name="Next Level" dataDxfId="11">
      <calculatedColumnFormula>HeroNextUpgrade[[#This Row],[Level]]+1</calculatedColumnFormula>
    </tableColumn>
    <tableColumn id="4" name="Next Cost" dataDxfId="10">
      <calculatedColumnFormula>VLOOKUP(HeroNextUpgrade[[#This Row],[Next Level]],HeroUpgrades[],MATCH(HeroNextUpgrade[[#This Row],[Lookup Key]]&amp;"-Cost",HeroUpgrades[#Headers],0),FALSE)</calculatedColumnFormula>
    </tableColumn>
    <tableColumn id="5" name="Next Time" dataDxfId="9">
      <calculatedColumnFormula>VLOOKUP(HeroNextUpgrade[[#This Row],[Next Level]],HeroUpgrades[],MATCH(HeroNextUpgrade[[#This Row],[Lookup Key]]&amp;"-Time",HeroUpgrades[#Headers],0),FALSE)</calculatedColumnFormula>
    </tableColumn>
    <tableColumn id="12" name="Cost to Max" dataDxfId="8">
      <calculatedColumnFormula>IF(HeroNextUpgrade[[#This Row],[Upgradeable]],SUM(OFFSET(HeroUpgrades[],HeroNextUpgrade[[#This Row],[Level]],MATCH(HeroNextUpgrade[[#This Row],[Lookup Key]]&amp;"-Cost",HeroUpgrades[#Headers],0)-1,HeroNextUpgrade[[#This Row],[MaxLevel]]-HeroNextUpgrade[[#This Row],[Level]],1)),0)</calculatedColumnFormula>
    </tableColumn>
    <tableColumn id="13" name="Time to Max" dataDxfId="7">
      <calculatedColumnFormula>IF(HeroNextUpgrade[[#This Row],[Upgradeable]],SUM(OFFSET(HeroUpgrades[],HeroNextUpgrade[[#This Row],[Level]],MATCH(HeroNextUpgrade[[#This Row],[Lookup Key]]&amp;"-Time",HeroUpgrades[#Headers],0)-1,HeroNextUpgrade[[#This Row],[MaxLevel]]-HeroNextUpgrade[[#This Row],[Level]],1)),0)</calculatedColumnFormula>
    </tableColumn>
  </tableColumns>
  <tableStyleInfo name="TableStyleDark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4" Type="http://schemas.openxmlformats.org/officeDocument/2006/relationships/table" Target="../tables/table5.xml"/><Relationship Id="rId1" Type="http://schemas.openxmlformats.org/officeDocument/2006/relationships/table" Target="../tables/table2.xml"/><Relationship Id="rId2"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hyperlink" Target="http://clashofclans.wikia.com/" TargetMode="External"/><Relationship Id="rId2" Type="http://schemas.openxmlformats.org/officeDocument/2006/relationships/hyperlink" Target="mailto:web+clash@straxhaber.com" TargetMode="External"/><Relationship Id="rId3" Type="http://schemas.openxmlformats.org/officeDocument/2006/relationships/hyperlink" Target="https://www.paypal.com/cgi-bin/webscr?cmd=_s-xclick&amp;hosted_button_id=ME85YXLE2WPCJ"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4" Type="http://schemas.openxmlformats.org/officeDocument/2006/relationships/table" Target="../tables/table9.xml"/><Relationship Id="rId5" Type="http://schemas.openxmlformats.org/officeDocument/2006/relationships/table" Target="../tables/table10.xml"/><Relationship Id="rId6" Type="http://schemas.openxmlformats.org/officeDocument/2006/relationships/table" Target="../tables/table11.xml"/><Relationship Id="rId7" Type="http://schemas.openxmlformats.org/officeDocument/2006/relationships/table" Target="../tables/table12.xml"/><Relationship Id="rId8" Type="http://schemas.openxmlformats.org/officeDocument/2006/relationships/table" Target="../tables/table13.xml"/><Relationship Id="rId1" Type="http://schemas.openxmlformats.org/officeDocument/2006/relationships/table" Target="../tables/table6.xml"/><Relationship Id="rId2" Type="http://schemas.openxmlformats.org/officeDocument/2006/relationships/table" Target="../tables/table7.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4.xml"/><Relationship Id="rId2" Type="http://schemas.openxmlformats.org/officeDocument/2006/relationships/table" Target="../tables/table15.xml"/><Relationship Id="rId3"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T73"/>
  <sheetViews>
    <sheetView workbookViewId="0">
      <selection activeCell="E44" sqref="E44"/>
    </sheetView>
  </sheetViews>
  <sheetFormatPr baseColWidth="10" defaultRowHeight="15" x14ac:dyDescent="0"/>
  <cols>
    <col min="1" max="1" width="20.33203125" style="11" bestFit="1" customWidth="1"/>
    <col min="2" max="2" width="9.33203125" style="11" bestFit="1" customWidth="1"/>
    <col min="3" max="3" width="11" style="11" bestFit="1" customWidth="1"/>
    <col min="4" max="4" width="19.5" style="27" hidden="1" customWidth="1"/>
    <col min="5" max="7" width="17.6640625" style="11" customWidth="1"/>
    <col min="8" max="19" width="13.83203125" style="11" customWidth="1"/>
    <col min="20" max="16384" width="10.83203125" style="11"/>
  </cols>
  <sheetData>
    <row r="1" spans="1:19" ht="16" thickTop="1">
      <c r="A1" s="268" t="s">
        <v>180</v>
      </c>
      <c r="B1" s="269"/>
      <c r="C1" s="269"/>
      <c r="D1" s="269"/>
      <c r="E1" s="269"/>
      <c r="F1" s="269"/>
      <c r="G1" s="270"/>
      <c r="H1" s="271"/>
      <c r="I1" s="271"/>
      <c r="J1" s="271"/>
      <c r="K1" s="271"/>
      <c r="L1" s="271"/>
      <c r="M1" s="271"/>
      <c r="N1" s="271"/>
      <c r="O1" s="271"/>
      <c r="P1" s="271"/>
      <c r="Q1" s="271"/>
      <c r="R1" s="271"/>
      <c r="S1" s="272"/>
    </row>
    <row r="2" spans="1:19" ht="16" thickBot="1">
      <c r="A2" s="273"/>
      <c r="B2" s="274"/>
      <c r="C2" s="274"/>
      <c r="D2" s="274"/>
      <c r="E2" s="274"/>
      <c r="F2" s="274"/>
      <c r="G2" s="275"/>
      <c r="H2" s="276"/>
      <c r="I2" s="276"/>
      <c r="J2" s="276"/>
      <c r="K2" s="276"/>
      <c r="L2" s="276"/>
      <c r="M2" s="276"/>
      <c r="N2" s="276"/>
      <c r="O2" s="276"/>
      <c r="P2" s="276"/>
      <c r="Q2" s="276"/>
      <c r="R2" s="276"/>
      <c r="S2" s="277"/>
    </row>
    <row r="3" spans="1:19" ht="17" thickTop="1" thickBot="1">
      <c r="A3" s="112"/>
      <c r="B3" s="112"/>
      <c r="C3" s="112"/>
      <c r="E3" s="112"/>
      <c r="F3" s="112"/>
      <c r="G3" s="112"/>
      <c r="H3" s="112"/>
      <c r="I3" s="112"/>
      <c r="J3" s="112"/>
      <c r="K3" s="112"/>
      <c r="L3" s="112"/>
      <c r="M3" s="112"/>
      <c r="N3" s="112"/>
      <c r="O3" s="112"/>
      <c r="P3" s="112"/>
      <c r="Q3" s="112"/>
      <c r="R3" s="112"/>
      <c r="S3" s="112"/>
    </row>
    <row r="4" spans="1:19" ht="20" customHeight="1" thickTop="1" thickBot="1">
      <c r="A4" s="268" t="s">
        <v>129</v>
      </c>
      <c r="B4" s="269"/>
      <c r="C4" s="269"/>
      <c r="D4" s="269"/>
      <c r="E4" s="269"/>
      <c r="F4" s="269"/>
      <c r="G4" s="281"/>
      <c r="H4" s="112"/>
      <c r="I4" s="257" t="s">
        <v>178</v>
      </c>
      <c r="J4" s="248"/>
      <c r="K4" s="248"/>
      <c r="L4" s="248"/>
      <c r="M4" s="248"/>
      <c r="N4" s="296"/>
      <c r="O4" s="112"/>
      <c r="P4" s="286" t="s">
        <v>212</v>
      </c>
      <c r="Q4" s="287"/>
      <c r="R4" s="287"/>
      <c r="S4" s="288"/>
    </row>
    <row r="5" spans="1:19" ht="19" customHeight="1" thickTop="1" thickBot="1">
      <c r="A5" s="282"/>
      <c r="B5" s="283"/>
      <c r="C5" s="283"/>
      <c r="D5" s="283"/>
      <c r="E5" s="283"/>
      <c r="F5" s="283"/>
      <c r="G5" s="284"/>
      <c r="H5" s="112"/>
      <c r="I5" s="12" t="s">
        <v>167</v>
      </c>
      <c r="J5" s="188" t="s">
        <v>29</v>
      </c>
      <c r="K5" s="188" t="s">
        <v>1</v>
      </c>
      <c r="L5" s="189" t="s">
        <v>102</v>
      </c>
      <c r="M5" s="190" t="s">
        <v>219</v>
      </c>
      <c r="N5" s="189" t="s">
        <v>182</v>
      </c>
      <c r="O5" s="112"/>
      <c r="P5" s="12" t="s">
        <v>30</v>
      </c>
      <c r="Q5" s="188" t="s">
        <v>14</v>
      </c>
      <c r="R5" s="188" t="s">
        <v>104</v>
      </c>
      <c r="S5" s="189" t="s">
        <v>179</v>
      </c>
    </row>
    <row r="6" spans="1:19" ht="19" customHeight="1" thickTop="1" thickBot="1">
      <c r="A6" s="259" t="s">
        <v>160</v>
      </c>
      <c r="B6" s="260"/>
      <c r="C6" s="260"/>
      <c r="D6" s="260"/>
      <c r="E6" s="260"/>
      <c r="F6" s="260"/>
      <c r="G6" s="261"/>
      <c r="H6" s="112"/>
      <c r="I6" s="181" t="s">
        <v>14</v>
      </c>
      <c r="J6" s="13">
        <f ca="1">SUMIFS(Remaining_Cost[Sum],Remaining_Cost[Resource],J$5,Remaining_Cost[Kind],$I6)</f>
        <v>2000000</v>
      </c>
      <c r="K6" s="14">
        <f ca="1">SUMIFS(Remaining_Cost[Sum],Remaining_Cost[Resource],K$5,Remaining_Cost[Kind],$I6)</f>
        <v>4500000</v>
      </c>
      <c r="L6" s="14">
        <f ca="1">SUMIFS(Remaining_Cost[Sum],Remaining_Cost[Resource],L$5,Remaining_Cost[Kind],$I6)</f>
        <v>0</v>
      </c>
      <c r="M6" s="130">
        <f ca="1">SUMIF(Remaining_Time[Kind],$I6,Remaining_Time[Sum])</f>
        <v>20</v>
      </c>
      <c r="N6" s="111">
        <f ca="1">M6/IF(I6="Building",NumBuilders,1)</f>
        <v>4</v>
      </c>
      <c r="O6" s="112"/>
      <c r="P6" s="181" t="s">
        <v>29</v>
      </c>
      <c r="Q6" s="16" t="str">
        <f t="array" aca="1" ref="Q6" ca="1">IFERROR(INDEX(Remaining_Cost[Cost],MATCH(R6,IF(Remaining_Cost[MatchStr]=Q$5&amp;"-"&amp;P6,Remaining_Cost[Next]),0)),0)</f>
        <v>Town Hall</v>
      </c>
      <c r="R6" s="14">
        <f t="array" aca="1" ref="R6" ca="1">MIN(IF(Remaining_Cost[MatchStr]=Q$5&amp;"-"&amp;P6,Remaining_Cost[Next]))</f>
        <v>2000000</v>
      </c>
      <c r="S6" s="15">
        <f ca="1">IFERROR(IF(VLOOKUP(Q6,Remaining_Time[],5,FALSE)="",0,VLOOKUP(Q6,Remaining_Time[],5,FALSE)),0)</f>
        <v>8</v>
      </c>
    </row>
    <row r="7" spans="1:19" ht="19" customHeight="1" thickTop="1">
      <c r="A7" s="262"/>
      <c r="B7" s="263"/>
      <c r="C7" s="263"/>
      <c r="D7" s="263"/>
      <c r="E7" s="263"/>
      <c r="F7" s="263"/>
      <c r="G7" s="264"/>
      <c r="H7" s="112"/>
      <c r="I7" s="181" t="s">
        <v>23</v>
      </c>
      <c r="J7" s="17">
        <f ca="1">SUMIFS(Remaining_Cost[Sum],Remaining_Cost[Resource],J$5,Remaining_Cost[Kind],$I7)</f>
        <v>24600000</v>
      </c>
      <c r="K7" s="135"/>
      <c r="L7" s="135"/>
      <c r="M7" s="190" t="s">
        <v>220</v>
      </c>
      <c r="N7" s="189" t="s">
        <v>218</v>
      </c>
      <c r="O7" s="112"/>
      <c r="P7" s="181" t="s">
        <v>1</v>
      </c>
      <c r="Q7" s="20" t="str">
        <f t="array" aca="1" ref="Q7" ca="1">IFERROR(INDEX(Remaining_Cost[Cost],MATCH(R7,IF(Remaining_Cost[MatchStr]=Q$5&amp;"-"&amp;P7,Remaining_Cost[Next]),0)),0)</f>
        <v>Barracks</v>
      </c>
      <c r="R7" s="18">
        <f t="array" aca="1" ref="R7" ca="1">MIN(IF(Remaining_Cost[MatchStr]=Q$5&amp;"-"&amp;P7,Remaining_Cost[Next]))</f>
        <v>1500000</v>
      </c>
      <c r="S7" s="19">
        <f ca="1">IFERROR(IF(VLOOKUP(Q7,Remaining_Time[],5,FALSE)="",0,VLOOKUP(Q7,Remaining_Time[],5,FALSE)),0)</f>
        <v>4</v>
      </c>
    </row>
    <row r="8" spans="1:19" ht="19" customHeight="1" thickBot="1">
      <c r="A8" s="262"/>
      <c r="B8" s="263"/>
      <c r="C8" s="263"/>
      <c r="D8" s="263"/>
      <c r="E8" s="263"/>
      <c r="F8" s="263"/>
      <c r="G8" s="264"/>
      <c r="H8" s="112"/>
      <c r="I8" s="181" t="s">
        <v>71</v>
      </c>
      <c r="J8" s="136"/>
      <c r="K8" s="18">
        <f ca="1">SUMIFS(Remaining_Cost[Sum],Remaining_Cost[Resource],K$5,Remaining_Cost[Kind],$I8)</f>
        <v>0</v>
      </c>
      <c r="L8" s="132">
        <f ca="1">SUMIFS(Remaining_Cost[Sum],Remaining_Cost[Resource],L$5,Remaining_Cost[Kind],$I8)+SUM(HeroNextUpgrade[Cost to Max])</f>
        <v>85000</v>
      </c>
      <c r="M8" s="131">
        <f ca="1">SUMIF(Remaining_Time[Kind],$I8,Remaining_Time[Sum])</f>
        <v>8</v>
      </c>
      <c r="N8" s="129">
        <f ca="1">SUM(HeroNextUpgrade[Time to Max])</f>
        <v>5</v>
      </c>
      <c r="O8" s="112"/>
      <c r="P8" s="182" t="s">
        <v>102</v>
      </c>
      <c r="Q8" s="21">
        <f t="array" aca="1" ref="Q8" ca="1">IFERROR(INDEX(Remaining_Cost[Cost],MATCH(R8,IF(Remaining_Cost[MatchStr]=Q$5&amp;"-"&amp;P8,Remaining_Cost[Next]),0)),0)</f>
        <v>0</v>
      </c>
      <c r="R8" s="22">
        <f t="array" aca="1" ref="R8" ca="1">MIN(IF(Remaining_Cost[MatchStr]=Q$5&amp;"-"&amp;P8,Remaining_Cost[Next]))</f>
        <v>0</v>
      </c>
      <c r="S8" s="23">
        <f ca="1">IFERROR(IF(VLOOKUP(Q8,Remaining_Time[],5,FALSE)="",0,VLOOKUP(Q8,Remaining_Time[],5,FALSE)),0)</f>
        <v>0</v>
      </c>
    </row>
    <row r="9" spans="1:19" ht="20" thickTop="1" thickBot="1">
      <c r="A9" s="262"/>
      <c r="B9" s="263"/>
      <c r="C9" s="263"/>
      <c r="D9" s="263"/>
      <c r="E9" s="263"/>
      <c r="F9" s="263"/>
      <c r="G9" s="264"/>
      <c r="H9" s="112"/>
      <c r="I9" s="24" t="s">
        <v>108</v>
      </c>
      <c r="J9" s="25">
        <f ca="1">SUM(J6:J8)</f>
        <v>26600000</v>
      </c>
      <c r="K9" s="26">
        <f ca="1">SUM(K6:K8)</f>
        <v>4500000</v>
      </c>
      <c r="L9" s="80">
        <f ca="1">SUM(L6:L8)</f>
        <v>85000</v>
      </c>
      <c r="M9" s="169"/>
      <c r="N9" s="169"/>
      <c r="O9" s="112"/>
      <c r="P9" s="112"/>
      <c r="Q9" s="112"/>
      <c r="R9" s="112"/>
      <c r="S9" s="112"/>
    </row>
    <row r="10" spans="1:19" ht="17" thickTop="1" thickBot="1">
      <c r="A10" s="262"/>
      <c r="B10" s="263"/>
      <c r="C10" s="263"/>
      <c r="D10" s="263"/>
      <c r="E10" s="263"/>
      <c r="F10" s="263"/>
      <c r="G10" s="264"/>
      <c r="H10" s="112"/>
      <c r="I10" s="112"/>
      <c r="J10" s="112"/>
      <c r="K10" s="112"/>
      <c r="L10" s="112"/>
      <c r="M10" s="112"/>
      <c r="N10" s="112"/>
      <c r="O10" s="112"/>
      <c r="P10" s="112"/>
      <c r="Q10" s="112"/>
      <c r="R10" s="112"/>
      <c r="S10" s="112"/>
    </row>
    <row r="11" spans="1:19" ht="20" customHeight="1" thickTop="1" thickBot="1">
      <c r="A11" s="265"/>
      <c r="B11" s="266"/>
      <c r="C11" s="266"/>
      <c r="D11" s="266"/>
      <c r="E11" s="266"/>
      <c r="F11" s="266"/>
      <c r="G11" s="267"/>
      <c r="H11" s="112"/>
      <c r="I11" s="278" t="s">
        <v>157</v>
      </c>
      <c r="J11" s="279"/>
      <c r="K11" s="249"/>
      <c r="L11" s="249"/>
      <c r="M11" s="249"/>
      <c r="N11" s="280"/>
      <c r="O11" s="112"/>
      <c r="P11" s="286" t="s">
        <v>213</v>
      </c>
      <c r="Q11" s="287"/>
      <c r="R11" s="287"/>
      <c r="S11" s="288"/>
    </row>
    <row r="12" spans="1:19" ht="20" customHeight="1" thickTop="1" thickBot="1">
      <c r="A12" s="112"/>
      <c r="B12" s="112"/>
      <c r="C12" s="112"/>
      <c r="E12" s="112"/>
      <c r="F12" s="113"/>
      <c r="G12" s="112"/>
      <c r="H12" s="112"/>
      <c r="I12" s="303" t="s">
        <v>239</v>
      </c>
      <c r="J12" s="304"/>
      <c r="K12" s="163">
        <f t="array" ref="K12">SUM(IF(ConstructionState[Kind]="Building",ConstructionState[[1]:[12]]))</f>
        <v>64</v>
      </c>
      <c r="L12" s="303" t="s">
        <v>236</v>
      </c>
      <c r="M12" s="305"/>
      <c r="N12" s="163">
        <f t="array" aca="1" ref="N12" ca="1">SUM(IF(COUNTIF(Skips,ConstructionState[Building or Upgrade])=0,IF(ConstructionState[Kind]="Building",(ConstructionState[Available]*ConstructionState[Maximum Level]))))-SUMPRODUCT(IF(COUNTIF(Skips,ConstructionState[Building or Upgrade])=0,IF(ConstructionState[Kind]="Building",ConstructionState[[1]:[12]]*ConstructionState[[#Headers],[1]:[12]])))</f>
        <v>4</v>
      </c>
      <c r="O12" s="112"/>
      <c r="P12" s="12" t="s">
        <v>30</v>
      </c>
      <c r="Q12" s="188" t="s">
        <v>71</v>
      </c>
      <c r="R12" s="188" t="s">
        <v>104</v>
      </c>
      <c r="S12" s="189" t="s">
        <v>179</v>
      </c>
    </row>
    <row r="13" spans="1:19" ht="19" customHeight="1" thickTop="1">
      <c r="A13" s="112"/>
      <c r="B13" s="268" t="s">
        <v>113</v>
      </c>
      <c r="C13" s="269"/>
      <c r="D13" s="269"/>
      <c r="E13" s="269"/>
      <c r="F13" s="281"/>
      <c r="G13" s="112"/>
      <c r="H13" s="112"/>
      <c r="I13" s="308" t="s">
        <v>153</v>
      </c>
      <c r="J13" s="309"/>
      <c r="K13" s="166">
        <f t="array" ref="K13">SUM(H27:O27*TRANSPOSE(Cap_AC[Capacity]))</f>
        <v>200</v>
      </c>
      <c r="L13" s="308" t="s">
        <v>238</v>
      </c>
      <c r="M13" s="309"/>
      <c r="N13" s="164">
        <f t="array" aca="1" ref="N13" ca="1">SUM(IF(COUNTIF(Skips,ConstructionState[Building or Upgrade])=0,IF(ConstructionState[Kind]="Wall",(ConstructionState[Available]*ConstructionState[Maximum Level]))))-SUMPRODUCT(IF(COUNTIF(Skips,ConstructionState[Building or Upgrade])=0,IF(ConstructionState[Kind]="Wall",ConstructionState[[1]:[12]]*ConstructionState[[#Headers],[1]:[12]])))</f>
        <v>123</v>
      </c>
      <c r="O13" s="112"/>
      <c r="P13" s="181" t="s">
        <v>1</v>
      </c>
      <c r="Q13" s="16">
        <f t="array" aca="1" ref="Q13" ca="1">IFERROR(INDEX(Remaining_Cost[Cost],MATCH(R13,IF(Remaining_Cost[MatchStr]=Q$12&amp;"-"&amp;P13,Remaining_Cost[Next]),0)),0)</f>
        <v>0</v>
      </c>
      <c r="R13" s="18">
        <f t="array" aca="1" ref="R13" ca="1">MIN(IF(Remaining_Cost[MatchStr]=Q$12&amp;"-"&amp;P13,Remaining_Cost[Next]))</f>
        <v>0</v>
      </c>
      <c r="S13" s="15">
        <f ca="1">IFERROR(IF(VLOOKUP(Q13,Remaining_Time[],5,FALSE)="",0,VLOOKUP(Q13,Remaining_Time[],5,FALSE)),0)</f>
        <v>0</v>
      </c>
    </row>
    <row r="14" spans="1:19" ht="20" customHeight="1" thickBot="1">
      <c r="A14" s="112"/>
      <c r="B14" s="273"/>
      <c r="C14" s="274"/>
      <c r="D14" s="274"/>
      <c r="E14" s="274"/>
      <c r="F14" s="285"/>
      <c r="G14" s="112"/>
      <c r="H14" s="112"/>
      <c r="I14" s="306" t="s">
        <v>240</v>
      </c>
      <c r="J14" s="307"/>
      <c r="K14" s="10">
        <f ca="1">K9/J9</f>
        <v>0.16917293233082706</v>
      </c>
      <c r="L14" s="310" t="s">
        <v>237</v>
      </c>
      <c r="M14" s="311"/>
      <c r="N14" s="165">
        <f t="array" aca="1" ref="N14" ca="1">SUM(IF(COUNTIF(Skips,ConstructionState[Building or Upgrade])=0,IF(ConstructionState[Kind]="Upgrade",(ConstructionState[Available]*ConstructionState[Maximum Level]))))-SUMPRODUCT(IF(COUNTIF(Skips,ConstructionState[Building or Upgrade])=0,IF(ConstructionState[Kind]="Upgrade",ConstructionState[[1]:[12]]*ConstructionState[[#Headers],[1]:[12]])))</f>
        <v>2</v>
      </c>
      <c r="O14" s="112"/>
      <c r="P14" s="182" t="s">
        <v>102</v>
      </c>
      <c r="Q14" s="21" t="str">
        <f t="array" aca="1" ref="Q14" ca="1">IFERROR(INDEX(HeroNextUpgrade[Hero],MATCH(R14,HeroNextUpgrade[Next Cost],0)),IFERROR(INDEX(Remaining_Cost[Cost],MATCH(R14,IF(Remaining_Cost[MatchStr]=Q$12&amp;"-"&amp;P14,Remaining_Cost[Next]),0)),0))</f>
        <v>Barbarian King</v>
      </c>
      <c r="R14" s="22">
        <f t="array" aca="1" ref="R14" ca="1">MIN(IF(Remaining_Cost[MatchStr]=Q$12&amp;"-"&amp;P14,Remaining_Cost[Next]),IF(HeroNextUpgrade[Upgradeable],HeroNextUpgrade[Next Cost]))</f>
        <v>12500</v>
      </c>
      <c r="S14" s="23">
        <f ca="1">IFERROR(VLOOKUP(Q14,HeroNextUpgrade[],MATCH("Next Time",HeroNextUpgrade[#Headers],0),FALSE),IFERROR(IF(VLOOKUP(Q14,Remaining_Time[],5,FALSE)="",0,VLOOKUP(Q14,Remaining_Time[],5,FALSE)),0))</f>
        <v>0.5</v>
      </c>
    </row>
    <row r="15" spans="1:19" ht="20" customHeight="1" thickTop="1" thickBot="1">
      <c r="A15" s="112"/>
      <c r="B15" s="133">
        <v>2</v>
      </c>
      <c r="C15" s="297" t="s">
        <v>126</v>
      </c>
      <c r="D15" s="298"/>
      <c r="E15" s="298"/>
      <c r="F15" s="299"/>
      <c r="G15" s="112"/>
      <c r="H15" s="112"/>
      <c r="I15" s="112"/>
      <c r="J15" s="112"/>
      <c r="K15" s="112"/>
      <c r="L15" s="112"/>
      <c r="M15" s="112"/>
      <c r="N15" s="112"/>
      <c r="O15" s="112"/>
      <c r="P15" s="112"/>
      <c r="Q15" s="112"/>
      <c r="R15" s="112"/>
      <c r="S15" s="112"/>
    </row>
    <row r="16" spans="1:19" ht="19" thickTop="1">
      <c r="A16" s="112"/>
      <c r="B16" s="29">
        <v>0</v>
      </c>
      <c r="C16" s="241" t="s">
        <v>200</v>
      </c>
      <c r="D16" s="242"/>
      <c r="E16" s="242"/>
      <c r="F16" s="243"/>
      <c r="G16" s="112"/>
      <c r="H16" s="289" t="s">
        <v>211</v>
      </c>
      <c r="I16" s="290"/>
      <c r="J16" s="290"/>
      <c r="K16" s="290"/>
      <c r="L16" s="290"/>
      <c r="M16" s="290"/>
      <c r="N16" s="290"/>
      <c r="O16" s="290"/>
      <c r="P16" s="290"/>
      <c r="Q16" s="290"/>
      <c r="R16" s="290"/>
      <c r="S16" s="291"/>
    </row>
    <row r="17" spans="1:19" ht="19" thickBot="1">
      <c r="A17" s="112"/>
      <c r="B17" s="30"/>
      <c r="C17" s="241" t="s">
        <v>156</v>
      </c>
      <c r="D17" s="242"/>
      <c r="E17" s="242"/>
      <c r="F17" s="243"/>
      <c r="G17" s="112"/>
      <c r="H17" s="292"/>
      <c r="I17" s="293"/>
      <c r="J17" s="293"/>
      <c r="K17" s="293"/>
      <c r="L17" s="293"/>
      <c r="M17" s="293"/>
      <c r="N17" s="293"/>
      <c r="O17" s="294"/>
      <c r="P17" s="293"/>
      <c r="Q17" s="293"/>
      <c r="R17" s="293"/>
      <c r="S17" s="295"/>
    </row>
    <row r="18" spans="1:19" ht="20" thickTop="1" thickBot="1">
      <c r="A18" s="112"/>
      <c r="B18" s="137"/>
      <c r="C18" s="241" t="s">
        <v>221</v>
      </c>
      <c r="D18" s="242"/>
      <c r="E18" s="242"/>
      <c r="F18" s="243"/>
      <c r="G18" s="112"/>
      <c r="H18" s="247" t="s">
        <v>137</v>
      </c>
      <c r="I18" s="248"/>
      <c r="J18" s="248"/>
      <c r="K18" s="248"/>
      <c r="L18" s="248"/>
      <c r="M18" s="249"/>
      <c r="N18" s="250"/>
      <c r="O18" s="191"/>
      <c r="P18" s="257" t="s">
        <v>276</v>
      </c>
      <c r="Q18" s="249"/>
      <c r="R18" s="249"/>
      <c r="S18" s="258"/>
    </row>
    <row r="19" spans="1:19" ht="19" thickTop="1">
      <c r="A19" s="112"/>
      <c r="B19" s="134"/>
      <c r="C19" s="241" t="s">
        <v>221</v>
      </c>
      <c r="D19" s="242"/>
      <c r="E19" s="242"/>
      <c r="F19" s="243"/>
      <c r="G19" s="112"/>
      <c r="H19" s="192" t="s">
        <v>109</v>
      </c>
      <c r="I19" s="57">
        <v>5</v>
      </c>
      <c r="J19" s="244" t="s">
        <v>139</v>
      </c>
      <c r="K19" s="245"/>
      <c r="L19" s="245"/>
      <c r="M19" s="245"/>
      <c r="N19" s="246"/>
      <c r="O19" s="191"/>
      <c r="P19" s="151" t="s">
        <v>87</v>
      </c>
      <c r="Q19" s="152" t="s">
        <v>97</v>
      </c>
      <c r="R19" s="152"/>
      <c r="S19" s="153"/>
    </row>
    <row r="20" spans="1:19" ht="19" thickBot="1">
      <c r="A20" s="112"/>
      <c r="B20" s="170">
        <v>-1</v>
      </c>
      <c r="C20" s="300" t="s">
        <v>111</v>
      </c>
      <c r="D20" s="301"/>
      <c r="E20" s="301"/>
      <c r="F20" s="302"/>
      <c r="G20" s="112"/>
      <c r="H20" s="193" t="s">
        <v>125</v>
      </c>
      <c r="I20" s="121" t="b">
        <v>0</v>
      </c>
      <c r="J20" s="251" t="s">
        <v>183</v>
      </c>
      <c r="K20" s="252"/>
      <c r="L20" s="252"/>
      <c r="M20" s="252"/>
      <c r="N20" s="253"/>
      <c r="O20" s="191"/>
      <c r="P20" s="154"/>
      <c r="Q20" s="155"/>
      <c r="R20" s="155"/>
      <c r="S20" s="156"/>
    </row>
    <row r="21" spans="1:19" ht="20" thickTop="1" thickBot="1">
      <c r="A21" s="112"/>
      <c r="B21" s="171">
        <v>30</v>
      </c>
      <c r="C21" s="238" t="s">
        <v>112</v>
      </c>
      <c r="D21" s="239"/>
      <c r="E21" s="239"/>
      <c r="F21" s="240"/>
      <c r="G21" s="112"/>
      <c r="H21" s="193" t="s">
        <v>189</v>
      </c>
      <c r="I21" s="122">
        <v>1</v>
      </c>
      <c r="J21" s="251" t="s">
        <v>190</v>
      </c>
      <c r="K21" s="252"/>
      <c r="L21" s="252"/>
      <c r="M21" s="252"/>
      <c r="N21" s="253"/>
      <c r="O21" s="191"/>
      <c r="P21" s="172"/>
      <c r="Q21" s="172"/>
      <c r="R21" s="172"/>
      <c r="S21" s="173"/>
    </row>
    <row r="22" spans="1:19" ht="17" thickTop="1" thickBot="1">
      <c r="A22" s="112"/>
      <c r="B22" s="112"/>
      <c r="C22" s="112"/>
      <c r="E22" s="112"/>
      <c r="F22" s="112"/>
      <c r="G22" s="112"/>
      <c r="H22" s="194" t="s">
        <v>193</v>
      </c>
      <c r="I22" s="58">
        <v>0</v>
      </c>
      <c r="J22" s="254" t="s">
        <v>191</v>
      </c>
      <c r="K22" s="255"/>
      <c r="L22" s="255"/>
      <c r="M22" s="255"/>
      <c r="N22" s="256"/>
      <c r="O22" s="191"/>
      <c r="P22" s="172"/>
      <c r="Q22" s="172"/>
      <c r="R22" s="172"/>
      <c r="S22" s="173"/>
    </row>
    <row r="23" spans="1:19" ht="16" thickTop="1">
      <c r="A23" s="32" t="s">
        <v>107</v>
      </c>
      <c r="B23" s="32" t="s">
        <v>70</v>
      </c>
      <c r="C23" s="32" t="s">
        <v>30</v>
      </c>
      <c r="D23" s="33" t="s">
        <v>136</v>
      </c>
      <c r="E23" s="32" t="s">
        <v>110</v>
      </c>
      <c r="F23" s="32" t="s">
        <v>127</v>
      </c>
      <c r="G23" s="32" t="s">
        <v>128</v>
      </c>
      <c r="H23" s="34" t="s">
        <v>32</v>
      </c>
      <c r="I23" s="35" t="s">
        <v>33</v>
      </c>
      <c r="J23" s="35" t="s">
        <v>34</v>
      </c>
      <c r="K23" s="35" t="s">
        <v>35</v>
      </c>
      <c r="L23" s="35" t="s">
        <v>36</v>
      </c>
      <c r="M23" s="35" t="s">
        <v>37</v>
      </c>
      <c r="N23" s="35" t="s">
        <v>38</v>
      </c>
      <c r="O23" s="35" t="s">
        <v>39</v>
      </c>
      <c r="P23" s="35" t="s">
        <v>40</v>
      </c>
      <c r="Q23" s="35" t="s">
        <v>41</v>
      </c>
      <c r="R23" s="35" t="s">
        <v>42</v>
      </c>
      <c r="S23" s="36" t="s">
        <v>43</v>
      </c>
    </row>
    <row r="24" spans="1:19" ht="18">
      <c r="A24" s="37" t="s">
        <v>13</v>
      </c>
      <c r="B24" s="37" t="str">
        <f>VLOOKUP(ConstructionState[[#This Row],[Building or Upgrade]],Upgrades[],2,FALSE)</f>
        <v>Building</v>
      </c>
      <c r="C24" s="37" t="str">
        <f>VLOOKUP(ConstructionState[Building or Upgrade],Upgrades[],3,FALSE)</f>
        <v>Gold</v>
      </c>
      <c r="D24" s="38" t="str">
        <f>IF(COUNTIF(Skips,ConstructionState[[#This Row],[Building or Upgrade]]),"IGNORE",ConstructionState[Kind]&amp;"-"&amp;ConstructionState[Resource])</f>
        <v>Building-Gold</v>
      </c>
      <c r="E24" s="39">
        <f ca="1">IF(AND(ConstructionState[[#This Row],[Kind]]="Upgrade",LabLevel=0),0,VLOOKUP(ConstructionState[Building or Upgrade],QuantAvail[],1+IF(ConstructionState[[#This Row],[Kind]]="Upgrade",LabLevel,THLevel),FALSE))</f>
        <v>1</v>
      </c>
      <c r="F24" s="39">
        <f ca="1">IF(AND(ConstructionState[[#This Row],[Kind]]="Upgrade",LabLevel=0),0,VLOOKUP(ConstructionState[Building or Upgrade],MaxLevel[],1+IF(ConstructionState[[#This Row],[Kind]]="Upgrade",LabLevel,THLevel),FALSE))</f>
        <v>8</v>
      </c>
      <c r="G24" s="39">
        <f ca="1">ConstructionState[[#This Row],[Available]]-SUM(ConstructionState[[#This Row],[1]:[12]])</f>
        <v>0</v>
      </c>
      <c r="H24" s="1"/>
      <c r="I24" s="2"/>
      <c r="J24" s="2"/>
      <c r="K24" s="2"/>
      <c r="L24" s="2"/>
      <c r="M24" s="2"/>
      <c r="N24" s="2">
        <v>1</v>
      </c>
      <c r="O24" s="2"/>
      <c r="P24" s="2"/>
      <c r="Q24" s="2"/>
      <c r="R24" s="2"/>
      <c r="S24" s="3"/>
    </row>
    <row r="25" spans="1:19" ht="18">
      <c r="A25" s="37" t="s">
        <v>20</v>
      </c>
      <c r="B25" s="37" t="str">
        <f>VLOOKUP(ConstructionState[[#This Row],[Building or Upgrade]],Upgrades[],2,FALSE)</f>
        <v>Building</v>
      </c>
      <c r="C25" s="37" t="str">
        <f>VLOOKUP(ConstructionState[Building or Upgrade],Upgrades[],3,FALSE)</f>
        <v>Elixir</v>
      </c>
      <c r="D25" s="38" t="str">
        <f>IF(COUNTIF(Skips,ConstructionState[[#This Row],[Building or Upgrade]]),"IGNORE",ConstructionState[Kind]&amp;"-"&amp;ConstructionState[Resource])</f>
        <v>Building-Elixir</v>
      </c>
      <c r="E25" s="39">
        <f ca="1">IF(AND(ConstructionState[[#This Row],[Kind]]="Upgrade",LabLevel=0),0,VLOOKUP(ConstructionState[Building or Upgrade],QuantAvail[],1+IF(ConstructionState[[#This Row],[Kind]]="Upgrade",LabLevel,THLevel),FALSE))</f>
        <v>1</v>
      </c>
      <c r="F25" s="39">
        <f ca="1">IF(AND(ConstructionState[[#This Row],[Kind]]="Upgrade",LabLevel=0),0,VLOOKUP(ConstructionState[Building or Upgrade],MaxLevel[],1+IF(ConstructionState[[#This Row],[Kind]]="Upgrade",LabLevel,THLevel),FALSE))</f>
        <v>5</v>
      </c>
      <c r="G25" s="39">
        <f ca="1">ConstructionState[[#This Row],[Available]]-SUM(ConstructionState[[#This Row],[1]:[12]])</f>
        <v>0</v>
      </c>
      <c r="H25" s="1"/>
      <c r="I25" s="4"/>
      <c r="J25" s="2"/>
      <c r="K25" s="2"/>
      <c r="L25" s="2">
        <v>1</v>
      </c>
      <c r="M25" s="2"/>
      <c r="N25" s="2"/>
      <c r="O25" s="2"/>
      <c r="P25" s="2"/>
      <c r="Q25" s="2"/>
      <c r="R25" s="2"/>
      <c r="S25" s="3"/>
    </row>
    <row r="26" spans="1:19" ht="18">
      <c r="A26" s="37" t="s">
        <v>2</v>
      </c>
      <c r="B26" s="41" t="str">
        <f>VLOOKUP(ConstructionState[[#This Row],[Building or Upgrade]],Upgrades[],2,FALSE)</f>
        <v>Building</v>
      </c>
      <c r="C26" s="41" t="str">
        <f>VLOOKUP(ConstructionState[Building or Upgrade],Upgrades[],3,FALSE)</f>
        <v>Elixir</v>
      </c>
      <c r="D26" s="42" t="str">
        <f>IF(COUNTIF(Skips,ConstructionState[[#This Row],[Building or Upgrade]]),"IGNORE",ConstructionState[Kind]&amp;"-"&amp;ConstructionState[Resource])</f>
        <v>Building-Elixir</v>
      </c>
      <c r="E26" s="43">
        <f ca="1">IF(AND(ConstructionState[[#This Row],[Kind]]="Upgrade",LabLevel=0),0,VLOOKUP(ConstructionState[Building or Upgrade],QuantAvail[],1+IF(ConstructionState[[#This Row],[Kind]]="Upgrade",LabLevel,THLevel),FALSE))</f>
        <v>4</v>
      </c>
      <c r="F26" s="43">
        <f ca="1">IF(AND(ConstructionState[[#This Row],[Kind]]="Upgrade",LabLevel=0),0,VLOOKUP(ConstructionState[Building or Upgrade],MaxLevel[],1+IF(ConstructionState[[#This Row],[Kind]]="Upgrade",LabLevel,THLevel),FALSE))</f>
        <v>9</v>
      </c>
      <c r="G26" s="43">
        <f ca="1">ConstructionState[[#This Row],[Available]]-SUM(ConstructionState[[#This Row],[1]:[12]])</f>
        <v>0</v>
      </c>
      <c r="H26" s="5"/>
      <c r="I26" s="4"/>
      <c r="J26" s="2"/>
      <c r="K26" s="2"/>
      <c r="L26" s="2"/>
      <c r="M26" s="2"/>
      <c r="N26" s="2"/>
      <c r="O26" s="2">
        <v>3</v>
      </c>
      <c r="P26" s="4">
        <v>1</v>
      </c>
      <c r="Q26" s="2"/>
      <c r="R26" s="2"/>
      <c r="S26" s="3"/>
    </row>
    <row r="27" spans="1:19" ht="18">
      <c r="A27" s="37" t="s">
        <v>244</v>
      </c>
      <c r="B27" s="41" t="str">
        <f>VLOOKUP(ConstructionState[[#This Row],[Building or Upgrade]],Upgrades[],2,FALSE)</f>
        <v>Building</v>
      </c>
      <c r="C27" s="41" t="str">
        <f>VLOOKUP(ConstructionState[Building or Upgrade],Upgrades[],3,FALSE)</f>
        <v>Elixir</v>
      </c>
      <c r="D27" s="42" t="str">
        <f>IF(COUNTIF(Skips,ConstructionState[[#This Row],[Building or Upgrade]]),"IGNORE",ConstructionState[Kind]&amp;"-"&amp;ConstructionState[Resource])</f>
        <v>Building-Elixir</v>
      </c>
      <c r="E27" s="43">
        <f ca="1">IF(AND(ConstructionState[[#This Row],[Kind]]="Upgrade",LabLevel=0),0,VLOOKUP(ConstructionState[Building or Upgrade],QuantAvail[],1+IF(ConstructionState[[#This Row],[Kind]]="Upgrade",LabLevel,THLevel),FALSE))</f>
        <v>4</v>
      </c>
      <c r="F27" s="43">
        <f ca="1">IF(AND(ConstructionState[[#This Row],[Kind]]="Upgrade",LabLevel=0),0,VLOOKUP(ConstructionState[Building or Upgrade],MaxLevel[],1+IF(ConstructionState[[#This Row],[Kind]]="Upgrade",LabLevel,THLevel),FALSE))</f>
        <v>6</v>
      </c>
      <c r="G27" s="43">
        <f ca="1">ConstructionState[[#This Row],[Available]]-SUM(ConstructionState[[#This Row],[1]:[12]])</f>
        <v>0</v>
      </c>
      <c r="H27" s="5"/>
      <c r="I27" s="4"/>
      <c r="J27" s="2"/>
      <c r="K27" s="2"/>
      <c r="L27" s="2"/>
      <c r="M27" s="2">
        <v>4</v>
      </c>
      <c r="N27" s="2"/>
      <c r="O27" s="2"/>
      <c r="P27" s="4"/>
      <c r="Q27" s="2"/>
      <c r="R27" s="2"/>
      <c r="S27" s="3"/>
    </row>
    <row r="28" spans="1:19" ht="18">
      <c r="A28" s="37" t="s">
        <v>15</v>
      </c>
      <c r="B28" s="37" t="str">
        <f>VLOOKUP(ConstructionState[[#This Row],[Building or Upgrade]],Upgrades[],2,FALSE)</f>
        <v>Building</v>
      </c>
      <c r="C28" s="37" t="str">
        <f>VLOOKUP(ConstructionState[Building or Upgrade],Upgrades[],3,FALSE)</f>
        <v>Elixir</v>
      </c>
      <c r="D28" s="38" t="str">
        <f>IF(COUNTIF(Skips,ConstructionState[[#This Row],[Building or Upgrade]]),"IGNORE",ConstructionState[Kind]&amp;"-"&amp;ConstructionState[Resource])</f>
        <v>Building-Elixir</v>
      </c>
      <c r="E28" s="39">
        <f ca="1">IF(AND(ConstructionState[[#This Row],[Kind]]="Upgrade",LabLevel=0),0,VLOOKUP(ConstructionState[Building or Upgrade],QuantAvail[],1+IF(ConstructionState[[#This Row],[Kind]]="Upgrade",LabLevel,THLevel),FALSE))</f>
        <v>6</v>
      </c>
      <c r="F28" s="39">
        <f ca="1">IF(AND(ConstructionState[[#This Row],[Kind]]="Upgrade",LabLevel=0),0,VLOOKUP(ConstructionState[Building or Upgrade],MaxLevel[],1+IF(ConstructionState[[#This Row],[Kind]]="Upgrade",LabLevel,THLevel),FALSE))</f>
        <v>11</v>
      </c>
      <c r="G28" s="39">
        <f ca="1">ConstructionState[[#This Row],[Available]]-SUM(ConstructionState[[#This Row],[1]:[12]])</f>
        <v>0</v>
      </c>
      <c r="H28" s="1"/>
      <c r="I28" s="4"/>
      <c r="J28" s="2"/>
      <c r="K28" s="2"/>
      <c r="L28" s="2"/>
      <c r="M28" s="2"/>
      <c r="N28" s="2"/>
      <c r="O28" s="2"/>
      <c r="P28" s="2"/>
      <c r="Q28" s="2"/>
      <c r="R28" s="2">
        <v>6</v>
      </c>
      <c r="S28" s="3"/>
    </row>
    <row r="29" spans="1:19" ht="18">
      <c r="A29" s="37" t="s">
        <v>16</v>
      </c>
      <c r="B29" s="37" t="str">
        <f>VLOOKUP(ConstructionState[[#This Row],[Building or Upgrade]],Upgrades[],2,FALSE)</f>
        <v>Building</v>
      </c>
      <c r="C29" s="37" t="str">
        <f>VLOOKUP(ConstructionState[Building or Upgrade],Upgrades[],3,FALSE)</f>
        <v>Gold</v>
      </c>
      <c r="D29" s="38" t="str">
        <f>IF(COUNTIF(Skips,ConstructionState[[#This Row],[Building or Upgrade]]),"IGNORE",ConstructionState[Kind]&amp;"-"&amp;ConstructionState[Resource])</f>
        <v>Building-Gold</v>
      </c>
      <c r="E29" s="39">
        <f ca="1">IF(AND(ConstructionState[[#This Row],[Kind]]="Upgrade",LabLevel=0),0,VLOOKUP(ConstructionState[Building or Upgrade],QuantAvail[],1+IF(ConstructionState[[#This Row],[Kind]]="Upgrade",LabLevel,THLevel),FALSE))</f>
        <v>6</v>
      </c>
      <c r="F29" s="39">
        <f ca="1">IF(AND(ConstructionState[[#This Row],[Kind]]="Upgrade",LabLevel=0),0,VLOOKUP(ConstructionState[Building or Upgrade],MaxLevel[],1+IF(ConstructionState[[#This Row],[Kind]]="Upgrade",LabLevel,THLevel),FALSE))</f>
        <v>11</v>
      </c>
      <c r="G29" s="39">
        <f ca="1">ConstructionState[[#This Row],[Available]]-SUM(ConstructionState[[#This Row],[1]:[12]])</f>
        <v>0</v>
      </c>
      <c r="H29" s="1"/>
      <c r="I29" s="2"/>
      <c r="J29" s="2"/>
      <c r="K29" s="2"/>
      <c r="L29" s="2"/>
      <c r="M29" s="2"/>
      <c r="N29" s="2"/>
      <c r="O29" s="2"/>
      <c r="P29" s="2"/>
      <c r="Q29" s="2"/>
      <c r="R29" s="2">
        <v>6</v>
      </c>
      <c r="S29" s="3"/>
    </row>
    <row r="30" spans="1:19" ht="18">
      <c r="A30" s="37" t="s">
        <v>17</v>
      </c>
      <c r="B30" s="37" t="str">
        <f>VLOOKUP(ConstructionState[[#This Row],[Building or Upgrade]],Upgrades[],2,FALSE)</f>
        <v>Building</v>
      </c>
      <c r="C30" s="37" t="str">
        <f>VLOOKUP(ConstructionState[Building or Upgrade],Upgrades[],3,FALSE)</f>
        <v>Elixir</v>
      </c>
      <c r="D30" s="38" t="str">
        <f>IF(COUNTIF(Skips,ConstructionState[[#This Row],[Building or Upgrade]]),"IGNORE",ConstructionState[Kind]&amp;"-"&amp;ConstructionState[Resource])</f>
        <v>Building-Elixir</v>
      </c>
      <c r="E30" s="39">
        <f ca="1">IF(AND(ConstructionState[[#This Row],[Kind]]="Upgrade",LabLevel=0),0,VLOOKUP(ConstructionState[Building or Upgrade],QuantAvail[],1+IF(ConstructionState[[#This Row],[Kind]]="Upgrade",LabLevel,THLevel),FALSE))</f>
        <v>0</v>
      </c>
      <c r="F30" s="39">
        <f ca="1">IF(AND(ConstructionState[[#This Row],[Kind]]="Upgrade",LabLevel=0),0,VLOOKUP(ConstructionState[Building or Upgrade],MaxLevel[],1+IF(ConstructionState[[#This Row],[Kind]]="Upgrade",LabLevel,THLevel),FALSE))</f>
        <v>0</v>
      </c>
      <c r="G30" s="39">
        <f ca="1">ConstructionState[[#This Row],[Available]]-SUM(ConstructionState[[#This Row],[1]:[12]])</f>
        <v>0</v>
      </c>
      <c r="H30" s="1"/>
      <c r="I30" s="2"/>
      <c r="J30" s="2"/>
      <c r="K30" s="2"/>
      <c r="L30" s="2"/>
      <c r="M30" s="2"/>
      <c r="N30" s="2"/>
      <c r="O30" s="2"/>
      <c r="P30" s="2"/>
      <c r="Q30" s="2"/>
      <c r="R30" s="2"/>
      <c r="S30" s="3"/>
    </row>
    <row r="31" spans="1:19" ht="18">
      <c r="A31" s="37" t="s">
        <v>3</v>
      </c>
      <c r="B31" s="37" t="str">
        <f>VLOOKUP(ConstructionState[[#This Row],[Building or Upgrade]],Upgrades[],2,FALSE)</f>
        <v>Building</v>
      </c>
      <c r="C31" s="37" t="str">
        <f>VLOOKUP(ConstructionState[Building or Upgrade],Upgrades[],3,FALSE)</f>
        <v>Elixir</v>
      </c>
      <c r="D31" s="38" t="str">
        <f>IF(COUNTIF(Skips,ConstructionState[[#This Row],[Building or Upgrade]]),"IGNORE",ConstructionState[Kind]&amp;"-"&amp;ConstructionState[Resource])</f>
        <v>Building-Elixir</v>
      </c>
      <c r="E31" s="39">
        <f ca="1">IF(AND(ConstructionState[[#This Row],[Kind]]="Upgrade",LabLevel=0),0,VLOOKUP(ConstructionState[Building or Upgrade],QuantAvail[],1+IF(ConstructionState[[#This Row],[Kind]]="Upgrade",LabLevel,THLevel),FALSE))</f>
        <v>2</v>
      </c>
      <c r="F31" s="39">
        <f ca="1">IF(AND(ConstructionState[[#This Row],[Kind]]="Upgrade",LabLevel=0),0,VLOOKUP(ConstructionState[Building or Upgrade],MaxLevel[],1+IF(ConstructionState[[#This Row],[Kind]]="Upgrade",LabLevel,THLevel),FALSE))</f>
        <v>11</v>
      </c>
      <c r="G31" s="39">
        <f ca="1">ConstructionState[[#This Row],[Available]]-SUM(ConstructionState[[#This Row],[1]:[12]])</f>
        <v>0</v>
      </c>
      <c r="H31" s="1"/>
      <c r="I31" s="2"/>
      <c r="J31" s="2"/>
      <c r="K31" s="2"/>
      <c r="L31" s="2"/>
      <c r="M31" s="2"/>
      <c r="N31" s="2"/>
      <c r="O31" s="2"/>
      <c r="P31" s="2"/>
      <c r="Q31" s="2"/>
      <c r="R31" s="2">
        <v>2</v>
      </c>
      <c r="S31" s="3"/>
    </row>
    <row r="32" spans="1:19" ht="18">
      <c r="A32" s="37" t="s">
        <v>4</v>
      </c>
      <c r="B32" s="37" t="str">
        <f>VLOOKUP(ConstructionState[[#This Row],[Building or Upgrade]],Upgrades[],2,FALSE)</f>
        <v>Building</v>
      </c>
      <c r="C32" s="37" t="str">
        <f>VLOOKUP(ConstructionState[Building or Upgrade],Upgrades[],3,FALSE)</f>
        <v>Gold</v>
      </c>
      <c r="D32" s="38" t="str">
        <f>IF(COUNTIF(Skips,ConstructionState[[#This Row],[Building or Upgrade]]),"IGNORE",ConstructionState[Kind]&amp;"-"&amp;ConstructionState[Resource])</f>
        <v>Building-Gold</v>
      </c>
      <c r="E32" s="39">
        <f ca="1">IF(AND(ConstructionState[[#This Row],[Kind]]="Upgrade",LabLevel=0),0,VLOOKUP(ConstructionState[Building or Upgrade],QuantAvail[],1+IF(ConstructionState[[#This Row],[Kind]]="Upgrade",LabLevel,THLevel),FALSE))</f>
        <v>2</v>
      </c>
      <c r="F32" s="39">
        <f ca="1">IF(AND(ConstructionState[[#This Row],[Kind]]="Upgrade",LabLevel=0),0,VLOOKUP(ConstructionState[Building or Upgrade],MaxLevel[],1+IF(ConstructionState[[#This Row],[Kind]]="Upgrade",LabLevel,THLevel),FALSE))</f>
        <v>11</v>
      </c>
      <c r="G32" s="39">
        <f ca="1">ConstructionState[[#This Row],[Available]]-SUM(ConstructionState[[#This Row],[1]:[12]])</f>
        <v>0</v>
      </c>
      <c r="H32" s="1"/>
      <c r="I32" s="2"/>
      <c r="J32" s="2"/>
      <c r="K32" s="2"/>
      <c r="L32" s="2"/>
      <c r="M32" s="2"/>
      <c r="N32" s="2"/>
      <c r="O32" s="2"/>
      <c r="P32" s="2"/>
      <c r="Q32" s="2"/>
      <c r="R32" s="2">
        <v>2</v>
      </c>
      <c r="S32" s="3"/>
    </row>
    <row r="33" spans="1:20" ht="18">
      <c r="A33" s="37" t="s">
        <v>18</v>
      </c>
      <c r="B33" s="37" t="str">
        <f>VLOOKUP(ConstructionState[[#This Row],[Building or Upgrade]],Upgrades[],2,FALSE)</f>
        <v>Building</v>
      </c>
      <c r="C33" s="37" t="str">
        <f>VLOOKUP(ConstructionState[Building or Upgrade],Upgrades[],3,FALSE)</f>
        <v>Elixir</v>
      </c>
      <c r="D33" s="38" t="str">
        <f>IF(COUNTIF(Skips,ConstructionState[[#This Row],[Building or Upgrade]]),"IGNORE",ConstructionState[Kind]&amp;"-"&amp;ConstructionState[Resource])</f>
        <v>Building-Elixir</v>
      </c>
      <c r="E33" s="39">
        <f ca="1">IF(AND(ConstructionState[[#This Row],[Kind]]="Upgrade",LabLevel=0),0,VLOOKUP(ConstructionState[Building or Upgrade],QuantAvail[],1+IF(ConstructionState[[#This Row],[Kind]]="Upgrade",LabLevel,THLevel),FALSE))</f>
        <v>1</v>
      </c>
      <c r="F33" s="39">
        <f ca="1">IF(AND(ConstructionState[[#This Row],[Kind]]="Upgrade",LabLevel=0),0,VLOOKUP(ConstructionState[Building or Upgrade],MaxLevel[],1+IF(ConstructionState[[#This Row],[Kind]]="Upgrade",LabLevel,THLevel),FALSE))</f>
        <v>2</v>
      </c>
      <c r="G33" s="39">
        <f ca="1">ConstructionState[[#This Row],[Available]]-SUM(ConstructionState[[#This Row],[1]:[12]])</f>
        <v>0</v>
      </c>
      <c r="H33" s="1"/>
      <c r="I33" s="2">
        <v>1</v>
      </c>
      <c r="J33" s="2"/>
      <c r="K33" s="2"/>
      <c r="L33" s="2"/>
      <c r="M33" s="2"/>
      <c r="N33" s="2"/>
      <c r="O33" s="2"/>
      <c r="P33" s="2"/>
      <c r="Q33" s="2"/>
      <c r="R33" s="2"/>
      <c r="S33" s="3"/>
    </row>
    <row r="34" spans="1:20" ht="18">
      <c r="A34" s="37" t="s">
        <v>19</v>
      </c>
      <c r="B34" s="37" t="str">
        <f>VLOOKUP(ConstructionState[[#This Row],[Building or Upgrade]],Upgrades[],2,FALSE)</f>
        <v>Building</v>
      </c>
      <c r="C34" s="37" t="str">
        <f>VLOOKUP(ConstructionState[Building or Upgrade],Upgrades[],3,FALSE)</f>
        <v>Elixir</v>
      </c>
      <c r="D34" s="38" t="str">
        <f>IF(COUNTIF(Skips,ConstructionState[[#This Row],[Building or Upgrade]]),"IGNORE",ConstructionState[Kind]&amp;"-"&amp;ConstructionState[Resource])</f>
        <v>Building-Elixir</v>
      </c>
      <c r="E34" s="39">
        <f ca="1">IF(AND(ConstructionState[[#This Row],[Kind]]="Upgrade",LabLevel=0),0,VLOOKUP(ConstructionState[Building or Upgrade],QuantAvail[],1+IF(ConstructionState[[#This Row],[Kind]]="Upgrade",LabLevel,THLevel),FALSE))</f>
        <v>1</v>
      </c>
      <c r="F34" s="39">
        <f ca="1">IF(AND(ConstructionState[[#This Row],[Kind]]="Upgrade",LabLevel=0),0,VLOOKUP(ConstructionState[Building or Upgrade],MaxLevel[],1+IF(ConstructionState[[#This Row],[Kind]]="Upgrade",LabLevel,THLevel),FALSE))</f>
        <v>2</v>
      </c>
      <c r="G34" s="39">
        <f ca="1">ConstructionState[[#This Row],[Available]]-SUM(ConstructionState[[#This Row],[1]:[12]])</f>
        <v>0</v>
      </c>
      <c r="H34" s="1"/>
      <c r="I34" s="2">
        <v>1</v>
      </c>
      <c r="J34" s="2"/>
      <c r="K34" s="2"/>
      <c r="L34" s="2"/>
      <c r="M34" s="2"/>
      <c r="N34" s="2"/>
      <c r="O34" s="2"/>
      <c r="P34" s="2"/>
      <c r="Q34" s="2"/>
      <c r="R34" s="2"/>
      <c r="S34" s="3"/>
      <c r="T34" s="212"/>
    </row>
    <row r="35" spans="1:20" ht="18">
      <c r="A35" s="37" t="s">
        <v>21</v>
      </c>
      <c r="B35" s="37" t="str">
        <f>VLOOKUP(ConstructionState[[#This Row],[Building or Upgrade]],Upgrades[],2,FALSE)</f>
        <v>Building</v>
      </c>
      <c r="C35" s="37" t="str">
        <f>VLOOKUP(ConstructionState[Building or Upgrade],Upgrades[],3,FALSE)</f>
        <v>Elixir</v>
      </c>
      <c r="D35" s="38" t="str">
        <f>IF(COUNTIF(Skips,ConstructionState[[#This Row],[Building or Upgrade]]),"IGNORE",ConstructionState[Kind]&amp;"-"&amp;ConstructionState[Resource])</f>
        <v>Building-Elixir</v>
      </c>
      <c r="E35" s="39">
        <f ca="1">IF(AND(ConstructionState[[#This Row],[Kind]]="Upgrade",LabLevel=0),0,VLOOKUP(ConstructionState[Building or Upgrade],QuantAvail[],1+IF(ConstructionState[[#This Row],[Kind]]="Upgrade",LabLevel,THLevel),FALSE))</f>
        <v>1</v>
      </c>
      <c r="F35" s="39">
        <f ca="1">IF(AND(ConstructionState[[#This Row],[Kind]]="Upgrade",LabLevel=0),0,VLOOKUP(ConstructionState[Building or Upgrade],MaxLevel[],1+IF(ConstructionState[[#This Row],[Kind]]="Upgrade",LabLevel,THLevel),FALSE))</f>
        <v>3</v>
      </c>
      <c r="G35" s="39">
        <f ca="1">ConstructionState[[#This Row],[Available]]-SUM(ConstructionState[[#This Row],[1]:[12]])</f>
        <v>0</v>
      </c>
      <c r="H35" s="1"/>
      <c r="I35" s="2"/>
      <c r="J35" s="2">
        <v>1</v>
      </c>
      <c r="K35" s="2"/>
      <c r="L35" s="2"/>
      <c r="M35" s="2"/>
      <c r="N35" s="2"/>
      <c r="O35" s="2"/>
      <c r="P35" s="2"/>
      <c r="Q35" s="2"/>
      <c r="R35" s="2"/>
      <c r="S35" s="3"/>
    </row>
    <row r="36" spans="1:20" ht="18">
      <c r="A36" s="37" t="s">
        <v>5</v>
      </c>
      <c r="B36" s="37" t="str">
        <f>VLOOKUP(ConstructionState[[#This Row],[Building or Upgrade]],Upgrades[],2,FALSE)</f>
        <v>Building</v>
      </c>
      <c r="C36" s="37" t="str">
        <f>VLOOKUP(ConstructionState[Building or Upgrade],Upgrades[],3,FALSE)</f>
        <v>Gold</v>
      </c>
      <c r="D36" s="38" t="str">
        <f>IF(COUNTIF(Skips,ConstructionState[[#This Row],[Building or Upgrade]]),"IGNORE",ConstructionState[Kind]&amp;"-"&amp;ConstructionState[Resource])</f>
        <v>Building-Gold</v>
      </c>
      <c r="E36" s="39">
        <f ca="1">IF(AND(ConstructionState[[#This Row],[Kind]]="Upgrade",LabLevel=0),0,VLOOKUP(ConstructionState[Building or Upgrade],QuantAvail[],1+IF(ConstructionState[[#This Row],[Kind]]="Upgrade",LabLevel,THLevel),FALSE))</f>
        <v>1</v>
      </c>
      <c r="F36" s="39">
        <f ca="1">IF(AND(ConstructionState[[#This Row],[Kind]]="Upgrade",LabLevel=0),0,VLOOKUP(ConstructionState[Building or Upgrade],MaxLevel[],1+IF(ConstructionState[[#This Row],[Kind]]="Upgrade",LabLevel,THLevel),FALSE))</f>
        <v>3</v>
      </c>
      <c r="G36" s="39">
        <f ca="1">ConstructionState[[#This Row],[Available]]-SUM(ConstructionState[[#This Row],[1]:[12]])</f>
        <v>0</v>
      </c>
      <c r="H36" s="1"/>
      <c r="I36" s="2"/>
      <c r="J36" s="2">
        <v>1</v>
      </c>
      <c r="K36" s="2"/>
      <c r="L36" s="2"/>
      <c r="M36" s="2"/>
      <c r="N36" s="2"/>
      <c r="O36" s="2"/>
      <c r="P36" s="2"/>
      <c r="Q36" s="2"/>
      <c r="R36" s="2"/>
      <c r="S36" s="3"/>
    </row>
    <row r="37" spans="1:20" ht="18">
      <c r="A37" s="37" t="s">
        <v>6</v>
      </c>
      <c r="B37" s="37" t="str">
        <f>VLOOKUP(ConstructionState[[#This Row],[Building or Upgrade]],Upgrades[],2,FALSE)</f>
        <v>Building</v>
      </c>
      <c r="C37" s="37" t="str">
        <f>VLOOKUP(ConstructionState[Building or Upgrade],Upgrades[],3,FALSE)</f>
        <v>Gold</v>
      </c>
      <c r="D37" s="38" t="str">
        <f>IF(COUNTIF(Skips,ConstructionState[[#This Row],[Building or Upgrade]]),"IGNORE",ConstructionState[Kind]&amp;"-"&amp;ConstructionState[Resource])</f>
        <v>Building-Gold</v>
      </c>
      <c r="E37" s="39">
        <f ca="1">IF(AND(ConstructionState[[#This Row],[Kind]]="Upgrade",LabLevel=0),0,VLOOKUP(ConstructionState[Building or Upgrade],QuantAvail[],1+IF(ConstructionState[[#This Row],[Kind]]="Upgrade",LabLevel,THLevel),FALSE))</f>
        <v>5</v>
      </c>
      <c r="F37" s="39">
        <f ca="1">IF(AND(ConstructionState[[#This Row],[Kind]]="Upgrade",LabLevel=0),0,VLOOKUP(ConstructionState[Building or Upgrade],MaxLevel[],1+IF(ConstructionState[[#This Row],[Kind]]="Upgrade",LabLevel,THLevel),FALSE))</f>
        <v>8</v>
      </c>
      <c r="G37" s="39">
        <f ca="1">ConstructionState[[#This Row],[Available]]-SUM(ConstructionState[[#This Row],[1]:[12]])</f>
        <v>0</v>
      </c>
      <c r="H37" s="1"/>
      <c r="I37" s="2"/>
      <c r="J37" s="2"/>
      <c r="K37" s="2"/>
      <c r="L37" s="2"/>
      <c r="M37" s="2"/>
      <c r="N37" s="2"/>
      <c r="O37" s="2">
        <v>5</v>
      </c>
      <c r="P37" s="2"/>
      <c r="Q37" s="2"/>
      <c r="R37" s="2"/>
      <c r="S37" s="3"/>
    </row>
    <row r="38" spans="1:20" ht="18">
      <c r="A38" s="37" t="s">
        <v>22</v>
      </c>
      <c r="B38" s="37" t="str">
        <f>VLOOKUP(ConstructionState[[#This Row],[Building or Upgrade]],Upgrades[],2,FALSE)</f>
        <v>Building</v>
      </c>
      <c r="C38" s="37" t="str">
        <f>VLOOKUP(ConstructionState[Building or Upgrade],Upgrades[],3,FALSE)</f>
        <v>Gold</v>
      </c>
      <c r="D38" s="38" t="str">
        <f>IF(COUNTIF(Skips,ConstructionState[[#This Row],[Building or Upgrade]]),"IGNORE",ConstructionState[Kind]&amp;"-"&amp;ConstructionState[Resource])</f>
        <v>Building-Gold</v>
      </c>
      <c r="E38" s="39">
        <f ca="1">IF(AND(ConstructionState[[#This Row],[Kind]]="Upgrade",LabLevel=0),0,VLOOKUP(ConstructionState[Building or Upgrade],QuantAvail[],1+IF(ConstructionState[[#This Row],[Kind]]="Upgrade",LabLevel,THLevel),FALSE))</f>
        <v>4</v>
      </c>
      <c r="F38" s="39">
        <f ca="1">IF(AND(ConstructionState[[#This Row],[Kind]]="Upgrade",LabLevel=0),0,VLOOKUP(ConstructionState[Building or Upgrade],MaxLevel[],1+IF(ConstructionState[[#This Row],[Kind]]="Upgrade",LabLevel,THLevel),FALSE))</f>
        <v>8</v>
      </c>
      <c r="G38" s="39">
        <f ca="1">ConstructionState[[#This Row],[Available]]-SUM(ConstructionState[[#This Row],[1]:[12]])</f>
        <v>0</v>
      </c>
      <c r="H38" s="1"/>
      <c r="I38" s="2"/>
      <c r="J38" s="2"/>
      <c r="K38" s="2"/>
      <c r="L38" s="2"/>
      <c r="M38" s="2"/>
      <c r="N38" s="2"/>
      <c r="O38" s="2">
        <v>4</v>
      </c>
      <c r="P38" s="2"/>
      <c r="Q38" s="2"/>
      <c r="R38" s="2"/>
      <c r="S38" s="3"/>
    </row>
    <row r="39" spans="1:20" ht="18">
      <c r="A39" s="37" t="s">
        <v>23</v>
      </c>
      <c r="B39" s="37" t="str">
        <f>VLOOKUP(ConstructionState[[#This Row],[Building or Upgrade]],Upgrades[],2,FALSE)</f>
        <v>Wall</v>
      </c>
      <c r="C39" s="37" t="str">
        <f>VLOOKUP(ConstructionState[Building or Upgrade],Upgrades[],3,FALSE)</f>
        <v>Gold</v>
      </c>
      <c r="D39" s="38" t="str">
        <f>IF(COUNTIF(Skips,ConstructionState[[#This Row],[Building or Upgrade]]),"IGNORE",ConstructionState[Kind]&amp;"-"&amp;ConstructionState[Resource])</f>
        <v>Wall-Gold</v>
      </c>
      <c r="E39" s="39">
        <f ca="1">IF(AND(ConstructionState[[#This Row],[Kind]]="Upgrade",LabLevel=0),0,VLOOKUP(ConstructionState[Building or Upgrade],QuantAvail[],1+IF(ConstructionState[[#This Row],[Kind]]="Upgrade",LabLevel,THLevel),FALSE))</f>
        <v>175</v>
      </c>
      <c r="F39" s="39">
        <f ca="1">IF(AND(ConstructionState[[#This Row],[Kind]]="Upgrade",LabLevel=0),0,VLOOKUP(ConstructionState[Building or Upgrade],MaxLevel[],1+IF(ConstructionState[[#This Row],[Kind]]="Upgrade",LabLevel,THLevel),FALSE))</f>
        <v>7</v>
      </c>
      <c r="G39" s="39">
        <f ca="1">ConstructionState[[#This Row],[Available]]-SUM(ConstructionState[[#This Row],[1]:[12]])</f>
        <v>0</v>
      </c>
      <c r="H39" s="1"/>
      <c r="I39" s="2"/>
      <c r="J39" s="2"/>
      <c r="K39" s="2"/>
      <c r="L39" s="2"/>
      <c r="M39" s="2">
        <v>123</v>
      </c>
      <c r="N39" s="2">
        <v>52</v>
      </c>
      <c r="O39" s="2"/>
      <c r="P39" s="2"/>
      <c r="Q39" s="2"/>
      <c r="R39" s="2"/>
      <c r="S39" s="3"/>
    </row>
    <row r="40" spans="1:20" ht="18">
      <c r="A40" s="37" t="s">
        <v>7</v>
      </c>
      <c r="B40" s="37" t="str">
        <f>VLOOKUP(ConstructionState[[#This Row],[Building or Upgrade]],Upgrades[],2,FALSE)</f>
        <v>Building</v>
      </c>
      <c r="C40" s="37" t="str">
        <f>VLOOKUP(ConstructionState[Building or Upgrade],Upgrades[],3,FALSE)</f>
        <v>Gold</v>
      </c>
      <c r="D40" s="38" t="str">
        <f>IF(COUNTIF(Skips,ConstructionState[[#This Row],[Building or Upgrade]]),"IGNORE",ConstructionState[Kind]&amp;"-"&amp;ConstructionState[Resource])</f>
        <v>Building-Gold</v>
      </c>
      <c r="E40" s="39">
        <f ca="1">IF(AND(ConstructionState[[#This Row],[Kind]]="Upgrade",LabLevel=0),0,VLOOKUP(ConstructionState[Building or Upgrade],QuantAvail[],1+IF(ConstructionState[[#This Row],[Kind]]="Upgrade",LabLevel,THLevel),FALSE))</f>
        <v>3</v>
      </c>
      <c r="F40" s="39">
        <f ca="1">IF(AND(ConstructionState[[#This Row],[Kind]]="Upgrade",LabLevel=0),0,VLOOKUP(ConstructionState[Building or Upgrade],MaxLevel[],1+IF(ConstructionState[[#This Row],[Kind]]="Upgrade",LabLevel,THLevel),FALSE))</f>
        <v>5</v>
      </c>
      <c r="G40" s="39">
        <f ca="1">ConstructionState[[#This Row],[Available]]-SUM(ConstructionState[[#This Row],[1]:[12]])</f>
        <v>0</v>
      </c>
      <c r="H40" s="1"/>
      <c r="I40" s="2"/>
      <c r="J40" s="2"/>
      <c r="K40" s="2"/>
      <c r="L40" s="2">
        <v>3</v>
      </c>
      <c r="M40" s="2"/>
      <c r="N40" s="2"/>
      <c r="O40" s="2"/>
      <c r="P40" s="2"/>
      <c r="Q40" s="2"/>
      <c r="R40" s="2"/>
      <c r="S40" s="3"/>
    </row>
    <row r="41" spans="1:20" ht="18">
      <c r="A41" s="37" t="s">
        <v>8</v>
      </c>
      <c r="B41" s="37" t="str">
        <f>VLOOKUP(ConstructionState[[#This Row],[Building or Upgrade]],Upgrades[],2,FALSE)</f>
        <v>Building</v>
      </c>
      <c r="C41" s="37" t="str">
        <f>VLOOKUP(ConstructionState[Building or Upgrade],Upgrades[],3,FALSE)</f>
        <v>Gold</v>
      </c>
      <c r="D41" s="38" t="str">
        <f>IF(COUNTIF(Skips,ConstructionState[[#This Row],[Building or Upgrade]]),"IGNORE",ConstructionState[Kind]&amp;"-"&amp;ConstructionState[Resource])</f>
        <v>Building-Gold</v>
      </c>
      <c r="E41" s="39">
        <f ca="1">IF(AND(ConstructionState[[#This Row],[Kind]]="Upgrade",LabLevel=0),0,VLOOKUP(ConstructionState[Building or Upgrade],QuantAvail[],1+IF(ConstructionState[[#This Row],[Kind]]="Upgrade",LabLevel,THLevel),FALSE))</f>
        <v>6</v>
      </c>
      <c r="F41" s="39">
        <f ca="1">IF(AND(ConstructionState[[#This Row],[Kind]]="Upgrade",LabLevel=0),0,VLOOKUP(ConstructionState[Building or Upgrade],MaxLevel[],1+IF(ConstructionState[[#This Row],[Kind]]="Upgrade",LabLevel,THLevel),FALSE))</f>
        <v>4</v>
      </c>
      <c r="G41" s="39">
        <f ca="1">ConstructionState[[#This Row],[Available]]-SUM(ConstructionState[[#This Row],[1]:[12]])</f>
        <v>0</v>
      </c>
      <c r="H41" s="1"/>
      <c r="I41" s="2"/>
      <c r="J41" s="2"/>
      <c r="K41" s="2">
        <v>6</v>
      </c>
      <c r="L41" s="2"/>
      <c r="M41" s="2"/>
      <c r="N41" s="2"/>
      <c r="O41" s="2"/>
      <c r="P41" s="2"/>
      <c r="Q41" s="2"/>
      <c r="R41" s="2"/>
      <c r="S41" s="3"/>
    </row>
    <row r="42" spans="1:20" ht="18">
      <c r="A42" s="37" t="s">
        <v>24</v>
      </c>
      <c r="B42" s="37" t="str">
        <f>VLOOKUP(ConstructionState[[#This Row],[Building or Upgrade]],Upgrades[],2,FALSE)</f>
        <v>Building</v>
      </c>
      <c r="C42" s="37" t="str">
        <f>VLOOKUP(ConstructionState[Building or Upgrade],Upgrades[],3,FALSE)</f>
        <v>Gold</v>
      </c>
      <c r="D42" s="38" t="str">
        <f>IF(COUNTIF(Skips,ConstructionState[[#This Row],[Building or Upgrade]]),"IGNORE",ConstructionState[Kind]&amp;"-"&amp;ConstructionState[Resource])</f>
        <v>Building-Gold</v>
      </c>
      <c r="E42" s="39">
        <f ca="1">IF(AND(ConstructionState[[#This Row],[Kind]]="Upgrade",LabLevel=0),0,VLOOKUP(ConstructionState[Building or Upgrade],QuantAvail[],1+IF(ConstructionState[[#This Row],[Kind]]="Upgrade",LabLevel,THLevel),FALSE))</f>
        <v>2</v>
      </c>
      <c r="F42" s="39">
        <f ca="1">IF(AND(ConstructionState[[#This Row],[Kind]]="Upgrade",LabLevel=0),0,VLOOKUP(ConstructionState[Building or Upgrade],MaxLevel[],1+IF(ConstructionState[[#This Row],[Kind]]="Upgrade",LabLevel,THLevel),FALSE))</f>
        <v>5</v>
      </c>
      <c r="G42" s="39">
        <f ca="1">ConstructionState[[#This Row],[Available]]-SUM(ConstructionState[[#This Row],[1]:[12]])</f>
        <v>0</v>
      </c>
      <c r="H42" s="1"/>
      <c r="I42" s="2"/>
      <c r="J42" s="2"/>
      <c r="K42" s="2"/>
      <c r="L42" s="2">
        <v>2</v>
      </c>
      <c r="M42" s="2"/>
      <c r="N42" s="2"/>
      <c r="O42" s="2"/>
      <c r="P42" s="2"/>
      <c r="Q42" s="2"/>
      <c r="R42" s="2"/>
      <c r="S42" s="3"/>
    </row>
    <row r="43" spans="1:20" ht="18">
      <c r="A43" s="37" t="s">
        <v>25</v>
      </c>
      <c r="B43" s="37" t="str">
        <f>VLOOKUP(ConstructionState[[#This Row],[Building or Upgrade]],Upgrades[],2,FALSE)</f>
        <v>Building</v>
      </c>
      <c r="C43" s="37" t="str">
        <f>VLOOKUP(ConstructionState[Building or Upgrade],Upgrades[],3,FALSE)</f>
        <v>Gold</v>
      </c>
      <c r="D43" s="38" t="str">
        <f>IF(COUNTIF(Skips,ConstructionState[[#This Row],[Building or Upgrade]]),"IGNORE",ConstructionState[Kind]&amp;"-"&amp;ConstructionState[Resource])</f>
        <v>Building-Gold</v>
      </c>
      <c r="E43" s="39">
        <f ca="1">IF(AND(ConstructionState[[#This Row],[Kind]]="Upgrade",LabLevel=0),0,VLOOKUP(ConstructionState[Building or Upgrade],QuantAvail[],1+IF(ConstructionState[[#This Row],[Kind]]="Upgrade",LabLevel,THLevel),FALSE))</f>
        <v>4</v>
      </c>
      <c r="F43" s="39">
        <f ca="1">IF(AND(ConstructionState[[#This Row],[Kind]]="Upgrade",LabLevel=0),0,VLOOKUP(ConstructionState[Building or Upgrade],MaxLevel[],1+IF(ConstructionState[[#This Row],[Kind]]="Upgrade",LabLevel,THLevel),FALSE))</f>
        <v>1</v>
      </c>
      <c r="G43" s="39">
        <f ca="1">ConstructionState[[#This Row],[Available]]-SUM(ConstructionState[[#This Row],[1]:[12]])</f>
        <v>0</v>
      </c>
      <c r="H43" s="1">
        <v>4</v>
      </c>
      <c r="I43" s="2"/>
      <c r="J43" s="2"/>
      <c r="K43" s="2"/>
      <c r="L43" s="2"/>
      <c r="M43" s="2"/>
      <c r="N43" s="2"/>
      <c r="O43" s="2"/>
      <c r="P43" s="2"/>
      <c r="Q43" s="2"/>
      <c r="R43" s="2"/>
      <c r="S43" s="3"/>
    </row>
    <row r="44" spans="1:20" ht="18">
      <c r="A44" s="37" t="s">
        <v>26</v>
      </c>
      <c r="B44" s="37" t="str">
        <f>VLOOKUP(ConstructionState[[#This Row],[Building or Upgrade]],Upgrades[],2,FALSE)</f>
        <v>Building</v>
      </c>
      <c r="C44" s="37" t="str">
        <f>VLOOKUP(ConstructionState[Building or Upgrade],Upgrades[],3,FALSE)</f>
        <v>Gold</v>
      </c>
      <c r="D44" s="38" t="str">
        <f>IF(COUNTIF(Skips,ConstructionState[[#This Row],[Building or Upgrade]]),"IGNORE",ConstructionState[Kind]&amp;"-"&amp;ConstructionState[Resource])</f>
        <v>Building-Gold</v>
      </c>
      <c r="E44" s="39">
        <f ca="1">IF(AND(ConstructionState[[#This Row],[Kind]]="Upgrade",LabLevel=0),0,VLOOKUP(ConstructionState[Building or Upgrade],QuantAvail[],1+IF(ConstructionState[[#This Row],[Kind]]="Upgrade",LabLevel,THLevel),FALSE))</f>
        <v>2</v>
      </c>
      <c r="F44" s="39">
        <f ca="1">IF(AND(ConstructionState[[#This Row],[Kind]]="Upgrade",LabLevel=0),0,VLOOKUP(ConstructionState[Building or Upgrade],MaxLevel[],1+IF(ConstructionState[[#This Row],[Kind]]="Upgrade",LabLevel,THLevel),FALSE))</f>
        <v>4</v>
      </c>
      <c r="G44" s="39">
        <f ca="1">ConstructionState[[#This Row],[Available]]-SUM(ConstructionState[[#This Row],[1]:[12]])</f>
        <v>0</v>
      </c>
      <c r="H44" s="1"/>
      <c r="I44" s="2"/>
      <c r="J44" s="2"/>
      <c r="K44" s="2">
        <v>2</v>
      </c>
      <c r="L44" s="2"/>
      <c r="M44" s="2"/>
      <c r="N44" s="2"/>
      <c r="O44" s="2"/>
      <c r="P44" s="2"/>
      <c r="Q44" s="2"/>
      <c r="R44" s="2"/>
      <c r="S44" s="3"/>
    </row>
    <row r="45" spans="1:20" ht="18">
      <c r="A45" s="37" t="s">
        <v>9</v>
      </c>
      <c r="B45" s="37" t="str">
        <f>VLOOKUP(ConstructionState[[#This Row],[Building or Upgrade]],Upgrades[],2,FALSE)</f>
        <v>Building</v>
      </c>
      <c r="C45" s="37" t="str">
        <f>VLOOKUP(ConstructionState[Building or Upgrade],Upgrades[],3,FALSE)</f>
        <v>Gold</v>
      </c>
      <c r="D45" s="38" t="str">
        <f>IF(COUNTIF(Skips,ConstructionState[[#This Row],[Building or Upgrade]]),"IGNORE",ConstructionState[Kind]&amp;"-"&amp;ConstructionState[Resource])</f>
        <v>Building-Gold</v>
      </c>
      <c r="E45" s="39">
        <f ca="1">IF(AND(ConstructionState[[#This Row],[Kind]]="Upgrade",LabLevel=0),0,VLOOKUP(ConstructionState[Building or Upgrade],QuantAvail[],1+IF(ConstructionState[[#This Row],[Kind]]="Upgrade",LabLevel,THLevel),FALSE))</f>
        <v>2</v>
      </c>
      <c r="F45" s="39">
        <f ca="1">IF(AND(ConstructionState[[#This Row],[Kind]]="Upgrade",LabLevel=0),0,VLOOKUP(ConstructionState[Building or Upgrade],MaxLevel[],1+IF(ConstructionState[[#This Row],[Kind]]="Upgrade",LabLevel,THLevel),FALSE))</f>
        <v>2</v>
      </c>
      <c r="G45" s="39">
        <f ca="1">ConstructionState[[#This Row],[Available]]-SUM(ConstructionState[[#This Row],[1]:[12]])</f>
        <v>0</v>
      </c>
      <c r="H45" s="1"/>
      <c r="I45" s="2">
        <v>2</v>
      </c>
      <c r="J45" s="2"/>
      <c r="K45" s="2"/>
      <c r="L45" s="2"/>
      <c r="M45" s="2"/>
      <c r="N45" s="2"/>
      <c r="O45" s="2"/>
      <c r="P45" s="2"/>
      <c r="Q45" s="2"/>
      <c r="R45" s="2"/>
      <c r="S45" s="3"/>
    </row>
    <row r="46" spans="1:20" ht="18">
      <c r="A46" s="37" t="s">
        <v>10</v>
      </c>
      <c r="B46" s="37" t="str">
        <f>VLOOKUP(ConstructionState[[#This Row],[Building or Upgrade]],Upgrades[],2,FALSE)</f>
        <v>Building</v>
      </c>
      <c r="C46" s="37" t="str">
        <f>VLOOKUP(ConstructionState[Building or Upgrade],Upgrades[],3,FALSE)</f>
        <v>Gold</v>
      </c>
      <c r="D46" s="38" t="str">
        <f>IF(COUNTIF(Skips,ConstructionState[[#This Row],[Building or Upgrade]]),"IGNORE",ConstructionState[Kind]&amp;"-"&amp;ConstructionState[Resource])</f>
        <v>Building-Gold</v>
      </c>
      <c r="E46" s="39">
        <f ca="1">IF(AND(ConstructionState[[#This Row],[Kind]]="Upgrade",LabLevel=0),0,VLOOKUP(ConstructionState[Building or Upgrade],QuantAvail[],1+IF(ConstructionState[[#This Row],[Kind]]="Upgrade",LabLevel,THLevel),FALSE))</f>
        <v>2</v>
      </c>
      <c r="F46" s="39">
        <f ca="1">IF(AND(ConstructionState[[#This Row],[Kind]]="Upgrade",LabLevel=0),0,VLOOKUP(ConstructionState[Building or Upgrade],MaxLevel[],1+IF(ConstructionState[[#This Row],[Kind]]="Upgrade",LabLevel,THLevel),FALSE))</f>
        <v>3</v>
      </c>
      <c r="G46" s="39">
        <f ca="1">ConstructionState[[#This Row],[Available]]-SUM(ConstructionState[[#This Row],[1]:[12]])</f>
        <v>0</v>
      </c>
      <c r="H46" s="1"/>
      <c r="I46" s="2"/>
      <c r="J46" s="2">
        <v>2</v>
      </c>
      <c r="K46" s="2"/>
      <c r="L46" s="2"/>
      <c r="M46" s="2"/>
      <c r="N46" s="2"/>
      <c r="O46" s="2"/>
      <c r="P46" s="2"/>
      <c r="Q46" s="2"/>
      <c r="R46" s="2"/>
      <c r="S46" s="3"/>
    </row>
    <row r="47" spans="1:20" ht="18">
      <c r="A47" s="37" t="s">
        <v>27</v>
      </c>
      <c r="B47" s="37" t="str">
        <f>VLOOKUP(ConstructionState[[#This Row],[Building or Upgrade]],Upgrades[],2,FALSE)</f>
        <v>Building</v>
      </c>
      <c r="C47" s="37" t="str">
        <f>VLOOKUP(ConstructionState[Building or Upgrade],Upgrades[],3,FALSE)</f>
        <v>Gold</v>
      </c>
      <c r="D47" s="38" t="str">
        <f>IF(COUNTIF(Skips,ConstructionState[[#This Row],[Building or Upgrade]]),"IGNORE",ConstructionState[Kind]&amp;"-"&amp;ConstructionState[Resource])</f>
        <v>Building-Gold</v>
      </c>
      <c r="E47" s="39">
        <f ca="1">IF(AND(ConstructionState[[#This Row],[Kind]]="Upgrade",LabLevel=0),0,VLOOKUP(ConstructionState[Building or Upgrade],QuantAvail[],1+IF(ConstructionState[[#This Row],[Kind]]="Upgrade",LabLevel,THLevel),FALSE))</f>
        <v>1</v>
      </c>
      <c r="F47" s="39">
        <f ca="1">IF(AND(ConstructionState[[#This Row],[Kind]]="Upgrade",LabLevel=0),0,VLOOKUP(ConstructionState[Building or Upgrade],MaxLevel[],1+IF(ConstructionState[[#This Row],[Kind]]="Upgrade",LabLevel,THLevel),FALSE))</f>
        <v>1</v>
      </c>
      <c r="G47" s="39">
        <f ca="1">ConstructionState[[#This Row],[Available]]-SUM(ConstructionState[[#This Row],[1]:[12]])</f>
        <v>0</v>
      </c>
      <c r="H47" s="1">
        <v>1</v>
      </c>
      <c r="I47" s="2"/>
      <c r="J47" s="2"/>
      <c r="K47" s="2"/>
      <c r="L47" s="2"/>
      <c r="M47" s="2"/>
      <c r="N47" s="2"/>
      <c r="O47" s="2"/>
      <c r="P47" s="2"/>
      <c r="Q47" s="2"/>
      <c r="R47" s="2"/>
      <c r="S47" s="3"/>
    </row>
    <row r="48" spans="1:20" ht="18">
      <c r="A48" s="37" t="s">
        <v>11</v>
      </c>
      <c r="B48" s="37" t="str">
        <f>VLOOKUP(ConstructionState[[#This Row],[Building or Upgrade]],Upgrades[],2,FALSE)</f>
        <v>Building</v>
      </c>
      <c r="C48" s="37" t="str">
        <f>VLOOKUP(ConstructionState[Building or Upgrade],Upgrades[],3,FALSE)</f>
        <v>Gold</v>
      </c>
      <c r="D48" s="38" t="str">
        <f>IF(COUNTIF(Skips,ConstructionState[[#This Row],[Building or Upgrade]]),"IGNORE",ConstructionState[Kind]&amp;"-"&amp;ConstructionState[Resource])</f>
        <v>Building-Gold</v>
      </c>
      <c r="E48" s="39">
        <f ca="1">IF(AND(ConstructionState[[#This Row],[Kind]]="Upgrade",LabLevel=0),0,VLOOKUP(ConstructionState[Building or Upgrade],QuantAvail[],1+IF(ConstructionState[[#This Row],[Kind]]="Upgrade",LabLevel,THLevel),FALSE))</f>
        <v>2</v>
      </c>
      <c r="F48" s="39">
        <f ca="1">IF(AND(ConstructionState[[#This Row],[Kind]]="Upgrade",LabLevel=0),0,VLOOKUP(ConstructionState[Building or Upgrade],MaxLevel[],1+IF(ConstructionState[[#This Row],[Kind]]="Upgrade",LabLevel,THLevel),FALSE))</f>
        <v>3</v>
      </c>
      <c r="G48" s="39">
        <f ca="1">ConstructionState[[#This Row],[Available]]-SUM(ConstructionState[[#This Row],[1]:[12]])</f>
        <v>0</v>
      </c>
      <c r="H48" s="1"/>
      <c r="I48" s="2"/>
      <c r="J48" s="2">
        <v>2</v>
      </c>
      <c r="K48" s="2"/>
      <c r="L48" s="2"/>
      <c r="M48" s="2"/>
      <c r="N48" s="2"/>
      <c r="O48" s="2"/>
      <c r="P48" s="2"/>
      <c r="Q48" s="2"/>
      <c r="R48" s="2"/>
      <c r="S48" s="3"/>
    </row>
    <row r="49" spans="1:19" ht="18">
      <c r="A49" s="37" t="s">
        <v>12</v>
      </c>
      <c r="B49" s="37" t="str">
        <f>VLOOKUP(ConstructionState[[#This Row],[Building or Upgrade]],Upgrades[],2,FALSE)</f>
        <v>Building</v>
      </c>
      <c r="C49" s="37" t="str">
        <f>VLOOKUP(ConstructionState[Building or Upgrade],Upgrades[],3,FALSE)</f>
        <v>Gold</v>
      </c>
      <c r="D49" s="38" t="str">
        <f>IF(COUNTIF(Skips,ConstructionState[[#This Row],[Building or Upgrade]]),"IGNORE",ConstructionState[Kind]&amp;"-"&amp;ConstructionState[Resource])</f>
        <v>Building-Gold</v>
      </c>
      <c r="E49" s="39">
        <f ca="1">IF(AND(ConstructionState[[#This Row],[Kind]]="Upgrade",LabLevel=0),0,VLOOKUP(ConstructionState[Building or Upgrade],QuantAvail[],1+IF(ConstructionState[[#This Row],[Kind]]="Upgrade",LabLevel,THLevel),FALSE))</f>
        <v>0</v>
      </c>
      <c r="F49" s="39">
        <f ca="1">IF(AND(ConstructionState[[#This Row],[Kind]]="Upgrade",LabLevel=0),0,VLOOKUP(ConstructionState[Building or Upgrade],MaxLevel[],1+IF(ConstructionState[[#This Row],[Kind]]="Upgrade",LabLevel,THLevel),FALSE))</f>
        <v>0</v>
      </c>
      <c r="G49" s="39">
        <f ca="1">ConstructionState[[#This Row],[Available]]-SUM(ConstructionState[[#This Row],[1]:[12]])</f>
        <v>0</v>
      </c>
      <c r="H49" s="1"/>
      <c r="I49" s="2"/>
      <c r="J49" s="2"/>
      <c r="K49" s="2"/>
      <c r="L49" s="2"/>
      <c r="M49" s="2"/>
      <c r="N49" s="2"/>
      <c r="O49" s="2"/>
      <c r="P49" s="2"/>
      <c r="Q49" s="2"/>
      <c r="R49" s="2"/>
      <c r="S49" s="3"/>
    </row>
    <row r="50" spans="1:19" ht="18">
      <c r="A50" s="37" t="s">
        <v>28</v>
      </c>
      <c r="B50" s="37" t="str">
        <f>VLOOKUP(ConstructionState[[#This Row],[Building or Upgrade]],Upgrades[],2,FALSE)</f>
        <v>Building</v>
      </c>
      <c r="C50" s="37" t="str">
        <f>VLOOKUP(ConstructionState[Building or Upgrade],Upgrades[],3,FALSE)</f>
        <v>Gold</v>
      </c>
      <c r="D50" s="38" t="str">
        <f>IF(COUNTIF(Skips,ConstructionState[[#This Row],[Building or Upgrade]]),"IGNORE",ConstructionState[Kind]&amp;"-"&amp;ConstructionState[Resource])</f>
        <v>Building-Gold</v>
      </c>
      <c r="E50" s="39">
        <f ca="1">IF(AND(ConstructionState[[#This Row],[Kind]]="Upgrade",LabLevel=0),0,VLOOKUP(ConstructionState[Building or Upgrade],QuantAvail[],1+IF(ConstructionState[[#This Row],[Kind]]="Upgrade",LabLevel,THLevel),FALSE))</f>
        <v>0</v>
      </c>
      <c r="F50" s="39">
        <f ca="1">IF(AND(ConstructionState[[#This Row],[Kind]]="Upgrade",LabLevel=0),0,VLOOKUP(ConstructionState[Building or Upgrade],MaxLevel[],1+IF(ConstructionState[[#This Row],[Kind]]="Upgrade",LabLevel,THLevel),FALSE))</f>
        <v>0</v>
      </c>
      <c r="G50" s="39">
        <f ca="1">ConstructionState[[#This Row],[Available]]-SUM(ConstructionState[[#This Row],[1]:[12]])</f>
        <v>0</v>
      </c>
      <c r="H50" s="1"/>
      <c r="I50" s="2"/>
      <c r="J50" s="2"/>
      <c r="K50" s="2"/>
      <c r="L50" s="2"/>
      <c r="M50" s="2"/>
      <c r="N50" s="2"/>
      <c r="O50" s="2"/>
      <c r="P50" s="2"/>
      <c r="Q50" s="2"/>
      <c r="R50" s="2"/>
      <c r="S50" s="3"/>
    </row>
    <row r="51" spans="1:19" ht="18">
      <c r="A51" s="37" t="s">
        <v>105</v>
      </c>
      <c r="B51" s="37" t="str">
        <f>VLOOKUP(ConstructionState[[#This Row],[Building or Upgrade]],Upgrades[],2,FALSE)</f>
        <v>Building</v>
      </c>
      <c r="C51" s="37" t="str">
        <f>VLOOKUP(ConstructionState[Building or Upgrade],Upgrades[],3,FALSE)</f>
        <v>Dark Elixir</v>
      </c>
      <c r="D51" s="38" t="str">
        <f>IF(COUNTIF(Skips,ConstructionState[[#This Row],[Building or Upgrade]]),"IGNORE",ConstructionState[Kind]&amp;"-"&amp;ConstructionState[Resource])</f>
        <v>Building-Dark Elixir</v>
      </c>
      <c r="E51" s="43">
        <f ca="1">IF(AND(ConstructionState[[#This Row],[Kind]]="Upgrade",LabLevel=0),0,VLOOKUP(ConstructionState[Building or Upgrade],QuantAvail[],1+IF(ConstructionState[[#This Row],[Kind]]="Upgrade",LabLevel,THLevel),FALSE))</f>
        <v>1</v>
      </c>
      <c r="F51" s="43">
        <f ca="1">IF(AND(ConstructionState[[#This Row],[Kind]]="Upgrade",LabLevel=0),0,VLOOKUP(ConstructionState[Building or Upgrade],MaxLevel[],1+IF(ConstructionState[[#This Row],[Kind]]="Upgrade",LabLevel,THLevel),FALSE))</f>
        <v>1</v>
      </c>
      <c r="G51" s="43">
        <f ca="1">ConstructionState[[#This Row],[Available]]-SUM(ConstructionState[[#This Row],[1]:[12]])</f>
        <v>0</v>
      </c>
      <c r="H51" s="5">
        <v>1</v>
      </c>
      <c r="I51" s="4"/>
      <c r="J51" s="2"/>
      <c r="K51" s="2"/>
      <c r="L51" s="2"/>
      <c r="M51" s="2"/>
      <c r="N51" s="2"/>
      <c r="O51" s="2"/>
      <c r="P51" s="4"/>
      <c r="Q51" s="2"/>
      <c r="R51" s="2"/>
      <c r="S51" s="3"/>
    </row>
    <row r="52" spans="1:19" ht="18">
      <c r="A52" s="37" t="s">
        <v>106</v>
      </c>
      <c r="B52" s="37" t="str">
        <f>VLOOKUP(ConstructionState[[#This Row],[Building or Upgrade]],Upgrades[],2,FALSE)</f>
        <v>Building</v>
      </c>
      <c r="C52" s="37" t="str">
        <f>VLOOKUP(ConstructionState[Building or Upgrade],Upgrades[],3,FALSE)</f>
        <v>Dark Elixir</v>
      </c>
      <c r="D52" s="38" t="str">
        <f>IF(COUNTIF(Skips,ConstructionState[[#This Row],[Building or Upgrade]]),"IGNORE",ConstructionState[Kind]&amp;"-"&amp;ConstructionState[Resource])</f>
        <v>Building-Dark Elixir</v>
      </c>
      <c r="E52" s="43">
        <f ca="1">IF(AND(ConstructionState[[#This Row],[Kind]]="Upgrade",LabLevel=0),0,VLOOKUP(ConstructionState[Building or Upgrade],QuantAvail[],1+IF(ConstructionState[[#This Row],[Kind]]="Upgrade",LabLevel,THLevel),FALSE))</f>
        <v>0</v>
      </c>
      <c r="F52" s="43">
        <f ca="1">IF(AND(ConstructionState[[#This Row],[Kind]]="Upgrade",LabLevel=0),0,VLOOKUP(ConstructionState[Building or Upgrade],MaxLevel[],1+IF(ConstructionState[[#This Row],[Kind]]="Upgrade",LabLevel,THLevel),FALSE))</f>
        <v>0</v>
      </c>
      <c r="G52" s="43">
        <f ca="1">ConstructionState[[#This Row],[Available]]-SUM(ConstructionState[[#This Row],[1]:[12]])</f>
        <v>0</v>
      </c>
      <c r="H52" s="5"/>
      <c r="I52" s="4"/>
      <c r="J52" s="2"/>
      <c r="K52" s="2"/>
      <c r="L52" s="2"/>
      <c r="M52" s="2"/>
      <c r="N52" s="2"/>
      <c r="O52" s="2"/>
      <c r="P52" s="4"/>
      <c r="Q52" s="2"/>
      <c r="R52" s="2"/>
      <c r="S52" s="3"/>
    </row>
    <row r="53" spans="1:19" ht="18">
      <c r="A53" s="37" t="s">
        <v>82</v>
      </c>
      <c r="B53" s="37" t="str">
        <f>VLOOKUP(ConstructionState[[#This Row],[Building or Upgrade]],Upgrades[],2,FALSE)</f>
        <v>Upgrade</v>
      </c>
      <c r="C53" s="37" t="str">
        <f>VLOOKUP(ConstructionState[Building or Upgrade],Upgrades[],3,FALSE)</f>
        <v>Elixir</v>
      </c>
      <c r="D53" s="38" t="str">
        <f>IF(COUNTIF(Skips,ConstructionState[[#This Row],[Building or Upgrade]]),"IGNORE",ConstructionState[Kind]&amp;"-"&amp;ConstructionState[Resource])</f>
        <v>Upgrade-Elixir</v>
      </c>
      <c r="E53" s="43">
        <f ca="1">IF(AND(ConstructionState[[#This Row],[Kind]]="Upgrade",LabLevel=0),0,VLOOKUP(ConstructionState[Building or Upgrade],QuantAvail[],1+IF(ConstructionState[[#This Row],[Kind]]="Upgrade",LabLevel,THLevel),FALSE))</f>
        <v>1</v>
      </c>
      <c r="F53" s="43">
        <f ca="1">IF(AND(ConstructionState[[#This Row],[Kind]]="Upgrade",LabLevel=0),0,VLOOKUP(ConstructionState[Building or Upgrade],MaxLevel[],1+IF(ConstructionState[[#This Row],[Kind]]="Upgrade",LabLevel,THLevel),FALSE))</f>
        <v>4</v>
      </c>
      <c r="G53" s="43">
        <f ca="1">ConstructionState[[#This Row],[Available]]-SUM(ConstructionState[[#This Row],[1]:[12]])</f>
        <v>0</v>
      </c>
      <c r="H53" s="5"/>
      <c r="I53" s="4"/>
      <c r="J53" s="2"/>
      <c r="K53" s="2">
        <v>1</v>
      </c>
      <c r="L53" s="2"/>
      <c r="M53" s="2"/>
      <c r="N53" s="2"/>
      <c r="O53" s="2"/>
      <c r="P53" s="4"/>
      <c r="Q53" s="2"/>
      <c r="R53" s="2"/>
      <c r="S53" s="3"/>
    </row>
    <row r="54" spans="1:19" ht="18">
      <c r="A54" s="37" t="s">
        <v>83</v>
      </c>
      <c r="B54" s="37" t="str">
        <f>VLOOKUP(ConstructionState[[#This Row],[Building or Upgrade]],Upgrades[],2,FALSE)</f>
        <v>Upgrade</v>
      </c>
      <c r="C54" s="37" t="str">
        <f>VLOOKUP(ConstructionState[Building or Upgrade],Upgrades[],3,FALSE)</f>
        <v>Elixir</v>
      </c>
      <c r="D54" s="38" t="str">
        <f>IF(COUNTIF(Skips,ConstructionState[[#This Row],[Building or Upgrade]]),"IGNORE",ConstructionState[Kind]&amp;"-"&amp;ConstructionState[Resource])</f>
        <v>Upgrade-Elixir</v>
      </c>
      <c r="E54" s="43">
        <f ca="1">IF(AND(ConstructionState[[#This Row],[Kind]]="Upgrade",LabLevel=0),0,VLOOKUP(ConstructionState[Building or Upgrade],QuantAvail[],1+IF(ConstructionState[[#This Row],[Kind]]="Upgrade",LabLevel,THLevel),FALSE))</f>
        <v>1</v>
      </c>
      <c r="F54" s="43">
        <f ca="1">IF(AND(ConstructionState[[#This Row],[Kind]]="Upgrade",LabLevel=0),0,VLOOKUP(ConstructionState[Building or Upgrade],MaxLevel[],1+IF(ConstructionState[[#This Row],[Kind]]="Upgrade",LabLevel,THLevel),FALSE))</f>
        <v>4</v>
      </c>
      <c r="G54" s="43">
        <f ca="1">ConstructionState[[#This Row],[Available]]-SUM(ConstructionState[[#This Row],[1]:[12]])</f>
        <v>0</v>
      </c>
      <c r="H54" s="5"/>
      <c r="I54" s="4"/>
      <c r="J54" s="2"/>
      <c r="K54" s="2">
        <v>1</v>
      </c>
      <c r="L54" s="2"/>
      <c r="M54" s="2"/>
      <c r="N54" s="2"/>
      <c r="O54" s="2"/>
      <c r="P54" s="4"/>
      <c r="Q54" s="2"/>
      <c r="R54" s="2"/>
      <c r="S54" s="3"/>
    </row>
    <row r="55" spans="1:19" ht="18">
      <c r="A55" s="37" t="s">
        <v>84</v>
      </c>
      <c r="B55" s="37" t="str">
        <f>VLOOKUP(ConstructionState[[#This Row],[Building or Upgrade]],Upgrades[],2,FALSE)</f>
        <v>Upgrade</v>
      </c>
      <c r="C55" s="37" t="str">
        <f>VLOOKUP(ConstructionState[Building or Upgrade],Upgrades[],3,FALSE)</f>
        <v>Elixir</v>
      </c>
      <c r="D55" s="38" t="str">
        <f>IF(COUNTIF(Skips,ConstructionState[[#This Row],[Building or Upgrade]]),"IGNORE",ConstructionState[Kind]&amp;"-"&amp;ConstructionState[Resource])</f>
        <v>Upgrade-Elixir</v>
      </c>
      <c r="E55" s="43">
        <f ca="1">IF(AND(ConstructionState[[#This Row],[Kind]]="Upgrade",LabLevel=0),0,VLOOKUP(ConstructionState[Building or Upgrade],QuantAvail[],1+IF(ConstructionState[[#This Row],[Kind]]="Upgrade",LabLevel,THLevel),FALSE))</f>
        <v>1</v>
      </c>
      <c r="F55" s="43">
        <f ca="1">IF(AND(ConstructionState[[#This Row],[Kind]]="Upgrade",LabLevel=0),0,VLOOKUP(ConstructionState[Building or Upgrade],MaxLevel[],1+IF(ConstructionState[[#This Row],[Kind]]="Upgrade",LabLevel,THLevel),FALSE))</f>
        <v>4</v>
      </c>
      <c r="G55" s="43">
        <f ca="1">ConstructionState[[#This Row],[Available]]-SUM(ConstructionState[[#This Row],[1]:[12]])</f>
        <v>0</v>
      </c>
      <c r="H55" s="5"/>
      <c r="I55" s="4"/>
      <c r="J55" s="2"/>
      <c r="K55" s="2">
        <v>1</v>
      </c>
      <c r="L55" s="2"/>
      <c r="M55" s="2"/>
      <c r="N55" s="2"/>
      <c r="O55" s="2"/>
      <c r="P55" s="4"/>
      <c r="Q55" s="2"/>
      <c r="R55" s="2"/>
      <c r="S55" s="3"/>
    </row>
    <row r="56" spans="1:19" ht="18">
      <c r="A56" s="37" t="s">
        <v>85</v>
      </c>
      <c r="B56" s="37" t="str">
        <f>VLOOKUP(ConstructionState[[#This Row],[Building or Upgrade]],Upgrades[],2,FALSE)</f>
        <v>Upgrade</v>
      </c>
      <c r="C56" s="37" t="str">
        <f>VLOOKUP(ConstructionState[Building or Upgrade],Upgrades[],3,FALSE)</f>
        <v>Elixir</v>
      </c>
      <c r="D56" s="38" t="str">
        <f>IF(COUNTIF(Skips,ConstructionState[[#This Row],[Building or Upgrade]]),"IGNORE",ConstructionState[Kind]&amp;"-"&amp;ConstructionState[Resource])</f>
        <v>Upgrade-Elixir</v>
      </c>
      <c r="E56" s="43">
        <f ca="1">IF(AND(ConstructionState[[#This Row],[Kind]]="Upgrade",LabLevel=0),0,VLOOKUP(ConstructionState[Building or Upgrade],QuantAvail[],1+IF(ConstructionState[[#This Row],[Kind]]="Upgrade",LabLevel,THLevel),FALSE))</f>
        <v>1</v>
      </c>
      <c r="F56" s="43">
        <f ca="1">IF(AND(ConstructionState[[#This Row],[Kind]]="Upgrade",LabLevel=0),0,VLOOKUP(ConstructionState[Building or Upgrade],MaxLevel[],1+IF(ConstructionState[[#This Row],[Kind]]="Upgrade",LabLevel,THLevel),FALSE))</f>
        <v>4</v>
      </c>
      <c r="G56" s="43">
        <f ca="1">ConstructionState[[#This Row],[Available]]-SUM(ConstructionState[[#This Row],[1]:[12]])</f>
        <v>0</v>
      </c>
      <c r="H56" s="5"/>
      <c r="I56" s="4"/>
      <c r="J56" s="2"/>
      <c r="K56" s="2">
        <v>1</v>
      </c>
      <c r="L56" s="2"/>
      <c r="M56" s="2"/>
      <c r="N56" s="2"/>
      <c r="O56" s="2"/>
      <c r="P56" s="4"/>
      <c r="Q56" s="2"/>
      <c r="R56" s="2"/>
      <c r="S56" s="3"/>
    </row>
    <row r="57" spans="1:19" ht="18">
      <c r="A57" s="37" t="s">
        <v>86</v>
      </c>
      <c r="B57" s="37" t="str">
        <f>VLOOKUP(ConstructionState[[#This Row],[Building or Upgrade]],Upgrades[],2,FALSE)</f>
        <v>Upgrade</v>
      </c>
      <c r="C57" s="37" t="str">
        <f>VLOOKUP(ConstructionState[Building or Upgrade],Upgrades[],3,FALSE)</f>
        <v>Elixir</v>
      </c>
      <c r="D57" s="38" t="str">
        <f>IF(COUNTIF(Skips,ConstructionState[[#This Row],[Building or Upgrade]]),"IGNORE",ConstructionState[Kind]&amp;"-"&amp;ConstructionState[Resource])</f>
        <v>Upgrade-Elixir</v>
      </c>
      <c r="E57" s="43">
        <f ca="1">IF(AND(ConstructionState[[#This Row],[Kind]]="Upgrade",LabLevel=0),0,VLOOKUP(ConstructionState[Building or Upgrade],QuantAvail[],1+IF(ConstructionState[[#This Row],[Kind]]="Upgrade",LabLevel,THLevel),FALSE))</f>
        <v>1</v>
      </c>
      <c r="F57" s="43">
        <f ca="1">IF(AND(ConstructionState[[#This Row],[Kind]]="Upgrade",LabLevel=0),0,VLOOKUP(ConstructionState[Building or Upgrade],MaxLevel[],1+IF(ConstructionState[[#This Row],[Kind]]="Upgrade",LabLevel,THLevel),FALSE))</f>
        <v>4</v>
      </c>
      <c r="G57" s="43">
        <f ca="1">ConstructionState[[#This Row],[Available]]-SUM(ConstructionState[[#This Row],[1]:[12]])</f>
        <v>0</v>
      </c>
      <c r="H57" s="5"/>
      <c r="I57" s="4"/>
      <c r="J57" s="2"/>
      <c r="K57" s="2">
        <v>1</v>
      </c>
      <c r="L57" s="2"/>
      <c r="M57" s="2"/>
      <c r="N57" s="2"/>
      <c r="O57" s="2"/>
      <c r="P57" s="4"/>
      <c r="Q57" s="2"/>
      <c r="R57" s="2"/>
      <c r="S57" s="3"/>
    </row>
    <row r="58" spans="1:19" ht="18">
      <c r="A58" s="37" t="s">
        <v>87</v>
      </c>
      <c r="B58" s="37" t="str">
        <f>VLOOKUP(ConstructionState[[#This Row],[Building or Upgrade]],Upgrades[],2,FALSE)</f>
        <v>Upgrade</v>
      </c>
      <c r="C58" s="37" t="str">
        <f>VLOOKUP(ConstructionState[Building or Upgrade],Upgrades[],3,FALSE)</f>
        <v>Elixir</v>
      </c>
      <c r="D58" s="38" t="str">
        <f>IF(COUNTIF(Skips,ConstructionState[[#This Row],[Building or Upgrade]]),"IGNORE",ConstructionState[Kind]&amp;"-"&amp;ConstructionState[Resource])</f>
        <v>IGNORE</v>
      </c>
      <c r="E58" s="43">
        <f ca="1">IF(AND(ConstructionState[[#This Row],[Kind]]="Upgrade",LabLevel=0),0,VLOOKUP(ConstructionState[Building or Upgrade],QuantAvail[],1+IF(ConstructionState[[#This Row],[Kind]]="Upgrade",LabLevel,THLevel),FALSE))</f>
        <v>1</v>
      </c>
      <c r="F58" s="43">
        <f ca="1">IF(AND(ConstructionState[[#This Row],[Kind]]="Upgrade",LabLevel=0),0,VLOOKUP(ConstructionState[Building or Upgrade],MaxLevel[],1+IF(ConstructionState[[#This Row],[Kind]]="Upgrade",LabLevel,THLevel),FALSE))</f>
        <v>4</v>
      </c>
      <c r="G58" s="43">
        <f ca="1">ConstructionState[[#This Row],[Available]]-SUM(ConstructionState[[#This Row],[1]:[12]])</f>
        <v>0</v>
      </c>
      <c r="H58" s="5"/>
      <c r="I58" s="4">
        <v>1</v>
      </c>
      <c r="J58" s="2"/>
      <c r="K58" s="2"/>
      <c r="L58" s="2"/>
      <c r="M58" s="2"/>
      <c r="N58" s="2"/>
      <c r="O58" s="2"/>
      <c r="P58" s="4"/>
      <c r="Q58" s="2"/>
      <c r="R58" s="2"/>
      <c r="S58" s="3"/>
    </row>
    <row r="59" spans="1:19" ht="18">
      <c r="A59" s="37" t="s">
        <v>88</v>
      </c>
      <c r="B59" s="37" t="str">
        <f>VLOOKUP(ConstructionState[[#This Row],[Building or Upgrade]],Upgrades[],2,FALSE)</f>
        <v>Upgrade</v>
      </c>
      <c r="C59" s="37" t="str">
        <f>VLOOKUP(ConstructionState[Building or Upgrade],Upgrades[],3,FALSE)</f>
        <v>Elixir</v>
      </c>
      <c r="D59" s="38" t="str">
        <f>IF(COUNTIF(Skips,ConstructionState[[#This Row],[Building or Upgrade]]),"IGNORE",ConstructionState[Kind]&amp;"-"&amp;ConstructionState[Resource])</f>
        <v>Upgrade-Elixir</v>
      </c>
      <c r="E59" s="43">
        <f ca="1">IF(AND(ConstructionState[[#This Row],[Kind]]="Upgrade",LabLevel=0),0,VLOOKUP(ConstructionState[Building or Upgrade],QuantAvail[],1+IF(ConstructionState[[#This Row],[Kind]]="Upgrade",LabLevel,THLevel),FALSE))</f>
        <v>1</v>
      </c>
      <c r="F59" s="43">
        <f ca="1">IF(AND(ConstructionState[[#This Row],[Kind]]="Upgrade",LabLevel=0),0,VLOOKUP(ConstructionState[Building or Upgrade],MaxLevel[],1+IF(ConstructionState[[#This Row],[Kind]]="Upgrade",LabLevel,THLevel),FALSE))</f>
        <v>4</v>
      </c>
      <c r="G59" s="43">
        <f ca="1">ConstructionState[[#This Row],[Available]]-SUM(ConstructionState[[#This Row],[1]:[12]])</f>
        <v>0</v>
      </c>
      <c r="H59" s="5"/>
      <c r="I59" s="4"/>
      <c r="J59" s="2"/>
      <c r="K59" s="2">
        <v>1</v>
      </c>
      <c r="L59" s="2"/>
      <c r="M59" s="2"/>
      <c r="N59" s="2"/>
      <c r="O59" s="2"/>
      <c r="P59" s="4"/>
      <c r="Q59" s="2"/>
      <c r="R59" s="2"/>
      <c r="S59" s="3"/>
    </row>
    <row r="60" spans="1:19" ht="18">
      <c r="A60" s="37" t="s">
        <v>89</v>
      </c>
      <c r="B60" s="37" t="str">
        <f>VLOOKUP(ConstructionState[[#This Row],[Building or Upgrade]],Upgrades[],2,FALSE)</f>
        <v>Upgrade</v>
      </c>
      <c r="C60" s="37" t="str">
        <f>VLOOKUP(ConstructionState[Building or Upgrade],Upgrades[],3,FALSE)</f>
        <v>Elixir</v>
      </c>
      <c r="D60" s="38" t="str">
        <f>IF(COUNTIF(Skips,ConstructionState[[#This Row],[Building or Upgrade]]),"IGNORE",ConstructionState[Kind]&amp;"-"&amp;ConstructionState[Resource])</f>
        <v>Upgrade-Elixir</v>
      </c>
      <c r="E60" s="43">
        <f ca="1">IF(AND(ConstructionState[[#This Row],[Kind]]="Upgrade",LabLevel=0),0,VLOOKUP(ConstructionState[Building or Upgrade],QuantAvail[],1+IF(ConstructionState[[#This Row],[Kind]]="Upgrade",LabLevel,THLevel),FALSE))</f>
        <v>1</v>
      </c>
      <c r="F60" s="43">
        <f ca="1">IF(AND(ConstructionState[[#This Row],[Kind]]="Upgrade",LabLevel=0),0,VLOOKUP(ConstructionState[Building or Upgrade],MaxLevel[],1+IF(ConstructionState[[#This Row],[Kind]]="Upgrade",LabLevel,THLevel),FALSE))</f>
        <v>2</v>
      </c>
      <c r="G60" s="43">
        <f ca="1">ConstructionState[[#This Row],[Available]]-SUM(ConstructionState[[#This Row],[1]:[12]])</f>
        <v>0</v>
      </c>
      <c r="H60" s="5"/>
      <c r="I60" s="4">
        <v>1</v>
      </c>
      <c r="J60" s="2"/>
      <c r="K60" s="2"/>
      <c r="L60" s="2"/>
      <c r="M60" s="2"/>
      <c r="N60" s="2"/>
      <c r="O60" s="2"/>
      <c r="P60" s="4"/>
      <c r="Q60" s="2"/>
      <c r="R60" s="2"/>
      <c r="S60" s="3"/>
    </row>
    <row r="61" spans="1:19" ht="18">
      <c r="A61" s="37" t="s">
        <v>90</v>
      </c>
      <c r="B61" s="37" t="str">
        <f>VLOOKUP(ConstructionState[[#This Row],[Building or Upgrade]],Upgrades[],2,FALSE)</f>
        <v>Upgrade</v>
      </c>
      <c r="C61" s="37" t="str">
        <f>VLOOKUP(ConstructionState[Building or Upgrade],Upgrades[],3,FALSE)</f>
        <v>Elixir</v>
      </c>
      <c r="D61" s="38" t="str">
        <f>IF(COUNTIF(Skips,ConstructionState[[#This Row],[Building or Upgrade]]),"IGNORE",ConstructionState[Kind]&amp;"-"&amp;ConstructionState[Resource])</f>
        <v>Upgrade-Elixir</v>
      </c>
      <c r="E61" s="43">
        <f ca="1">IF(AND(ConstructionState[[#This Row],[Kind]]="Upgrade",LabLevel=0),0,VLOOKUP(ConstructionState[Building or Upgrade],QuantAvail[],1+IF(ConstructionState[[#This Row],[Kind]]="Upgrade",LabLevel,THLevel),FALSE))</f>
        <v>1</v>
      </c>
      <c r="F61" s="43">
        <f ca="1">IF(AND(ConstructionState[[#This Row],[Kind]]="Upgrade",LabLevel=0),0,VLOOKUP(ConstructionState[Building or Upgrade],MaxLevel[],1+IF(ConstructionState[[#This Row],[Kind]]="Upgrade",LabLevel,THLevel),FALSE))</f>
        <v>2</v>
      </c>
      <c r="G61" s="43">
        <f ca="1">ConstructionState[[#This Row],[Available]]-SUM(ConstructionState[[#This Row],[1]:[12]])</f>
        <v>0</v>
      </c>
      <c r="H61" s="5"/>
      <c r="I61" s="4">
        <v>1</v>
      </c>
      <c r="J61" s="2"/>
      <c r="K61" s="2"/>
      <c r="L61" s="2"/>
      <c r="M61" s="2"/>
      <c r="N61" s="2"/>
      <c r="O61" s="2"/>
      <c r="P61" s="4"/>
      <c r="Q61" s="2"/>
      <c r="R61" s="2"/>
      <c r="S61" s="3"/>
    </row>
    <row r="62" spans="1:19" ht="18">
      <c r="A62" s="37" t="s">
        <v>91</v>
      </c>
      <c r="B62" s="37" t="str">
        <f>VLOOKUP(ConstructionState[[#This Row],[Building or Upgrade]],Upgrades[],2,FALSE)</f>
        <v>Upgrade</v>
      </c>
      <c r="C62" s="37" t="str">
        <f>VLOOKUP(ConstructionState[Building or Upgrade],Upgrades[],3,FALSE)</f>
        <v>Elixir</v>
      </c>
      <c r="D62" s="38" t="str">
        <f>IF(COUNTIF(Skips,ConstructionState[[#This Row],[Building or Upgrade]]),"IGNORE",ConstructionState[Kind]&amp;"-"&amp;ConstructionState[Resource])</f>
        <v>Upgrade-Elixir</v>
      </c>
      <c r="E62" s="43">
        <f ca="1">IF(AND(ConstructionState[[#This Row],[Kind]]="Upgrade",LabLevel=0),0,VLOOKUP(ConstructionState[Building or Upgrade],QuantAvail[],1+IF(ConstructionState[[#This Row],[Kind]]="Upgrade",LabLevel,THLevel),FALSE))</f>
        <v>0</v>
      </c>
      <c r="F62" s="43">
        <f ca="1">IF(AND(ConstructionState[[#This Row],[Kind]]="Upgrade",LabLevel=0),0,VLOOKUP(ConstructionState[Building or Upgrade],MaxLevel[],1+IF(ConstructionState[[#This Row],[Kind]]="Upgrade",LabLevel,THLevel),FALSE))</f>
        <v>0</v>
      </c>
      <c r="G62" s="43">
        <f ca="1">ConstructionState[[#This Row],[Available]]-SUM(ConstructionState[[#This Row],[1]:[12]])</f>
        <v>0</v>
      </c>
      <c r="H62" s="5"/>
      <c r="I62" s="4"/>
      <c r="J62" s="2"/>
      <c r="K62" s="2"/>
      <c r="L62" s="2"/>
      <c r="M62" s="2"/>
      <c r="N62" s="2"/>
      <c r="O62" s="2"/>
      <c r="P62" s="4"/>
      <c r="Q62" s="2"/>
      <c r="R62" s="2"/>
      <c r="S62" s="3"/>
    </row>
    <row r="63" spans="1:19" ht="18">
      <c r="A63" s="37" t="s">
        <v>92</v>
      </c>
      <c r="B63" s="37" t="str">
        <f>VLOOKUP(ConstructionState[[#This Row],[Building or Upgrade]],Upgrades[],2,FALSE)</f>
        <v>Upgrade</v>
      </c>
      <c r="C63" s="37" t="str">
        <f>VLOOKUP(ConstructionState[Building or Upgrade],Upgrades[],3,FALSE)</f>
        <v>Elixir</v>
      </c>
      <c r="D63" s="38" t="str">
        <f>IF(COUNTIF(Skips,ConstructionState[[#This Row],[Building or Upgrade]]),"IGNORE",ConstructionState[Kind]&amp;"-"&amp;ConstructionState[Resource])</f>
        <v>Upgrade-Elixir</v>
      </c>
      <c r="E63" s="43">
        <f ca="1">IF(AND(ConstructionState[[#This Row],[Kind]]="Upgrade",LabLevel=0),0,VLOOKUP(ConstructionState[Building or Upgrade],QuantAvail[],1+IF(ConstructionState[[#This Row],[Kind]]="Upgrade",LabLevel,THLevel),FALSE))</f>
        <v>1</v>
      </c>
      <c r="F63" s="43">
        <f ca="1">IF(AND(ConstructionState[[#This Row],[Kind]]="Upgrade",LabLevel=0),0,VLOOKUP(ConstructionState[Building or Upgrade],MaxLevel[],1+IF(ConstructionState[[#This Row],[Kind]]="Upgrade",LabLevel,THLevel),FALSE))</f>
        <v>4</v>
      </c>
      <c r="G63" s="43">
        <f ca="1">ConstructionState[[#This Row],[Available]]-SUM(ConstructionState[[#This Row],[1]:[12]])</f>
        <v>0</v>
      </c>
      <c r="H63" s="5"/>
      <c r="I63" s="4"/>
      <c r="J63" s="2"/>
      <c r="K63" s="2">
        <v>1</v>
      </c>
      <c r="L63" s="2"/>
      <c r="M63" s="2"/>
      <c r="N63" s="2"/>
      <c r="O63" s="2"/>
      <c r="P63" s="4"/>
      <c r="Q63" s="2"/>
      <c r="R63" s="2"/>
      <c r="S63" s="3"/>
    </row>
    <row r="64" spans="1:19" ht="18">
      <c r="A64" s="37" t="s">
        <v>93</v>
      </c>
      <c r="B64" s="37" t="str">
        <f>VLOOKUP(ConstructionState[[#This Row],[Building or Upgrade]],Upgrades[],2,FALSE)</f>
        <v>Upgrade</v>
      </c>
      <c r="C64" s="37" t="str">
        <f>VLOOKUP(ConstructionState[Building or Upgrade],Upgrades[],3,FALSE)</f>
        <v>Elixir</v>
      </c>
      <c r="D64" s="38" t="str">
        <f>IF(COUNTIF(Skips,ConstructionState[[#This Row],[Building or Upgrade]]),"IGNORE",ConstructionState[Kind]&amp;"-"&amp;ConstructionState[Resource])</f>
        <v>Upgrade-Elixir</v>
      </c>
      <c r="E64" s="43">
        <f ca="1">IF(AND(ConstructionState[[#This Row],[Kind]]="Upgrade",LabLevel=0),0,VLOOKUP(ConstructionState[Building or Upgrade],QuantAvail[],1+IF(ConstructionState[[#This Row],[Kind]]="Upgrade",LabLevel,THLevel),FALSE))</f>
        <v>1</v>
      </c>
      <c r="F64" s="43">
        <f ca="1">IF(AND(ConstructionState[[#This Row],[Kind]]="Upgrade",LabLevel=0),0,VLOOKUP(ConstructionState[Building or Upgrade],MaxLevel[],1+IF(ConstructionState[[#This Row],[Kind]]="Upgrade",LabLevel,THLevel),FALSE))</f>
        <v>4</v>
      </c>
      <c r="G64" s="43">
        <f ca="1">ConstructionState[[#This Row],[Available]]-SUM(ConstructionState[[#This Row],[1]:[12]])</f>
        <v>0</v>
      </c>
      <c r="H64" s="5"/>
      <c r="I64" s="4"/>
      <c r="J64" s="2"/>
      <c r="K64" s="2">
        <v>1</v>
      </c>
      <c r="L64" s="2"/>
      <c r="M64" s="2"/>
      <c r="N64" s="2"/>
      <c r="O64" s="2"/>
      <c r="P64" s="4"/>
      <c r="Q64" s="2"/>
      <c r="R64" s="2"/>
      <c r="S64" s="3"/>
    </row>
    <row r="65" spans="1:19" ht="18">
      <c r="A65" s="37" t="s">
        <v>94</v>
      </c>
      <c r="B65" s="37" t="str">
        <f>VLOOKUP(ConstructionState[[#This Row],[Building or Upgrade]],Upgrades[],2,FALSE)</f>
        <v>Upgrade</v>
      </c>
      <c r="C65" s="37" t="str">
        <f>VLOOKUP(ConstructionState[Building or Upgrade],Upgrades[],3,FALSE)</f>
        <v>Elixir</v>
      </c>
      <c r="D65" s="38" t="str">
        <f>IF(COUNTIF(Skips,ConstructionState[[#This Row],[Building or Upgrade]]),"IGNORE",ConstructionState[Kind]&amp;"-"&amp;ConstructionState[Resource])</f>
        <v>Upgrade-Elixir</v>
      </c>
      <c r="E65" s="43">
        <f ca="1">IF(AND(ConstructionState[[#This Row],[Kind]]="Upgrade",LabLevel=0),0,VLOOKUP(ConstructionState[Building or Upgrade],QuantAvail[],1+IF(ConstructionState[[#This Row],[Kind]]="Upgrade",LabLevel,THLevel),FALSE))</f>
        <v>1</v>
      </c>
      <c r="F65" s="43">
        <f ca="1">IF(AND(ConstructionState[[#This Row],[Kind]]="Upgrade",LabLevel=0),0,VLOOKUP(ConstructionState[Building or Upgrade],MaxLevel[],1+IF(ConstructionState[[#This Row],[Kind]]="Upgrade",LabLevel,THLevel),FALSE))</f>
        <v>4</v>
      </c>
      <c r="G65" s="43">
        <f ca="1">ConstructionState[[#This Row],[Available]]-SUM(ConstructionState[[#This Row],[1]:[12]])</f>
        <v>0</v>
      </c>
      <c r="H65" s="5"/>
      <c r="I65" s="4"/>
      <c r="J65" s="2"/>
      <c r="K65" s="2">
        <v>1</v>
      </c>
      <c r="L65" s="2"/>
      <c r="M65" s="2"/>
      <c r="N65" s="2"/>
      <c r="O65" s="2"/>
      <c r="P65" s="4"/>
      <c r="Q65" s="2"/>
      <c r="R65" s="2"/>
      <c r="S65" s="3"/>
    </row>
    <row r="66" spans="1:19" ht="18">
      <c r="A66" s="37" t="s">
        <v>95</v>
      </c>
      <c r="B66" s="37" t="str">
        <f>VLOOKUP(ConstructionState[[#This Row],[Building or Upgrade]],Upgrades[],2,FALSE)</f>
        <v>Upgrade</v>
      </c>
      <c r="C66" s="37" t="str">
        <f>VLOOKUP(ConstructionState[Building or Upgrade],Upgrades[],3,FALSE)</f>
        <v>Elixir</v>
      </c>
      <c r="D66" s="38" t="str">
        <f>IF(COUNTIF(Skips,ConstructionState[[#This Row],[Building or Upgrade]]),"IGNORE",ConstructionState[Kind]&amp;"-"&amp;ConstructionState[Resource])</f>
        <v>Upgrade-Elixir</v>
      </c>
      <c r="E66" s="43">
        <f ca="1">IF(AND(ConstructionState[[#This Row],[Kind]]="Upgrade",LabLevel=0),0,VLOOKUP(ConstructionState[Building or Upgrade],QuantAvail[],1+IF(ConstructionState[[#This Row],[Kind]]="Upgrade",LabLevel,THLevel),FALSE))</f>
        <v>0</v>
      </c>
      <c r="F66" s="43">
        <f ca="1">IF(AND(ConstructionState[[#This Row],[Kind]]="Upgrade",LabLevel=0),0,VLOOKUP(ConstructionState[Building or Upgrade],MaxLevel[],1+IF(ConstructionState[[#This Row],[Kind]]="Upgrade",LabLevel,THLevel),FALSE))</f>
        <v>0</v>
      </c>
      <c r="G66" s="43">
        <f ca="1">ConstructionState[[#This Row],[Available]]-SUM(ConstructionState[[#This Row],[1]:[12]])</f>
        <v>0</v>
      </c>
      <c r="H66" s="5"/>
      <c r="I66" s="4"/>
      <c r="J66" s="2"/>
      <c r="K66" s="2"/>
      <c r="L66" s="2"/>
      <c r="M66" s="2"/>
      <c r="N66" s="2"/>
      <c r="O66" s="2"/>
      <c r="P66" s="4"/>
      <c r="Q66" s="2"/>
      <c r="R66" s="2"/>
      <c r="S66" s="3"/>
    </row>
    <row r="67" spans="1:19" ht="18">
      <c r="A67" s="37" t="s">
        <v>96</v>
      </c>
      <c r="B67" s="37" t="str">
        <f>VLOOKUP(ConstructionState[[#This Row],[Building or Upgrade]],Upgrades[],2,FALSE)</f>
        <v>Upgrade</v>
      </c>
      <c r="C67" s="37" t="str">
        <f>VLOOKUP(ConstructionState[Building or Upgrade],Upgrades[],3,FALSE)</f>
        <v>Elixir</v>
      </c>
      <c r="D67" s="38" t="str">
        <f>IF(COUNTIF(Skips,ConstructionState[[#This Row],[Building or Upgrade]]),"IGNORE",ConstructionState[Kind]&amp;"-"&amp;ConstructionState[Resource])</f>
        <v>Upgrade-Elixir</v>
      </c>
      <c r="E67" s="43">
        <f ca="1">IF(AND(ConstructionState[[#This Row],[Kind]]="Upgrade",LabLevel=0),0,VLOOKUP(ConstructionState[Building or Upgrade],QuantAvail[],1+IF(ConstructionState[[#This Row],[Kind]]="Upgrade",LabLevel,THLevel),FALSE))</f>
        <v>0</v>
      </c>
      <c r="F67" s="43">
        <f ca="1">IF(AND(ConstructionState[[#This Row],[Kind]]="Upgrade",LabLevel=0),0,VLOOKUP(ConstructionState[Building or Upgrade],MaxLevel[],1+IF(ConstructionState[[#This Row],[Kind]]="Upgrade",LabLevel,THLevel),FALSE))</f>
        <v>0</v>
      </c>
      <c r="G67" s="43">
        <f ca="1">ConstructionState[[#This Row],[Available]]-SUM(ConstructionState[[#This Row],[1]:[12]])</f>
        <v>0</v>
      </c>
      <c r="H67" s="5"/>
      <c r="I67" s="4"/>
      <c r="J67" s="2"/>
      <c r="K67" s="2"/>
      <c r="L67" s="2"/>
      <c r="M67" s="2"/>
      <c r="N67" s="2"/>
      <c r="O67" s="2"/>
      <c r="P67" s="4"/>
      <c r="Q67" s="2"/>
      <c r="R67" s="2"/>
      <c r="S67" s="3"/>
    </row>
    <row r="68" spans="1:19" ht="18">
      <c r="A68" s="37" t="s">
        <v>97</v>
      </c>
      <c r="B68" s="37" t="str">
        <f>VLOOKUP(ConstructionState[[#This Row],[Building or Upgrade]],Upgrades[],2,FALSE)</f>
        <v>Upgrade</v>
      </c>
      <c r="C68" s="37" t="str">
        <f>VLOOKUP(ConstructionState[Building or Upgrade],Upgrades[],3,FALSE)</f>
        <v>Dark Elixir</v>
      </c>
      <c r="D68" s="38" t="str">
        <f>IF(COUNTIF(Skips,ConstructionState[[#This Row],[Building or Upgrade]]),"IGNORE",ConstructionState[Kind]&amp;"-"&amp;ConstructionState[Resource])</f>
        <v>IGNORE</v>
      </c>
      <c r="E68" s="43">
        <f ca="1">IF(AND(ConstructionState[[#This Row],[Kind]]="Upgrade",LabLevel=0),0,VLOOKUP(ConstructionState[Building or Upgrade],QuantAvail[],1+IF(ConstructionState[[#This Row],[Kind]]="Upgrade",LabLevel,THLevel),FALSE))</f>
        <v>1</v>
      </c>
      <c r="F68" s="43">
        <f ca="1">IF(AND(ConstructionState[[#This Row],[Kind]]="Upgrade",LabLevel=0),0,VLOOKUP(ConstructionState[Building or Upgrade],MaxLevel[],1+IF(ConstructionState[[#This Row],[Kind]]="Upgrade",LabLevel,THLevel),FALSE))</f>
        <v>2</v>
      </c>
      <c r="G68" s="43">
        <f ca="1">ConstructionState[[#This Row],[Available]]-SUM(ConstructionState[[#This Row],[1]:[12]])</f>
        <v>1</v>
      </c>
      <c r="H68" s="5"/>
      <c r="I68" s="4"/>
      <c r="J68" s="2"/>
      <c r="K68" s="2"/>
      <c r="L68" s="2"/>
      <c r="M68" s="2"/>
      <c r="N68" s="2"/>
      <c r="O68" s="2"/>
      <c r="P68" s="4"/>
      <c r="Q68" s="2"/>
      <c r="R68" s="2"/>
      <c r="S68" s="3"/>
    </row>
    <row r="69" spans="1:19" ht="18">
      <c r="A69" s="37" t="s">
        <v>98</v>
      </c>
      <c r="B69" s="37" t="str">
        <f>VLOOKUP(ConstructionState[[#This Row],[Building or Upgrade]],Upgrades[],2,FALSE)</f>
        <v>Upgrade</v>
      </c>
      <c r="C69" s="37" t="str">
        <f>VLOOKUP(ConstructionState[Building or Upgrade],Upgrades[],3,FALSE)</f>
        <v>Dark Elixir</v>
      </c>
      <c r="D69" s="38" t="str">
        <f>IF(COUNTIF(Skips,ConstructionState[[#This Row],[Building or Upgrade]]),"IGNORE",ConstructionState[Kind]&amp;"-"&amp;ConstructionState[Resource])</f>
        <v>Upgrade-Dark Elixir</v>
      </c>
      <c r="E69" s="43">
        <f ca="1">IF(AND(ConstructionState[[#This Row],[Kind]]="Upgrade",LabLevel=0),0,VLOOKUP(ConstructionState[Building or Upgrade],QuantAvail[],1+IF(ConstructionState[[#This Row],[Kind]]="Upgrade",LabLevel,THLevel),FALSE))</f>
        <v>1</v>
      </c>
      <c r="F69" s="43">
        <f ca="1">IF(AND(ConstructionState[[#This Row],[Kind]]="Upgrade",LabLevel=0),0,VLOOKUP(ConstructionState[Building or Upgrade],MaxLevel[],1+IF(ConstructionState[[#This Row],[Kind]]="Upgrade",LabLevel,THLevel),FALSE))</f>
        <v>2</v>
      </c>
      <c r="G69" s="43">
        <f ca="1">ConstructionState[[#This Row],[Available]]-SUM(ConstructionState[[#This Row],[1]:[12]])</f>
        <v>1</v>
      </c>
      <c r="H69" s="5"/>
      <c r="I69" s="4"/>
      <c r="J69" s="2"/>
      <c r="K69" s="2"/>
      <c r="L69" s="2"/>
      <c r="M69" s="2"/>
      <c r="N69" s="2"/>
      <c r="O69" s="2"/>
      <c r="P69" s="4"/>
      <c r="Q69" s="2"/>
      <c r="R69" s="2"/>
      <c r="S69" s="3"/>
    </row>
    <row r="70" spans="1:19" ht="18">
      <c r="A70" s="37" t="s">
        <v>99</v>
      </c>
      <c r="B70" s="37" t="str">
        <f>VLOOKUP(ConstructionState[[#This Row],[Building or Upgrade]],Upgrades[],2,FALSE)</f>
        <v>Upgrade</v>
      </c>
      <c r="C70" s="37" t="str">
        <f>VLOOKUP(ConstructionState[Building or Upgrade],Upgrades[],3,FALSE)</f>
        <v>Dark Elixir</v>
      </c>
      <c r="D70" s="38" t="str">
        <f>IF(COUNTIF(Skips,ConstructionState[[#This Row],[Building or Upgrade]]),"IGNORE",ConstructionState[Kind]&amp;"-"&amp;ConstructionState[Resource])</f>
        <v>Upgrade-Dark Elixir</v>
      </c>
      <c r="E70" s="43">
        <f ca="1">IF(AND(ConstructionState[[#This Row],[Kind]]="Upgrade",LabLevel=0),0,VLOOKUP(ConstructionState[Building or Upgrade],QuantAvail[],1+IF(ConstructionState[[#This Row],[Kind]]="Upgrade",LabLevel,THLevel),FALSE))</f>
        <v>0</v>
      </c>
      <c r="F70" s="43">
        <f ca="1">IF(AND(ConstructionState[[#This Row],[Kind]]="Upgrade",LabLevel=0),0,VLOOKUP(ConstructionState[Building or Upgrade],MaxLevel[],1+IF(ConstructionState[[#This Row],[Kind]]="Upgrade",LabLevel,THLevel),FALSE))</f>
        <v>0</v>
      </c>
      <c r="G70" s="43">
        <f ca="1">ConstructionState[[#This Row],[Available]]-SUM(ConstructionState[[#This Row],[1]:[12]])</f>
        <v>0</v>
      </c>
      <c r="H70" s="5"/>
      <c r="I70" s="4"/>
      <c r="J70" s="2"/>
      <c r="K70" s="2"/>
      <c r="L70" s="2"/>
      <c r="M70" s="2"/>
      <c r="N70" s="2"/>
      <c r="O70" s="2"/>
      <c r="P70" s="4"/>
      <c r="Q70" s="2"/>
      <c r="R70" s="2"/>
      <c r="S70" s="3"/>
    </row>
    <row r="71" spans="1:19" ht="18">
      <c r="A71" s="37" t="s">
        <v>100</v>
      </c>
      <c r="B71" s="37" t="str">
        <f>VLOOKUP(ConstructionState[[#This Row],[Building or Upgrade]],Upgrades[],2,FALSE)</f>
        <v>Upgrade</v>
      </c>
      <c r="C71" s="37" t="str">
        <f>VLOOKUP(ConstructionState[Building or Upgrade],Upgrades[],3,FALSE)</f>
        <v>Dark Elixir</v>
      </c>
      <c r="D71" s="38" t="str">
        <f>IF(COUNTIF(Skips,ConstructionState[[#This Row],[Building or Upgrade]]),"IGNORE",ConstructionState[Kind]&amp;"-"&amp;ConstructionState[Resource])</f>
        <v>Upgrade-Dark Elixir</v>
      </c>
      <c r="E71" s="43">
        <f ca="1">IF(AND(ConstructionState[[#This Row],[Kind]]="Upgrade",LabLevel=0),0,VLOOKUP(ConstructionState[Building or Upgrade],QuantAvail[],1+IF(ConstructionState[[#This Row],[Kind]]="Upgrade",LabLevel,THLevel),FALSE))</f>
        <v>0</v>
      </c>
      <c r="F71" s="43">
        <f ca="1">IF(AND(ConstructionState[[#This Row],[Kind]]="Upgrade",LabLevel=0),0,VLOOKUP(ConstructionState[Building or Upgrade],MaxLevel[],1+IF(ConstructionState[[#This Row],[Kind]]="Upgrade",LabLevel,THLevel),FALSE))</f>
        <v>0</v>
      </c>
      <c r="G71" s="43">
        <f ca="1">ConstructionState[[#This Row],[Available]]-SUM(ConstructionState[[#This Row],[1]:[12]])</f>
        <v>0</v>
      </c>
      <c r="H71" s="5"/>
      <c r="I71" s="4"/>
      <c r="J71" s="2"/>
      <c r="K71" s="2"/>
      <c r="L71" s="2"/>
      <c r="M71" s="2"/>
      <c r="N71" s="2"/>
      <c r="O71" s="2"/>
      <c r="P71" s="4"/>
      <c r="Q71" s="2"/>
      <c r="R71" s="2"/>
      <c r="S71" s="3"/>
    </row>
    <row r="72" spans="1:19" ht="19" thickBot="1">
      <c r="A72" s="44" t="s">
        <v>101</v>
      </c>
      <c r="B72" s="44" t="str">
        <f>VLOOKUP(ConstructionState[[#This Row],[Building or Upgrade]],Upgrades[],2,FALSE)</f>
        <v>Upgrade</v>
      </c>
      <c r="C72" s="44" t="str">
        <f>VLOOKUP(ConstructionState[Building or Upgrade],Upgrades[],3,FALSE)</f>
        <v>Dark Elixir</v>
      </c>
      <c r="D72" s="45" t="str">
        <f>IF(COUNTIF(Skips,ConstructionState[[#This Row],[Building or Upgrade]]),"IGNORE",ConstructionState[Kind]&amp;"-"&amp;ConstructionState[Resource])</f>
        <v>Upgrade-Dark Elixir</v>
      </c>
      <c r="E72" s="40">
        <f ca="1">IF(AND(ConstructionState[[#This Row],[Kind]]="Upgrade",LabLevel=0),0,VLOOKUP(ConstructionState[Building or Upgrade],QuantAvail[],1+IF(ConstructionState[[#This Row],[Kind]]="Upgrade",LabLevel,THLevel),FALSE))</f>
        <v>0</v>
      </c>
      <c r="F72" s="40">
        <f ca="1">IF(AND(ConstructionState[[#This Row],[Kind]]="Upgrade",LabLevel=0),0,VLOOKUP(ConstructionState[Building or Upgrade],MaxLevel[],1+IF(ConstructionState[[#This Row],[Kind]]="Upgrade",LabLevel,THLevel),FALSE))</f>
        <v>0</v>
      </c>
      <c r="G72" s="40">
        <f ca="1">ConstructionState[[#This Row],[Available]]-SUM(ConstructionState[[#This Row],[1]:[12]])</f>
        <v>0</v>
      </c>
      <c r="H72" s="6"/>
      <c r="I72" s="7"/>
      <c r="J72" s="8"/>
      <c r="K72" s="8"/>
      <c r="L72" s="8"/>
      <c r="M72" s="8"/>
      <c r="N72" s="8"/>
      <c r="O72" s="8"/>
      <c r="P72" s="7"/>
      <c r="Q72" s="8"/>
      <c r="R72" s="8"/>
      <c r="S72" s="9"/>
    </row>
    <row r="73" spans="1:19" ht="16" thickTop="1">
      <c r="A73" s="112"/>
      <c r="B73" s="112"/>
      <c r="C73" s="112"/>
      <c r="E73" s="112"/>
      <c r="F73" s="112"/>
      <c r="G73" s="112"/>
      <c r="H73" s="112"/>
      <c r="I73" s="112"/>
      <c r="J73" s="112"/>
      <c r="K73" s="112"/>
      <c r="L73" s="112"/>
      <c r="M73" s="112"/>
      <c r="N73" s="112"/>
      <c r="O73" s="112"/>
      <c r="P73" s="112"/>
      <c r="Q73" s="112"/>
      <c r="R73" s="112"/>
      <c r="S73" s="112"/>
    </row>
  </sheetData>
  <sheetProtection selectLockedCells="1" sort="0" autoFilter="0" pivotTables="0"/>
  <mergeCells count="28">
    <mergeCell ref="I12:J12"/>
    <mergeCell ref="L12:M12"/>
    <mergeCell ref="I14:J14"/>
    <mergeCell ref="I13:J13"/>
    <mergeCell ref="L13:M13"/>
    <mergeCell ref="L14:M14"/>
    <mergeCell ref="J22:N22"/>
    <mergeCell ref="J20:N20"/>
    <mergeCell ref="P18:S18"/>
    <mergeCell ref="A6:G11"/>
    <mergeCell ref="A1:S2"/>
    <mergeCell ref="I11:N11"/>
    <mergeCell ref="C16:F16"/>
    <mergeCell ref="C17:F17"/>
    <mergeCell ref="A4:G5"/>
    <mergeCell ref="B13:F14"/>
    <mergeCell ref="P4:S4"/>
    <mergeCell ref="P11:S11"/>
    <mergeCell ref="H16:S17"/>
    <mergeCell ref="I4:N4"/>
    <mergeCell ref="C15:F15"/>
    <mergeCell ref="C20:F20"/>
    <mergeCell ref="C21:F21"/>
    <mergeCell ref="C18:F18"/>
    <mergeCell ref="C19:F19"/>
    <mergeCell ref="J19:N19"/>
    <mergeCell ref="H18:N18"/>
    <mergeCell ref="J21:N21"/>
  </mergeCells>
  <phoneticPr fontId="8" type="noConversion"/>
  <conditionalFormatting sqref="J6:N6 Q6:S8 Q13:S14 I21:I22 K8:N8 J7">
    <cfRule type="cellIs" dxfId="286" priority="34" operator="equal">
      <formula>0</formula>
    </cfRule>
  </conditionalFormatting>
  <conditionalFormatting sqref="I20:I22">
    <cfRule type="cellIs" dxfId="285" priority="16" operator="equal">
      <formula>TRUE</formula>
    </cfRule>
  </conditionalFormatting>
  <conditionalFormatting sqref="H24:S72">
    <cfRule type="expression" dxfId="284" priority="80">
      <formula>OR(VALUE(H$23)&gt;$F24,AND($B24="Upgrade",H$23="1"))</formula>
    </cfRule>
    <cfRule type="expression" dxfId="283" priority="81">
      <formula>AND(VALUE(H$23)&lt;$F24,VALUE(H24)&gt;0,COUNTIF(Skips,$A24)=0)</formula>
    </cfRule>
  </conditionalFormatting>
  <conditionalFormatting sqref="A1:XFD23 A24:T24 AG24:XFD24 A25:XFD1048576">
    <cfRule type="containsErrors" dxfId="282" priority="2">
      <formula>ISERROR(A1)</formula>
    </cfRule>
  </conditionalFormatting>
  <conditionalFormatting sqref="G24:G72">
    <cfRule type="cellIs" dxfId="281" priority="54" operator="lessThan">
      <formula>0</formula>
    </cfRule>
    <cfRule type="expression" dxfId="280" priority="55">
      <formula>AND(G24&gt;0,COUNTIF(Skips,$A24)=0)</formula>
    </cfRule>
  </conditionalFormatting>
  <dataValidations count="5">
    <dataValidation type="list" allowBlank="1" showInputMessage="1" showErrorMessage="1" sqref="P19:S22">
      <formula1>Actionables</formula1>
    </dataValidation>
    <dataValidation type="whole" allowBlank="1" showInputMessage="1" showErrorMessage="1" sqref="I19">
      <formula1>1</formula1>
      <formula2>5</formula2>
    </dataValidation>
    <dataValidation type="whole" operator="greaterThanOrEqual" allowBlank="1" showInputMessage="1" showErrorMessage="1" sqref="H24:S72">
      <formula1>1</formula1>
    </dataValidation>
    <dataValidation type="list" allowBlank="1" showInputMessage="1" showErrorMessage="1" sqref="I20">
      <formula1>Booleans</formula1>
    </dataValidation>
    <dataValidation type="whole" allowBlank="1" showInputMessage="1" showErrorMessage="1" sqref="I21:I22">
      <formula1>0</formula1>
      <formula2>40</formula2>
    </dataValidation>
  </dataValidations>
  <pageMargins left="0.7" right="0.7" top="0.75" bottom="0.75" header="0.3" footer="0.3"/>
  <pageSetup scale="30" orientation="landscape" horizontalDpi="4294967292" verticalDpi="4294967292"/>
  <rowBreaks count="3" manualBreakCount="3">
    <brk id="73" max="16383" man="1"/>
    <brk id="125" max="16383" man="1"/>
    <brk id="177" max="16383" man="1"/>
  </rowBreaks>
  <tableParts count="1">
    <tablePart r:id="rId1"/>
  </tableParts>
  <extLst>
    <ext xmlns:mx="http://schemas.microsoft.com/office/mac/excel/2008/main" uri="{64002731-A6B0-56B0-2670-7721B7C09600}">
      <mx:PLV Mode="0" OnePage="0" WScale="3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AF35"/>
  <sheetViews>
    <sheetView tabSelected="1" workbookViewId="0">
      <selection activeCell="Z10" sqref="Z10"/>
    </sheetView>
  </sheetViews>
  <sheetFormatPr baseColWidth="10" defaultRowHeight="16" customHeight="1" x14ac:dyDescent="0"/>
  <cols>
    <col min="1" max="1" width="13" style="59" bestFit="1" customWidth="1"/>
    <col min="2" max="2" width="8.5" style="59" bestFit="1" customWidth="1"/>
    <col min="3" max="3" width="9.6640625" style="59" bestFit="1" customWidth="1"/>
    <col min="4" max="4" width="5.33203125" style="59" bestFit="1" customWidth="1"/>
    <col min="5" max="5" width="9.33203125" style="59" bestFit="1" customWidth="1"/>
    <col min="6" max="6" width="9" style="59" bestFit="1" customWidth="1"/>
    <col min="7" max="7" width="8.5" style="59" bestFit="1" customWidth="1"/>
    <col min="8" max="8" width="6" style="59" bestFit="1" customWidth="1"/>
    <col min="9" max="9" width="12.6640625" style="59" bestFit="1" customWidth="1"/>
    <col min="10" max="10" width="9.83203125" style="59" bestFit="1" customWidth="1"/>
    <col min="11" max="11" width="10.6640625" style="59" bestFit="1" customWidth="1"/>
    <col min="12" max="12" width="1.83203125" style="59" customWidth="1"/>
    <col min="13" max="13" width="13.5" style="59" bestFit="1" customWidth="1"/>
    <col min="14" max="23" width="9.83203125" style="59" customWidth="1"/>
    <col min="24" max="24" width="1.83203125" style="59" customWidth="1"/>
    <col min="25" max="25" width="11" style="59" customWidth="1"/>
    <col min="26" max="29" width="11.6640625" style="59" customWidth="1"/>
    <col min="30" max="16384" width="10.83203125" style="59"/>
  </cols>
  <sheetData>
    <row r="1" spans="1:32" ht="16" customHeight="1" thickTop="1">
      <c r="A1" s="268" t="s">
        <v>129</v>
      </c>
      <c r="B1" s="312"/>
      <c r="C1" s="312"/>
      <c r="D1" s="312"/>
      <c r="E1" s="312"/>
      <c r="F1" s="313"/>
      <c r="G1" s="114"/>
      <c r="H1" s="268" t="s">
        <v>113</v>
      </c>
      <c r="I1" s="269"/>
      <c r="J1" s="269"/>
      <c r="K1" s="320"/>
      <c r="L1" s="114"/>
      <c r="M1" s="114"/>
      <c r="N1" s="114"/>
      <c r="O1" s="114"/>
      <c r="P1" s="114"/>
      <c r="Q1" s="114"/>
      <c r="R1" s="114"/>
      <c r="S1" s="114"/>
      <c r="T1" s="114"/>
      <c r="U1" s="114"/>
      <c r="V1" s="114"/>
      <c r="W1" s="114"/>
      <c r="X1" s="114"/>
      <c r="Y1" s="268" t="s">
        <v>275</v>
      </c>
      <c r="Z1" s="269"/>
      <c r="AA1" s="269"/>
      <c r="AB1" s="269"/>
      <c r="AC1" s="269"/>
      <c r="AD1" s="269"/>
      <c r="AE1" s="320"/>
      <c r="AF1" s="114"/>
    </row>
    <row r="2" spans="1:32" ht="16" customHeight="1" thickBot="1">
      <c r="A2" s="314"/>
      <c r="B2" s="315"/>
      <c r="C2" s="315"/>
      <c r="D2" s="315"/>
      <c r="E2" s="315"/>
      <c r="F2" s="316"/>
      <c r="G2" s="114"/>
      <c r="H2" s="273"/>
      <c r="I2" s="274"/>
      <c r="J2" s="274"/>
      <c r="K2" s="321"/>
      <c r="L2" s="114"/>
      <c r="M2" s="114"/>
      <c r="N2" s="114"/>
      <c r="O2" s="114"/>
      <c r="P2" s="114"/>
      <c r="Q2" s="114"/>
      <c r="R2" s="114"/>
      <c r="S2" s="114"/>
      <c r="T2" s="114"/>
      <c r="U2" s="114"/>
      <c r="V2" s="114"/>
      <c r="W2" s="114"/>
      <c r="X2" s="114"/>
      <c r="Y2" s="273"/>
      <c r="Z2" s="274"/>
      <c r="AA2" s="274"/>
      <c r="AB2" s="274"/>
      <c r="AC2" s="274"/>
      <c r="AD2" s="274"/>
      <c r="AE2" s="321"/>
      <c r="AF2" s="114"/>
    </row>
    <row r="3" spans="1:32" ht="16" customHeight="1" thickTop="1" thickBot="1">
      <c r="A3" s="344" t="s">
        <v>292</v>
      </c>
      <c r="B3" s="345"/>
      <c r="C3" s="345"/>
      <c r="D3" s="345"/>
      <c r="E3" s="345"/>
      <c r="F3" s="346"/>
      <c r="G3" s="114"/>
      <c r="H3" s="82">
        <v>2</v>
      </c>
      <c r="I3" s="331" t="s">
        <v>170</v>
      </c>
      <c r="J3" s="332"/>
      <c r="K3" s="333"/>
      <c r="L3" s="114"/>
      <c r="M3" s="114"/>
      <c r="N3" s="289" t="s">
        <v>285</v>
      </c>
      <c r="O3" s="326"/>
      <c r="P3" s="326"/>
      <c r="Q3" s="326"/>
      <c r="R3" s="326"/>
      <c r="S3" s="326"/>
      <c r="T3" s="326"/>
      <c r="U3" s="326"/>
      <c r="V3" s="326"/>
      <c r="W3" s="327"/>
      <c r="X3" s="114"/>
      <c r="Y3" s="114"/>
      <c r="Z3" s="114"/>
      <c r="AA3" s="114"/>
      <c r="AB3" s="114"/>
      <c r="AC3" s="114"/>
      <c r="AD3" s="114"/>
      <c r="AE3" s="114"/>
      <c r="AF3" s="114"/>
    </row>
    <row r="4" spans="1:32" ht="16" customHeight="1" thickTop="1" thickBot="1">
      <c r="A4" s="347"/>
      <c r="B4" s="348"/>
      <c r="C4" s="348"/>
      <c r="D4" s="348"/>
      <c r="E4" s="348"/>
      <c r="F4" s="349"/>
      <c r="G4" s="114"/>
      <c r="H4" s="29">
        <v>0</v>
      </c>
      <c r="I4" s="334" t="s">
        <v>171</v>
      </c>
      <c r="J4" s="335"/>
      <c r="K4" s="336"/>
      <c r="L4" s="114"/>
      <c r="M4" s="114"/>
      <c r="N4" s="328"/>
      <c r="O4" s="329"/>
      <c r="P4" s="329"/>
      <c r="Q4" s="329"/>
      <c r="R4" s="329"/>
      <c r="S4" s="329"/>
      <c r="T4" s="329"/>
      <c r="U4" s="329"/>
      <c r="V4" s="329"/>
      <c r="W4" s="330"/>
      <c r="X4" s="114"/>
      <c r="Y4" s="322" t="s">
        <v>283</v>
      </c>
      <c r="Z4" s="323"/>
      <c r="AA4" s="323"/>
      <c r="AB4" s="213" t="b">
        <v>1</v>
      </c>
      <c r="AC4" s="324" t="s">
        <v>284</v>
      </c>
      <c r="AD4" s="323"/>
      <c r="AE4" s="325"/>
      <c r="AF4" s="114"/>
    </row>
    <row r="5" spans="1:32" ht="16" customHeight="1" thickTop="1" thickBot="1">
      <c r="A5" s="347"/>
      <c r="B5" s="348"/>
      <c r="C5" s="348"/>
      <c r="D5" s="348"/>
      <c r="E5" s="348"/>
      <c r="F5" s="349"/>
      <c r="G5" s="114"/>
      <c r="H5" s="31">
        <v>-1</v>
      </c>
      <c r="I5" s="334" t="s">
        <v>111</v>
      </c>
      <c r="J5" s="335"/>
      <c r="K5" s="336"/>
      <c r="L5" s="114"/>
      <c r="M5" s="114"/>
      <c r="N5" s="114"/>
      <c r="O5" s="114"/>
      <c r="P5" s="114"/>
      <c r="Q5" s="114"/>
      <c r="R5" s="114"/>
      <c r="S5" s="114"/>
      <c r="T5" s="114"/>
      <c r="U5" s="114"/>
      <c r="V5" s="114"/>
      <c r="W5" s="114"/>
      <c r="X5" s="114"/>
      <c r="Y5" s="114"/>
      <c r="Z5" s="114"/>
      <c r="AA5" s="114"/>
      <c r="AB5" s="114"/>
      <c r="AC5" s="114"/>
      <c r="AD5" s="114"/>
      <c r="AE5" s="114"/>
      <c r="AF5" s="114"/>
    </row>
    <row r="6" spans="1:32" ht="16" customHeight="1" thickTop="1" thickBot="1">
      <c r="A6" s="350"/>
      <c r="B6" s="351"/>
      <c r="C6" s="351"/>
      <c r="D6" s="351"/>
      <c r="E6" s="351"/>
      <c r="F6" s="352"/>
      <c r="G6" s="114"/>
      <c r="H6" s="81"/>
      <c r="I6" s="337" t="s">
        <v>156</v>
      </c>
      <c r="J6" s="338"/>
      <c r="K6" s="339"/>
      <c r="L6" s="114"/>
      <c r="M6" s="114"/>
      <c r="N6" s="340" t="s">
        <v>247</v>
      </c>
      <c r="O6" s="341"/>
      <c r="P6" s="342" t="s">
        <v>287</v>
      </c>
      <c r="Q6" s="343"/>
      <c r="R6" s="324" t="s">
        <v>250</v>
      </c>
      <c r="S6" s="323"/>
      <c r="T6" s="323"/>
      <c r="U6" s="325"/>
      <c r="V6" s="114"/>
      <c r="W6" s="114"/>
      <c r="X6" s="114"/>
      <c r="Y6" s="317" t="s">
        <v>2</v>
      </c>
      <c r="Z6" s="249"/>
      <c r="AA6" s="249"/>
      <c r="AB6" s="249"/>
      <c r="AC6" s="318"/>
      <c r="AD6" s="318"/>
      <c r="AE6" s="319"/>
      <c r="AF6" s="114"/>
    </row>
    <row r="7" spans="1:32" ht="16" customHeight="1" thickTop="1" thickBot="1">
      <c r="A7" s="114"/>
      <c r="B7" s="114"/>
      <c r="C7" s="114"/>
      <c r="D7" s="114"/>
      <c r="E7" s="114"/>
      <c r="F7" s="114"/>
      <c r="G7" s="114"/>
      <c r="H7" s="114"/>
      <c r="I7" s="114"/>
      <c r="J7" s="114"/>
      <c r="K7" s="114"/>
      <c r="L7" s="112"/>
      <c r="M7" s="114"/>
      <c r="N7" s="114"/>
      <c r="O7" s="183"/>
      <c r="P7" s="183"/>
      <c r="Q7" s="183"/>
      <c r="R7" s="183"/>
      <c r="S7" s="183"/>
      <c r="T7" s="183"/>
      <c r="U7" s="183"/>
      <c r="V7" s="183"/>
      <c r="W7" s="114"/>
      <c r="X7" s="114"/>
      <c r="Y7" s="214"/>
      <c r="Z7" s="185" t="s">
        <v>279</v>
      </c>
      <c r="AA7" s="215" t="b">
        <v>0</v>
      </c>
      <c r="AB7" s="215" t="b">
        <v>0</v>
      </c>
      <c r="AC7" s="215" t="b">
        <v>0</v>
      </c>
      <c r="AD7" s="215" t="b">
        <v>0</v>
      </c>
      <c r="AE7" s="216"/>
      <c r="AF7" s="114"/>
    </row>
    <row r="8" spans="1:32" ht="16" customHeight="1" thickTop="1">
      <c r="A8" s="160" t="s">
        <v>146</v>
      </c>
      <c r="B8" s="160" t="s">
        <v>231</v>
      </c>
      <c r="C8" s="160" t="s">
        <v>138</v>
      </c>
      <c r="D8" s="160" t="s">
        <v>145</v>
      </c>
      <c r="E8" s="160" t="s">
        <v>30</v>
      </c>
      <c r="F8" s="160" t="s">
        <v>104</v>
      </c>
      <c r="G8" s="160" t="s">
        <v>0</v>
      </c>
      <c r="H8" s="160" t="s">
        <v>148</v>
      </c>
      <c r="I8" s="20" t="s">
        <v>141</v>
      </c>
      <c r="J8" s="160" t="s">
        <v>149</v>
      </c>
      <c r="K8" s="160" t="s">
        <v>150</v>
      </c>
      <c r="L8" s="112"/>
      <c r="M8" s="235" t="s">
        <v>177</v>
      </c>
      <c r="N8" s="236" t="s">
        <v>278</v>
      </c>
      <c r="O8" s="236" t="s">
        <v>290</v>
      </c>
      <c r="P8" s="236" t="s">
        <v>287</v>
      </c>
      <c r="Q8" s="236" t="s">
        <v>288</v>
      </c>
      <c r="R8" s="236" t="s">
        <v>291</v>
      </c>
      <c r="S8" s="236" t="s">
        <v>289</v>
      </c>
      <c r="T8" s="236" t="s">
        <v>188</v>
      </c>
      <c r="U8" s="236" t="s">
        <v>187</v>
      </c>
      <c r="V8" s="236" t="s">
        <v>286</v>
      </c>
      <c r="W8" s="237" t="s">
        <v>258</v>
      </c>
      <c r="X8" s="114"/>
      <c r="Y8" s="217" t="s">
        <v>143</v>
      </c>
      <c r="Z8" s="160" t="s">
        <v>259</v>
      </c>
      <c r="AA8" s="160" t="s">
        <v>251</v>
      </c>
      <c r="AB8" s="160" t="s">
        <v>252</v>
      </c>
      <c r="AC8" s="160" t="s">
        <v>253</v>
      </c>
      <c r="AD8" s="195" t="s">
        <v>254</v>
      </c>
      <c r="AE8" s="218" t="s">
        <v>165</v>
      </c>
      <c r="AF8" s="114"/>
    </row>
    <row r="9" spans="1:32" ht="16" customHeight="1">
      <c r="A9" s="160" t="s">
        <v>88</v>
      </c>
      <c r="B9" s="20">
        <f>INDEX(AttackSets[],MATCH(ArmyState[[#This Row],[Name]],AttackSets[Unit Set],0),MATCH(AttackSet,AttackSets[#Headers],0))</f>
        <v>4</v>
      </c>
      <c r="C9" s="161" t="str">
        <f>INDEX(UnitCosts[Type],MATCH(ArmyState[[#This Row],[Name]],UnitCosts[Name],0))</f>
        <v>Unit</v>
      </c>
      <c r="D9" s="160">
        <f ca="1">IFERROR(MATCH(1,OFFSET(ConstructionState[],MATCH(ArmyState[[#This Row],[Name]],ConstructionState[Building or Upgrade],0)-1,L1Offset,1,12)),1)</f>
        <v>4</v>
      </c>
      <c r="E9" s="161" t="str">
        <f>INDEX(UnitCosts[Resource],MATCH(ArmyState[[#This Row],[Name]],UnitCosts[Name],0))</f>
        <v>Elixir</v>
      </c>
      <c r="F9" s="17">
        <f ca="1">VLOOKUP(ArmyState[[#This Row],[Name]],UnitCosts[],MATCH(TEXT(ArmyState[[#This Row],[Level]],"#"),UnitCosts[#Headers],0),FALSE)</f>
        <v>3000</v>
      </c>
      <c r="G9" s="161">
        <f>INDEX(UnitCosts[Train Time],MATCH(ArmyState[[#This Row],[Name]],UnitCosts[Name],0))</f>
        <v>8</v>
      </c>
      <c r="H9" s="162">
        <f>INDEX(UnitCosts[Space],MATCH(ArmyState[[#This Row],[Name]],UnitCosts[Name],0))</f>
        <v>4</v>
      </c>
      <c r="I9" s="17">
        <f ca="1">ArmyState[[#This Row],[Count]]*ArmyState[[#This Row],[Cost]]</f>
        <v>12000</v>
      </c>
      <c r="J9" s="161">
        <f>ArmyState[[#This Row],[Count]]*ArmyState[[#This Row],[Time]]</f>
        <v>32</v>
      </c>
      <c r="K9" s="18">
        <f>ArmyState[[#This Row],[Count]]*ArmyState[[#This Row],[Space]]</f>
        <v>16</v>
      </c>
      <c r="L9" s="112"/>
      <c r="M9" s="233" t="s">
        <v>88</v>
      </c>
      <c r="N9" s="159"/>
      <c r="O9" s="159"/>
      <c r="P9" s="159">
        <v>4</v>
      </c>
      <c r="Q9" s="159">
        <v>6</v>
      </c>
      <c r="R9" s="159">
        <v>4</v>
      </c>
      <c r="S9" s="159"/>
      <c r="T9" s="159"/>
      <c r="U9" s="159"/>
      <c r="V9" s="159"/>
      <c r="W9" s="222">
        <v>3</v>
      </c>
      <c r="X9" s="114"/>
      <c r="Y9" s="217" t="s">
        <v>88</v>
      </c>
      <c r="Z9" s="215">
        <v>3</v>
      </c>
      <c r="AA9" s="160">
        <f ca="1">IFERROR(MAX(0,
MIN($B9-IF(NOT(ISNUMBER(Z9)),0,SUM($Z9:Z9)),
  IF($AB$4,
    {FALSE},
    VLOOKUP(INDEX(Calculations!$E$4:$E$9,MATCH(BO_Barracks[#Headers],Calculations!$D$4:$D$9,0)),Cap_Bar[],2)
      -IF(NOT(ISNUMBER(AA8)),0,SUMPRODUCT(AA$8:AA9,$H$8:$H9))),
  ROUND(
    ((($J$32-SUM($Z$19:Z$19))
      * IF(AA$7,4,1)
      / (NumBarracks+(3*COUNTIF(AA$7:$AD$7,TRUE))-COLUMNS($Z$19:Z$19)+1))
    -IF(NOT(ISNUMBER(AA8)),
        0,
        SUMPRODUCT(AA$8:AA9,$G$8:$G9)
      )
    )/$G9+10^-10,
    0))),0)</f>
        <v>1</v>
      </c>
      <c r="AB9" s="160">
        <f ca="1">IFERROR(MAX(0,
MIN($B9-IF(NOT(ISNUMBER(AA9)),0,SUM($Z9:AA9)),
  IF($AB$4,
    {FALSE},
    VLOOKUP(INDEX(Calculations!$E$4:$E$9,MATCH(BO_Barracks[#Headers],Calculations!$D$4:$D$9,0)),Cap_Bar[],2)
      -IF(NOT(ISNUMBER(AB8)),0,SUMPRODUCT(AB$8:AB9,$H$8:$H9))),
  ROUND(
    ((($J$32-SUM($Z$19:AA$19))
      * IF(AB$7,4,1)
      / (NumBarracks+(3*COUNTIF(AB$7:$AD$7,TRUE))-COLUMNS($Z$19:AA$19)+1))
    -IF(NOT(ISNUMBER(AB8)),
        0,
        SUMPRODUCT(AB$8:AB9,$G$8:$G9)
      )
    )/$G9+10^-10,
    0))),0)</f>
        <v>0</v>
      </c>
      <c r="AC9" s="160">
        <f ca="1">IFERROR(MAX(0,
MIN($B9-IF(NOT(ISNUMBER(AB9)),0,SUM($Z9:AB9)),
  IF($AB$4,
    {FALSE},
    VLOOKUP(INDEX(Calculations!$E$4:$E$9,MATCH(BO_Barracks[#Headers],Calculations!$D$4:$D$9,0)),Cap_Bar[],2)
      -IF(NOT(ISNUMBER(AC8)),0,SUMPRODUCT(AC$8:AC9,$H$8:$H9))),
  ROUND(
    ((($J$32-SUM($Z$19:AB$19))
      * IF(AC$7,4,1)
      / (NumBarracks+(3*COUNTIF(AC$7:$AD$7,TRUE))-COLUMNS($Z$19:AB$19)+1))
    -IF(NOT(ISNUMBER(AC8)),
        0,
        SUMPRODUCT(AC$8:AC9,$G$8:$G9)
      )
    )/$G9+10^-10,
    0))),0)</f>
        <v>0</v>
      </c>
      <c r="AD9" s="160">
        <f ca="1">IFERROR(MAX(0,
MIN($B9-IF(NOT(ISNUMBER(AC9)),0,SUM($Z9:AC9)),
  IF($AB$4,
    {FALSE},
    VLOOKUP(INDEX(Calculations!$E$4:$E$9,MATCH(BO_Barracks[#Headers],Calculations!$D$4:$D$9,0)),Cap_Bar[],2)
      -IF(NOT(ISNUMBER(AD8)),0,SUMPRODUCT(AD$8:AD9,$H$8:$H9))),
  ROUND(
    ((($J$32-SUM($Z$19:AC$19))
      * IF(AD$7,4,1)
      / (NumBarracks+(3*COUNTIF(AD$7:$AD$7,TRUE))-COLUMNS($Z$19:AC$19)+1))
    -IF(NOT(ISNUMBER(AD8)),
        0,
        SUMPRODUCT(AD$8:AD9,$G$8:$G9)
      )
    )/$G9+10^-10,
    0))),0)</f>
        <v>0</v>
      </c>
      <c r="AE9" s="218">
        <f ca="1">ArmyState[[#This Row],[Count]]-SUM(BO_Barracks[[#This Row],[Already Built]:[Barracks4]])</f>
        <v>0</v>
      </c>
      <c r="AF9" s="114"/>
    </row>
    <row r="10" spans="1:32" ht="16" customHeight="1">
      <c r="A10" s="160" t="s">
        <v>91</v>
      </c>
      <c r="B10" s="20">
        <f>INDEX(AttackSets[],MATCH(ArmyState[[#This Row],[Name]],AttackSets[Unit Set],0),MATCH(AttackSet,AttackSets[#Headers],0))</f>
        <v>0</v>
      </c>
      <c r="C10" s="161" t="str">
        <f>INDEX(UnitCosts[Type],MATCH(ArmyState[[#This Row],[Name]],UnitCosts[Name],0))</f>
        <v>Unit</v>
      </c>
      <c r="D10" s="160">
        <f ca="1">IFERROR(MATCH(1,OFFSET(ConstructionState[],MATCH(ArmyState[[#This Row],[Name]],ConstructionState[Building or Upgrade],0)-1,L1Offset,1,12)),1)</f>
        <v>1</v>
      </c>
      <c r="E10" s="161" t="str">
        <f>INDEX(UnitCosts[Resource],MATCH(ArmyState[[#This Row],[Name]],UnitCosts[Name],0))</f>
        <v>Elixir</v>
      </c>
      <c r="F10" s="17">
        <f ca="1">VLOOKUP(ArmyState[[#This Row],[Name]],UnitCosts[],MATCH(TEXT(ArmyState[[#This Row],[Level]],"#"),UnitCosts[#Headers],0),FALSE)</f>
        <v>30000</v>
      </c>
      <c r="G10" s="161">
        <f>INDEX(UnitCosts[Train Time],MATCH(ArmyState[[#This Row],[Name]],UnitCosts[Name],0))</f>
        <v>45</v>
      </c>
      <c r="H10" s="162">
        <f>INDEX(UnitCosts[Space],MATCH(ArmyState[[#This Row],[Name]],UnitCosts[Name],0))</f>
        <v>25</v>
      </c>
      <c r="I10" s="17">
        <f ca="1">ArmyState[[#This Row],[Count]]*ArmyState[[#This Row],[Cost]]</f>
        <v>0</v>
      </c>
      <c r="J10" s="161">
        <f>ArmyState[[#This Row],[Count]]*ArmyState[[#This Row],[Time]]</f>
        <v>0</v>
      </c>
      <c r="K10" s="18">
        <f>ArmyState[[#This Row],[Count]]*ArmyState[[#This Row],[Space]]</f>
        <v>0</v>
      </c>
      <c r="L10" s="112"/>
      <c r="M10" s="233" t="s">
        <v>91</v>
      </c>
      <c r="N10" s="159"/>
      <c r="O10" s="159"/>
      <c r="P10" s="159"/>
      <c r="Q10" s="159"/>
      <c r="R10" s="159"/>
      <c r="S10" s="159"/>
      <c r="T10" s="159"/>
      <c r="U10" s="159"/>
      <c r="V10" s="159"/>
      <c r="W10" s="222"/>
      <c r="X10" s="114"/>
      <c r="Y10" s="217" t="s">
        <v>91</v>
      </c>
      <c r="Z10" s="215"/>
      <c r="AA10" s="160">
        <f ca="1">IFERROR(MAX(0,
MIN($B10-IF(NOT(ISNUMBER(Z10)),0,SUM($Z10:Z10)),
  IF($AB$4,
    {FALSE},
    VLOOKUP(INDEX(Calculations!$E$4:$E$9,MATCH(BO_Barracks[#Headers],Calculations!$D$4:$D$9,0)),Cap_Bar[],2)
      -IF(NOT(ISNUMBER(AA9)),0,SUMPRODUCT(AA$9:AA9,$H$9:$H9))),
  ROUND(
    ((($J$32-SUM($Z$19:Z$19))
      * IF(AA$7,4,1)
      / (NumBarracks+(3*COUNTIF(AA$7:$AD$7,TRUE))-COLUMNS($Z$19:Z$19)+1))
    -IF(NOT(ISNUMBER(AA9)),
        0,
        SUMPRODUCT(AA$9:AA9,$G$9:$G9)
      )
    )/$G10+10^-10,
    0))),0)</f>
        <v>0</v>
      </c>
      <c r="AB10" s="160">
        <f ca="1">IFERROR(MAX(0,
MIN($B10-IF(NOT(ISNUMBER(AA10)),0,SUM($Z10:AA10)),
  IF($AB$4,
    {FALSE},
    VLOOKUP(INDEX(Calculations!$E$4:$E$9,MATCH(BO_Barracks[#Headers],Calculations!$D$4:$D$9,0)),Cap_Bar[],2)
      -IF(NOT(ISNUMBER(AB9)),0,SUMPRODUCT(AB$9:AB9,$H$9:$H9))),
  ROUND(
    ((($J$32-SUM($Z$19:AA$19))
      * IF(AB$7,4,1)
      / (NumBarracks+(3*COUNTIF(AB$7:$AD$7,TRUE))-COLUMNS($Z$19:AA$19)+1))
    -IF(NOT(ISNUMBER(AB9)),
        0,
        SUMPRODUCT(AB$9:AB9,$G$9:$G9)
      )
    )/$G10+10^-10,
    0))),0)</f>
        <v>0</v>
      </c>
      <c r="AC10" s="160">
        <f ca="1">IFERROR(MAX(0,
MIN($B10-IF(NOT(ISNUMBER(AB10)),0,SUM($Z10:AB10)),
  IF($AB$4,
    {FALSE},
    VLOOKUP(INDEX(Calculations!$E$4:$E$9,MATCH(BO_Barracks[#Headers],Calculations!$D$4:$D$9,0)),Cap_Bar[],2)
      -IF(NOT(ISNUMBER(AC9)),0,SUMPRODUCT(AC$9:AC9,$H$9:$H9))),
  ROUND(
    ((($J$32-SUM($Z$19:AB$19))
      * IF(AC$7,4,1)
      / (NumBarracks+(3*COUNTIF(AC$7:$AD$7,TRUE))-COLUMNS($Z$19:AB$19)+1))
    -IF(NOT(ISNUMBER(AC9)),
        0,
        SUMPRODUCT(AC$9:AC9,$G$9:$G9)
      )
    )/$G10+10^-10,
    0))),0)</f>
        <v>0</v>
      </c>
      <c r="AD10" s="160">
        <f ca="1">IFERROR(MAX(0,
MIN($B10-IF(NOT(ISNUMBER(AC10)),0,SUM($Z10:AC10)),
  IF($AB$4,
    {FALSE},
    VLOOKUP(INDEX(Calculations!$E$4:$E$9,MATCH(BO_Barracks[#Headers],Calculations!$D$4:$D$9,0)),Cap_Bar[],2)
      -IF(NOT(ISNUMBER(AD9)),0,SUMPRODUCT(AD$9:AD9,$H$9:$H9))),
  ROUND(
    ((($J$32-SUM($Z$19:AC$19))
      * IF(AD$7,4,1)
      / (NumBarracks+(3*COUNTIF(AD$7:$AD$7,TRUE))-COLUMNS($Z$19:AC$19)+1))
    -IF(NOT(ISNUMBER(AD9)),
        0,
        SUMPRODUCT(AD$9:AD9,$G$9:$G9)
      )
    )/$G10+10^-10,
    0))),0)</f>
        <v>0</v>
      </c>
      <c r="AE10" s="218">
        <f ca="1">ArmyState[[#This Row],[Count]]-SUM(BO_Barracks[[#This Row],[Already Built]:[Barracks4]])</f>
        <v>0</v>
      </c>
      <c r="AF10" s="114"/>
    </row>
    <row r="11" spans="1:32" ht="16" customHeight="1">
      <c r="A11" s="160" t="s">
        <v>87</v>
      </c>
      <c r="B11" s="20">
        <f>INDEX(AttackSets[],MATCH(ArmyState[[#This Row],[Name]],AttackSets[Unit Set],0),MATCH(AttackSet,AttackSets[#Headers],0))</f>
        <v>0</v>
      </c>
      <c r="C11" s="161" t="str">
        <f>INDEX(UnitCosts[Type],MATCH(ArmyState[[#This Row],[Name]],UnitCosts[Name],0))</f>
        <v>Unit</v>
      </c>
      <c r="D11" s="160">
        <f ca="1">IFERROR(MATCH(1,OFFSET(ConstructionState[],MATCH(ArmyState[[#This Row],[Name]],ConstructionState[Building or Upgrade],0)-1,L1Offset,1,12)),1)</f>
        <v>2</v>
      </c>
      <c r="E11" s="161" t="str">
        <f>INDEX(UnitCosts[Resource],MATCH(ArmyState[[#This Row],[Name]],UnitCosts[Name],0))</f>
        <v>Elixir</v>
      </c>
      <c r="F11" s="17">
        <f ca="1">VLOOKUP(ArmyState[[#This Row],[Name]],UnitCosts[],MATCH(TEXT(ArmyState[[#This Row],[Level]],"#"),UnitCosts[#Headers],0),FALSE)</f>
        <v>2500</v>
      </c>
      <c r="G11" s="161">
        <f>INDEX(UnitCosts[Train Time],MATCH(ArmyState[[#This Row],[Name]],UnitCosts[Name],0))</f>
        <v>8</v>
      </c>
      <c r="H11" s="162">
        <f>INDEX(UnitCosts[Space],MATCH(ArmyState[[#This Row],[Name]],UnitCosts[Name],0))</f>
        <v>5</v>
      </c>
      <c r="I11" s="17">
        <f ca="1">ArmyState[[#This Row],[Count]]*ArmyState[[#This Row],[Cost]]</f>
        <v>0</v>
      </c>
      <c r="J11" s="161">
        <f>ArmyState[[#This Row],[Count]]*ArmyState[[#This Row],[Time]]</f>
        <v>0</v>
      </c>
      <c r="K11" s="18">
        <f>ArmyState[[#This Row],[Count]]*ArmyState[[#This Row],[Space]]</f>
        <v>0</v>
      </c>
      <c r="L11" s="112"/>
      <c r="M11" s="233" t="s">
        <v>87</v>
      </c>
      <c r="N11" s="159"/>
      <c r="O11" s="159"/>
      <c r="P11" s="159"/>
      <c r="Q11" s="159"/>
      <c r="R11" s="159"/>
      <c r="S11" s="159"/>
      <c r="T11" s="159"/>
      <c r="U11" s="159"/>
      <c r="V11" s="159"/>
      <c r="W11" s="222">
        <v>5</v>
      </c>
      <c r="X11" s="114"/>
      <c r="Y11" s="217" t="s">
        <v>87</v>
      </c>
      <c r="Z11" s="215"/>
      <c r="AA11" s="160">
        <f ca="1">IFERROR(MAX(0,
MIN($B11-IF(NOT(ISNUMBER(Z11)),0,SUM($Z11:Z11)),
  IF($AB$4,
    {FALSE},
    VLOOKUP(INDEX(Calculations!$E$4:$E$9,MATCH(BO_Barracks[#Headers],Calculations!$D$4:$D$9,0)),Cap_Bar[],2)
      -IF(NOT(ISNUMBER(AA10)),0,SUMPRODUCT(AA$9:AA10,$H$9:$H10))),
  ROUND(
    ((($J$32-SUM($Z$19:Z$19))
      * IF(AA$7,4,1)
      / (NumBarracks+(3*COUNTIF(AA$7:$AD$7,TRUE))-COLUMNS($Z$19:Z$19)+1))
    -IF(NOT(ISNUMBER(AA10)),
        0,
        SUMPRODUCT(AA$9:AA10,$G$9:$G10)
      )
    )/$G11+10^-10,
    0))),0)</f>
        <v>0</v>
      </c>
      <c r="AB11" s="160">
        <f ca="1">IFERROR(MAX(0,
MIN($B11-IF(NOT(ISNUMBER(AA11)),0,SUM($Z11:AA11)),
  IF($AB$4,
    {FALSE},
    VLOOKUP(INDEX(Calculations!$E$4:$E$9,MATCH(BO_Barracks[#Headers],Calculations!$D$4:$D$9,0)),Cap_Bar[],2)
      -IF(NOT(ISNUMBER(AB10)),0,SUMPRODUCT(AB$9:AB10,$H$9:$H10))),
  ROUND(
    ((($J$32-SUM($Z$19:AA$19))
      * IF(AB$7,4,1)
      / (NumBarracks+(3*COUNTIF(AB$7:$AD$7,TRUE))-COLUMNS($Z$19:AA$19)+1))
    -IF(NOT(ISNUMBER(AB10)),
        0,
        SUMPRODUCT(AB$9:AB10,$G$9:$G10)
      )
    )/$G11+10^-10,
    0))),0)</f>
        <v>0</v>
      </c>
      <c r="AC11" s="160">
        <f ca="1">IFERROR(MAX(0,
MIN($B11-IF(NOT(ISNUMBER(AB11)),0,SUM($Z11:AB11)),
  IF($AB$4,
    {FALSE},
    VLOOKUP(INDEX(Calculations!$E$4:$E$9,MATCH(BO_Barracks[#Headers],Calculations!$D$4:$D$9,0)),Cap_Bar[],2)
      -IF(NOT(ISNUMBER(AC10)),0,SUMPRODUCT(AC$9:AC10,$H$9:$H10))),
  ROUND(
    ((($J$32-SUM($Z$19:AB$19))
      * IF(AC$7,4,1)
      / (NumBarracks+(3*COUNTIF(AC$7:$AD$7,TRUE))-COLUMNS($Z$19:AB$19)+1))
    -IF(NOT(ISNUMBER(AC10)),
        0,
        SUMPRODUCT(AC$9:AC10,$G$9:$G10)
      )
    )/$G11+10^-10,
    0))),0)</f>
        <v>0</v>
      </c>
      <c r="AD11" s="160">
        <f ca="1">IFERROR(MAX(0,
MIN($B11-IF(NOT(ISNUMBER(AC11)),0,SUM($Z11:AC11)),
  IF($AB$4,
    {FALSE},
    VLOOKUP(INDEX(Calculations!$E$4:$E$9,MATCH(BO_Barracks[#Headers],Calculations!$D$4:$D$9,0)),Cap_Bar[],2)
      -IF(NOT(ISNUMBER(AD10)),0,SUMPRODUCT(AD$9:AD10,$H$9:$H10))),
  ROUND(
    ((($J$32-SUM($Z$19:AC$19))
      * IF(AD$7,4,1)
      / (NumBarracks+(3*COUNTIF(AD$7:$AD$7,TRUE))-COLUMNS($Z$19:AC$19)+1))
    -IF(NOT(ISNUMBER(AD10)),
        0,
        SUMPRODUCT(AD$9:AD10,$G$9:$G10)
      )
    )/$G11+10^-10,
    0))),0)</f>
        <v>0</v>
      </c>
      <c r="AE11" s="218">
        <f ca="1">ArmyState[[#This Row],[Count]]-SUM(BO_Barracks[[#This Row],[Already Built]:[Barracks4]])</f>
        <v>0</v>
      </c>
      <c r="AF11" s="114"/>
    </row>
    <row r="12" spans="1:32" ht="16" customHeight="1">
      <c r="A12" s="160" t="s">
        <v>90</v>
      </c>
      <c r="B12" s="20">
        <f>INDEX(AttackSets[],MATCH(ArmyState[[#This Row],[Name]],AttackSets[Unit Set],0),MATCH(AttackSet,AttackSets[#Headers],0))</f>
        <v>0</v>
      </c>
      <c r="C12" s="161" t="str">
        <f>INDEX(UnitCosts[Type],MATCH(ArmyState[[#This Row],[Name]],UnitCosts[Name],0))</f>
        <v>Unit</v>
      </c>
      <c r="D12" s="160">
        <f ca="1">IFERROR(MATCH(1,OFFSET(ConstructionState[],MATCH(ArmyState[[#This Row],[Name]],ConstructionState[Building or Upgrade],0)-1,L1Offset,1,12)),1)</f>
        <v>2</v>
      </c>
      <c r="E12" s="161" t="str">
        <f>INDEX(UnitCosts[Resource],MATCH(ArmyState[[#This Row],[Name]],UnitCosts[Name],0))</f>
        <v>Elixir</v>
      </c>
      <c r="F12" s="17">
        <f ca="1">VLOOKUP(ArmyState[[#This Row],[Name]],UnitCosts[],MATCH(TEXT(ArmyState[[#This Row],[Level]],"#"),UnitCosts[#Headers],0),FALSE)</f>
        <v>30000</v>
      </c>
      <c r="G12" s="161">
        <f>INDEX(UnitCosts[Train Time],MATCH(ArmyState[[#This Row],[Name]],UnitCosts[Name],0))</f>
        <v>30</v>
      </c>
      <c r="H12" s="162">
        <f>INDEX(UnitCosts[Space],MATCH(ArmyState[[#This Row],[Name]],UnitCosts[Name],0))</f>
        <v>20</v>
      </c>
      <c r="I12" s="17">
        <f ca="1">ArmyState[[#This Row],[Count]]*ArmyState[[#This Row],[Cost]]</f>
        <v>0</v>
      </c>
      <c r="J12" s="161">
        <f>ArmyState[[#This Row],[Count]]*ArmyState[[#This Row],[Time]]</f>
        <v>0</v>
      </c>
      <c r="K12" s="18">
        <f>ArmyState[[#This Row],[Count]]*ArmyState[[#This Row],[Space]]</f>
        <v>0</v>
      </c>
      <c r="L12" s="112"/>
      <c r="M12" s="233" t="s">
        <v>90</v>
      </c>
      <c r="N12" s="159"/>
      <c r="O12" s="159"/>
      <c r="P12" s="159"/>
      <c r="Q12" s="159"/>
      <c r="R12" s="159"/>
      <c r="S12" s="159"/>
      <c r="T12" s="159"/>
      <c r="U12" s="159"/>
      <c r="V12" s="159"/>
      <c r="W12" s="222"/>
      <c r="X12" s="114"/>
      <c r="Y12" s="217" t="s">
        <v>90</v>
      </c>
      <c r="Z12" s="215"/>
      <c r="AA12" s="160">
        <f ca="1">IFERROR(MAX(0,
MIN($B12-IF(NOT(ISNUMBER(Z12)),0,SUM($Z12:Z12)),
  IF($AB$4,
    {FALSE},
    VLOOKUP(INDEX(Calculations!$E$4:$E$9,MATCH(BO_Barracks[#Headers],Calculations!$D$4:$D$9,0)),Cap_Bar[],2)
      -IF(NOT(ISNUMBER(AA11)),0,SUMPRODUCT(AA$9:AA11,$H$9:$H11))),
  ROUND(
    ((($J$32-SUM($Z$19:Z$19))
      * IF(AA$7,4,1)
      / (NumBarracks+(3*COUNTIF(AA$7:$AD$7,TRUE))-COLUMNS($Z$19:Z$19)+1))
    -IF(NOT(ISNUMBER(AA11)),
        0,
        SUMPRODUCT(AA$9:AA11,$G$9:$G11)
      )
    )/$G12+10^-10,
    0))),0)</f>
        <v>0</v>
      </c>
      <c r="AB12" s="160">
        <f ca="1">IFERROR(MAX(0,
MIN($B12-IF(NOT(ISNUMBER(AA12)),0,SUM($Z12:AA12)),
  IF($AB$4,
    {FALSE},
    VLOOKUP(INDEX(Calculations!$E$4:$E$9,MATCH(BO_Barracks[#Headers],Calculations!$D$4:$D$9,0)),Cap_Bar[],2)
      -IF(NOT(ISNUMBER(AB11)),0,SUMPRODUCT(AB$9:AB11,$H$9:$H11))),
  ROUND(
    ((($J$32-SUM($Z$19:AA$19))
      * IF(AB$7,4,1)
      / (NumBarracks+(3*COUNTIF(AB$7:$AD$7,TRUE))-COLUMNS($Z$19:AA$19)+1))
    -IF(NOT(ISNUMBER(AB11)),
        0,
        SUMPRODUCT(AB$9:AB11,$G$9:$G11)
      )
    )/$G12+10^-10,
    0))),0)</f>
        <v>0</v>
      </c>
      <c r="AC12" s="160">
        <f ca="1">IFERROR(MAX(0,
MIN($B12-IF(NOT(ISNUMBER(AB12)),0,SUM($Z12:AB12)),
  IF($AB$4,
    {FALSE},
    VLOOKUP(INDEX(Calculations!$E$4:$E$9,MATCH(BO_Barracks[#Headers],Calculations!$D$4:$D$9,0)),Cap_Bar[],2)
      -IF(NOT(ISNUMBER(AC11)),0,SUMPRODUCT(AC$9:AC11,$H$9:$H11))),
  ROUND(
    ((($J$32-SUM($Z$19:AB$19))
      * IF(AC$7,4,1)
      / (NumBarracks+(3*COUNTIF(AC$7:$AD$7,TRUE))-COLUMNS($Z$19:AB$19)+1))
    -IF(NOT(ISNUMBER(AC11)),
        0,
        SUMPRODUCT(AC$9:AC11,$G$9:$G11)
      )
    )/$G12+10^-10,
    0))),0)</f>
        <v>0</v>
      </c>
      <c r="AD12" s="160">
        <f ca="1">IFERROR(MAX(0,
MIN($B12-IF(NOT(ISNUMBER(AC12)),0,SUM($Z12:AC12)),
  IF($AB$4,
    {FALSE},
    VLOOKUP(INDEX(Calculations!$E$4:$E$9,MATCH(BO_Barracks[#Headers],Calculations!$D$4:$D$9,0)),Cap_Bar[],2)
      -IF(NOT(ISNUMBER(AD11)),0,SUMPRODUCT(AD$9:AD11,$H$9:$H11))),
  ROUND(
    ((($J$32-SUM($Z$19:AC$19))
      * IF(AD$7,4,1)
      / (NumBarracks+(3*COUNTIF(AD$7:$AD$7,TRUE))-COLUMNS($Z$19:AC$19)+1))
    -IF(NOT(ISNUMBER(AD11)),
        0,
        SUMPRODUCT(AD$9:AD11,$G$9:$G11)
      )
    )/$G12+10^-10,
    0))),0)</f>
        <v>0</v>
      </c>
      <c r="AE12" s="218">
        <f ca="1">ArmyState[[#This Row],[Count]]-SUM(BO_Barracks[[#This Row],[Already Built]:[Barracks4]])</f>
        <v>0</v>
      </c>
      <c r="AF12" s="114"/>
    </row>
    <row r="13" spans="1:32" ht="16" customHeight="1">
      <c r="A13" s="160" t="s">
        <v>89</v>
      </c>
      <c r="B13" s="20">
        <f>INDEX(AttackSets[],MATCH(ArmyState[[#This Row],[Name]],AttackSets[Unit Set],0),MATCH(AttackSet,AttackSets[#Headers],0))</f>
        <v>2</v>
      </c>
      <c r="C13" s="161" t="str">
        <f>INDEX(UnitCosts[Type],MATCH(ArmyState[[#This Row],[Name]],UnitCosts[Name],0))</f>
        <v>Unit</v>
      </c>
      <c r="D13" s="160">
        <f ca="1">IFERROR(MATCH(1,OFFSET(ConstructionState[],MATCH(ArmyState[[#This Row],[Name]],ConstructionState[Building or Upgrade],0)-1,L1Offset,1,12)),1)</f>
        <v>2</v>
      </c>
      <c r="E13" s="161" t="str">
        <f>INDEX(UnitCosts[Resource],MATCH(ArmyState[[#This Row],[Name]],UnitCosts[Name],0))</f>
        <v>Elixir</v>
      </c>
      <c r="F13" s="17">
        <f ca="1">VLOOKUP(ArmyState[[#This Row],[Name]],UnitCosts[],MATCH(TEXT(ArmyState[[#This Row],[Level]],"#"),UnitCosts[#Headers],0),FALSE)</f>
        <v>6000</v>
      </c>
      <c r="G13" s="161">
        <f>INDEX(UnitCosts[Train Time],MATCH(ArmyState[[#This Row],[Name]],UnitCosts[Name],0))</f>
        <v>15</v>
      </c>
      <c r="H13" s="162">
        <f>INDEX(UnitCosts[Space],MATCH(ArmyState[[#This Row],[Name]],UnitCosts[Name],0))</f>
        <v>14</v>
      </c>
      <c r="I13" s="17">
        <f ca="1">ArmyState[[#This Row],[Count]]*ArmyState[[#This Row],[Cost]]</f>
        <v>12000</v>
      </c>
      <c r="J13" s="161">
        <f>ArmyState[[#This Row],[Count]]*ArmyState[[#This Row],[Time]]</f>
        <v>30</v>
      </c>
      <c r="K13" s="18">
        <f>ArmyState[[#This Row],[Count]]*ArmyState[[#This Row],[Space]]</f>
        <v>28</v>
      </c>
      <c r="L13" s="112"/>
      <c r="M13" s="233" t="s">
        <v>89</v>
      </c>
      <c r="N13" s="159"/>
      <c r="O13" s="159"/>
      <c r="P13" s="159">
        <v>2</v>
      </c>
      <c r="Q13" s="159"/>
      <c r="R13" s="159">
        <v>2</v>
      </c>
      <c r="S13" s="159"/>
      <c r="T13" s="159"/>
      <c r="U13" s="159"/>
      <c r="V13" s="159"/>
      <c r="W13" s="222">
        <v>3</v>
      </c>
      <c r="X13" s="114"/>
      <c r="Y13" s="217" t="s">
        <v>89</v>
      </c>
      <c r="Z13" s="215"/>
      <c r="AA13" s="160">
        <f ca="1">IFERROR(MAX(0,
MIN($B13-IF(NOT(ISNUMBER(Z13)),0,SUM($Z13:Z13)),
  IF($AB$4,
    {FALSE},
    VLOOKUP(INDEX(Calculations!$E$4:$E$9,MATCH(BO_Barracks[#Headers],Calculations!$D$4:$D$9,0)),Cap_Bar[],2)
      -IF(NOT(ISNUMBER(AA12)),0,SUMPRODUCT(AA$9:AA12,$H$9:$H12))),
  ROUND(
    ((($J$32-SUM($Z$19:Z$19))
      * IF(AA$7,4,1)
      / (NumBarracks+(3*COUNTIF(AA$7:$AD$7,TRUE))-COLUMNS($Z$19:Z$19)+1))
    -IF(NOT(ISNUMBER(AA12)),
        0,
        SUMPRODUCT(AA$9:AA12,$G$9:$G12)
      )
    )/$G13+10^-10,
    0))),0)</f>
        <v>1</v>
      </c>
      <c r="AB13" s="160">
        <f ca="1">IFERROR(MAX(0,
MIN($B13-IF(NOT(ISNUMBER(AA13)),0,SUM($Z13:AA13)),
  IF($AB$4,
    {FALSE},
    VLOOKUP(INDEX(Calculations!$E$4:$E$9,MATCH(BO_Barracks[#Headers],Calculations!$D$4:$D$9,0)),Cap_Bar[],2)
      -IF(NOT(ISNUMBER(AB12)),0,SUMPRODUCT(AB$9:AB12,$H$9:$H12))),
  ROUND(
    ((($J$32-SUM($Z$19:AA$19))
      * IF(AB$7,4,1)
      / (NumBarracks+(3*COUNTIF(AB$7:$AD$7,TRUE))-COLUMNS($Z$19:AA$19)+1))
    -IF(NOT(ISNUMBER(AB12)),
        0,
        SUMPRODUCT(AB$9:AB12,$G$9:$G12)
      )
    )/$G13+10^-10,
    0))),0)</f>
        <v>1</v>
      </c>
      <c r="AC13" s="160">
        <f ca="1">IFERROR(MAX(0,
MIN($B13-IF(NOT(ISNUMBER(AB13)),0,SUM($Z13:AB13)),
  IF($AB$4,
    {FALSE},
    VLOOKUP(INDEX(Calculations!$E$4:$E$9,MATCH(BO_Barracks[#Headers],Calculations!$D$4:$D$9,0)),Cap_Bar[],2)
      -IF(NOT(ISNUMBER(AC12)),0,SUMPRODUCT(AC$9:AC12,$H$9:$H12))),
  ROUND(
    ((($J$32-SUM($Z$19:AB$19))
      * IF(AC$7,4,1)
      / (NumBarracks+(3*COUNTIF(AC$7:$AD$7,TRUE))-COLUMNS($Z$19:AB$19)+1))
    -IF(NOT(ISNUMBER(AC12)),
        0,
        SUMPRODUCT(AC$9:AC12,$G$9:$G12)
      )
    )/$G13+10^-10,
    0))),0)</f>
        <v>0</v>
      </c>
      <c r="AD13" s="160">
        <f ca="1">IFERROR(MAX(0,
MIN($B13-IF(NOT(ISNUMBER(AC13)),0,SUM($Z13:AC13)),
  IF($AB$4,
    {FALSE},
    VLOOKUP(INDEX(Calculations!$E$4:$E$9,MATCH(BO_Barracks[#Headers],Calculations!$D$4:$D$9,0)),Cap_Bar[],2)
      -IF(NOT(ISNUMBER(AD12)),0,SUMPRODUCT(AD$9:AD12,$H$9:$H12))),
  ROUND(
    ((($J$32-SUM($Z$19:AC$19))
      * IF(AD$7,4,1)
      / (NumBarracks+(3*COUNTIF(AD$7:$AD$7,TRUE))-COLUMNS($Z$19:AC$19)+1))
    -IF(NOT(ISNUMBER(AD12)),
        0,
        SUMPRODUCT(AD$9:AD12,$G$9:$G12)
      )
    )/$G13+10^-10,
    0))),0)</f>
        <v>0</v>
      </c>
      <c r="AE13" s="218">
        <f ca="1">ArmyState[[#This Row],[Count]]-SUM(BO_Barracks[[#This Row],[Already Built]:[Barracks4]])</f>
        <v>0</v>
      </c>
      <c r="AF13" s="114"/>
    </row>
    <row r="14" spans="1:32" ht="16" customHeight="1">
      <c r="A14" s="160" t="s">
        <v>86</v>
      </c>
      <c r="B14" s="20">
        <f>INDEX(AttackSets[],MATCH(ArmyState[[#This Row],[Name]],AttackSets[Unit Set],0),MATCH(AttackSet,AttackSets[#Headers],0))</f>
        <v>10</v>
      </c>
      <c r="C14" s="161" t="str">
        <f>INDEX(UnitCosts[Type],MATCH(ArmyState[[#This Row],[Name]],UnitCosts[Name],0))</f>
        <v>Unit</v>
      </c>
      <c r="D14" s="160">
        <f ca="1">IFERROR(MATCH(1,OFFSET(ConstructionState[],MATCH(ArmyState[[#This Row],[Name]],ConstructionState[Building or Upgrade],0)-1,L1Offset,1,12)),1)</f>
        <v>4</v>
      </c>
      <c r="E14" s="161" t="str">
        <f>INDEX(UnitCosts[Resource],MATCH(ArmyState[[#This Row],[Name]],UnitCosts[Name],0))</f>
        <v>Elixir</v>
      </c>
      <c r="F14" s="17">
        <f ca="1">VLOOKUP(ArmyState[[#This Row],[Name]],UnitCosts[],MATCH(TEXT(ArmyState[[#This Row],[Level]],"#"),UnitCosts[#Headers],0),FALSE)</f>
        <v>2500</v>
      </c>
      <c r="G14" s="161">
        <f>INDEX(UnitCosts[Train Time],MATCH(ArmyState[[#This Row],[Name]],UnitCosts[Name],0))</f>
        <v>2</v>
      </c>
      <c r="H14" s="162">
        <f>INDEX(UnitCosts[Space],MATCH(ArmyState[[#This Row],[Name]],UnitCosts[Name],0))</f>
        <v>2</v>
      </c>
      <c r="I14" s="17">
        <f ca="1">ArmyState[[#This Row],[Count]]*ArmyState[[#This Row],[Cost]]</f>
        <v>25000</v>
      </c>
      <c r="J14" s="161">
        <f>ArmyState[[#This Row],[Count]]*ArmyState[[#This Row],[Time]]</f>
        <v>20</v>
      </c>
      <c r="K14" s="18">
        <f>ArmyState[[#This Row],[Count]]*ArmyState[[#This Row],[Space]]</f>
        <v>20</v>
      </c>
      <c r="L14" s="112"/>
      <c r="M14" s="233" t="s">
        <v>86</v>
      </c>
      <c r="N14" s="159">
        <v>10</v>
      </c>
      <c r="O14" s="159">
        <v>8</v>
      </c>
      <c r="P14" s="159">
        <v>10</v>
      </c>
      <c r="Q14" s="159">
        <v>12</v>
      </c>
      <c r="R14" s="159">
        <v>10</v>
      </c>
      <c r="S14" s="159"/>
      <c r="T14" s="159">
        <v>9</v>
      </c>
      <c r="U14" s="159"/>
      <c r="V14" s="159"/>
      <c r="W14" s="222">
        <v>7</v>
      </c>
      <c r="X14" s="114"/>
      <c r="Y14" s="217" t="s">
        <v>86</v>
      </c>
      <c r="Z14" s="215"/>
      <c r="AA14" s="160">
        <f ca="1">IFERROR(MAX(0,
MIN($B14-IF(NOT(ISNUMBER(Z14)),0,SUM($Z14:Z14)),
  IF($AB$4,
    {FALSE},
    VLOOKUP(INDEX(Calculations!$E$4:$E$9,MATCH(BO_Barracks[#Headers],Calculations!$D$4:$D$9,0)),Cap_Bar[],2)
      -IF(NOT(ISNUMBER(AA13)),0,SUMPRODUCT(AA$9:AA13,$H$9:$H13))),
  ROUND(
    ((($J$32-SUM($Z$19:Z$19))
      * IF(AA$7,4,1)
      / (NumBarracks+(3*COUNTIF(AA$7:$AD$7,TRUE))-COLUMNS($Z$19:Z$19)+1))
    -IF(NOT(ISNUMBER(AA13)),
        0,
        SUMPRODUCT(AA$9:AA13,$G$9:$G13)
      )
    )/$G14+10^-10,
    0))),0)</f>
        <v>3</v>
      </c>
      <c r="AB14" s="160">
        <f ca="1">IFERROR(MAX(0,
MIN($B14-IF(NOT(ISNUMBER(AA14)),0,SUM($Z14:AA14)),
  IF($AB$4,
    {FALSE},
    VLOOKUP(INDEX(Calculations!$E$4:$E$9,MATCH(BO_Barracks[#Headers],Calculations!$D$4:$D$9,0)),Cap_Bar[],2)
      -IF(NOT(ISNUMBER(AB13)),0,SUMPRODUCT(AB$9:AB13,$H$9:$H13))),
  ROUND(
    ((($J$32-SUM($Z$19:AA$19))
      * IF(AB$7,4,1)
      / (NumBarracks+(3*COUNTIF(AB$7:$AD$7,TRUE))-COLUMNS($Z$19:AA$19)+1))
    -IF(NOT(ISNUMBER(AB13)),
        0,
        SUMPRODUCT(AB$9:AB13,$G$9:$G13)
      )
    )/$G14+10^-10,
    0))),0)</f>
        <v>6</v>
      </c>
      <c r="AC14" s="160">
        <f ca="1">IFERROR(MAX(0,
MIN($B14-IF(NOT(ISNUMBER(AB14)),0,SUM($Z14:AB14)),
  IF($AB$4,
    {FALSE},
    VLOOKUP(INDEX(Calculations!$E$4:$E$9,MATCH(BO_Barracks[#Headers],Calculations!$D$4:$D$9,0)),Cap_Bar[],2)
      -IF(NOT(ISNUMBER(AC13)),0,SUMPRODUCT(AC$9:AC13,$H$9:$H13))),
  ROUND(
    ((($J$32-SUM($Z$19:AB$19))
      * IF(AC$7,4,1)
      / (NumBarracks+(3*COUNTIF(AC$7:$AD$7,TRUE))-COLUMNS($Z$19:AB$19)+1))
    -IF(NOT(ISNUMBER(AC13)),
        0,
        SUMPRODUCT(AC$9:AC13,$G$9:$G13)
      )
    )/$G14+10^-10,
    0))),0)</f>
        <v>1</v>
      </c>
      <c r="AD14" s="160">
        <f ca="1">IFERROR(MAX(0,
MIN($B14-IF(NOT(ISNUMBER(AC14)),0,SUM($Z14:AC14)),
  IF($AB$4,
    {FALSE},
    VLOOKUP(INDEX(Calculations!$E$4:$E$9,MATCH(BO_Barracks[#Headers],Calculations!$D$4:$D$9,0)),Cap_Bar[],2)
      -IF(NOT(ISNUMBER(AD13)),0,SUMPRODUCT(AD$9:AD13,$H$9:$H13))),
  ROUND(
    ((($J$32-SUM($Z$19:AC$19))
      * IF(AD$7,4,1)
      / (NumBarracks+(3*COUNTIF(AD$7:$AD$7,TRUE))-COLUMNS($Z$19:AC$19)+1))
    -IF(NOT(ISNUMBER(AD13)),
        0,
        SUMPRODUCT(AD$9:AD13,$G$9:$G13)
      )
    )/$G14+10^-10,
    0))),0)</f>
        <v>0</v>
      </c>
      <c r="AE14" s="218">
        <f ca="1">ArmyState[[#This Row],[Count]]-SUM(BO_Barracks[[#This Row],[Already Built]:[Barracks4]])</f>
        <v>0</v>
      </c>
      <c r="AF14" s="114"/>
    </row>
    <row r="15" spans="1:32" ht="16" customHeight="1">
      <c r="A15" s="160" t="s">
        <v>84</v>
      </c>
      <c r="B15" s="20">
        <f>INDEX(AttackSets[],MATCH(ArmyState[[#This Row],[Name]],AttackSets[Unit Set],0),MATCH(AttackSet,AttackSets[#Headers],0))</f>
        <v>0</v>
      </c>
      <c r="C15" s="161" t="str">
        <f>INDEX(UnitCosts[Type],MATCH(ArmyState[[#This Row],[Name]],UnitCosts[Name],0))</f>
        <v>Unit</v>
      </c>
      <c r="D15" s="160">
        <f ca="1">IFERROR(MATCH(1,OFFSET(ConstructionState[],MATCH(ArmyState[[#This Row],[Name]],ConstructionState[Building or Upgrade],0)-1,L1Offset,1,12)),1)</f>
        <v>4</v>
      </c>
      <c r="E15" s="161" t="str">
        <f>INDEX(UnitCosts[Resource],MATCH(ArmyState[[#This Row],[Name]],UnitCosts[Name],0))</f>
        <v>Elixir</v>
      </c>
      <c r="F15" s="17">
        <f ca="1">VLOOKUP(ArmyState[[#This Row],[Name]],UnitCosts[],MATCH(TEXT(ArmyState[[#This Row],[Level]],"#"),UnitCosts[#Headers],0),FALSE)</f>
        <v>80</v>
      </c>
      <c r="G15" s="161">
        <f>INDEX(UnitCosts[Train Time],MATCH(ArmyState[[#This Row],[Name]],UnitCosts[Name],0))</f>
        <v>0.5</v>
      </c>
      <c r="H15" s="162">
        <f>INDEX(UnitCosts[Space],MATCH(ArmyState[[#This Row],[Name]],UnitCosts[Name],0))</f>
        <v>1</v>
      </c>
      <c r="I15" s="17">
        <f ca="1">ArmyState[[#This Row],[Count]]*ArmyState[[#This Row],[Cost]]</f>
        <v>0</v>
      </c>
      <c r="J15" s="161">
        <f>ArmyState[[#This Row],[Count]]*ArmyState[[#This Row],[Time]]</f>
        <v>0</v>
      </c>
      <c r="K15" s="18">
        <f>ArmyState[[#This Row],[Count]]*ArmyState[[#This Row],[Space]]</f>
        <v>0</v>
      </c>
      <c r="L15" s="112"/>
      <c r="M15" s="233" t="s">
        <v>84</v>
      </c>
      <c r="N15" s="159"/>
      <c r="O15" s="159">
        <v>44</v>
      </c>
      <c r="P15" s="159"/>
      <c r="Q15" s="159"/>
      <c r="R15" s="159">
        <v>30</v>
      </c>
      <c r="S15" s="159"/>
      <c r="T15" s="159">
        <v>40</v>
      </c>
      <c r="U15" s="159">
        <v>48</v>
      </c>
      <c r="V15" s="159"/>
      <c r="W15" s="222">
        <v>8</v>
      </c>
      <c r="X15" s="114"/>
      <c r="Y15" s="217" t="s">
        <v>84</v>
      </c>
      <c r="Z15" s="215"/>
      <c r="AA15" s="160">
        <f ca="1">IFERROR(MAX(0,
MIN($B15-IF(NOT(ISNUMBER(Z15)),0,SUM($Z15:Z15)),
  IF($AB$4,
    {FALSE},
    VLOOKUP(INDEX(Calculations!$E$4:$E$9,MATCH(BO_Barracks[#Headers],Calculations!$D$4:$D$9,0)),Cap_Bar[],2)
      -IF(NOT(ISNUMBER(AA14)),0,SUMPRODUCT(AA$9:AA14,$H$9:$H14))),
  ROUND(
    ((($J$32-SUM($Z$19:Z$19))
      * IF(AA$7,4,1)
      / (NumBarracks+(3*COUNTIF(AA$7:$AD$7,TRUE))-COLUMNS($Z$19:Z$19)+1))
    -IF(NOT(ISNUMBER(AA14)),
        0,
        SUMPRODUCT(AA$9:AA14,$G$9:$G14)
      )
    )/$G15+10^-10,
    0))),0)</f>
        <v>0</v>
      </c>
      <c r="AB15" s="160">
        <f ca="1">IFERROR(MAX(0,
MIN($B15-IF(NOT(ISNUMBER(AA15)),0,SUM($Z15:AA15)),
  IF($AB$4,
    {FALSE},
    VLOOKUP(INDEX(Calculations!$E$4:$E$9,MATCH(BO_Barracks[#Headers],Calculations!$D$4:$D$9,0)),Cap_Bar[],2)
      -IF(NOT(ISNUMBER(AB14)),0,SUMPRODUCT(AB$9:AB14,$H$9:$H14))),
  ROUND(
    ((($J$32-SUM($Z$19:AA$19))
      * IF(AB$7,4,1)
      / (NumBarracks+(3*COUNTIF(AB$7:$AD$7,TRUE))-COLUMNS($Z$19:AA$19)+1))
    -IF(NOT(ISNUMBER(AB14)),
        0,
        SUMPRODUCT(AB$9:AB14,$G$9:$G14)
      )
    )/$G15+10^-10,
    0))),0)</f>
        <v>0</v>
      </c>
      <c r="AC15" s="160">
        <f ca="1">IFERROR(MAX(0,
MIN($B15-IF(NOT(ISNUMBER(AB15)),0,SUM($Z15:AB15)),
  IF($AB$4,
    {FALSE},
    VLOOKUP(INDEX(Calculations!$E$4:$E$9,MATCH(BO_Barracks[#Headers],Calculations!$D$4:$D$9,0)),Cap_Bar[],2)
      -IF(NOT(ISNUMBER(AC14)),0,SUMPRODUCT(AC$9:AC14,$H$9:$H14))),
  ROUND(
    ((($J$32-SUM($Z$19:AB$19))
      * IF(AC$7,4,1)
      / (NumBarracks+(3*COUNTIF(AC$7:$AD$7,TRUE))-COLUMNS($Z$19:AB$19)+1))
    -IF(NOT(ISNUMBER(AC14)),
        0,
        SUMPRODUCT(AC$9:AC14,$G$9:$G14)
      )
    )/$G15+10^-10,
    0))),0)</f>
        <v>0</v>
      </c>
      <c r="AD15" s="160">
        <f ca="1">IFERROR(MAX(0,
MIN($B15-IF(NOT(ISNUMBER(AC15)),0,SUM($Z15:AC15)),
  IF($AB$4,
    {FALSE},
    VLOOKUP(INDEX(Calculations!$E$4:$E$9,MATCH(BO_Barracks[#Headers],Calculations!$D$4:$D$9,0)),Cap_Bar[],2)
      -IF(NOT(ISNUMBER(AD14)),0,SUMPRODUCT(AD$9:AD14,$H$9:$H14))),
  ROUND(
    ((($J$32-SUM($Z$19:AC$19))
      * IF(AD$7,4,1)
      / (NumBarracks+(3*COUNTIF(AD$7:$AD$7,TRUE))-COLUMNS($Z$19:AC$19)+1))
    -IF(NOT(ISNUMBER(AD14)),
        0,
        SUMPRODUCT(AD$9:AD14,$G$9:$G14)
      )
    )/$G15+10^-10,
    0))),0)</f>
        <v>0</v>
      </c>
      <c r="AE15" s="218">
        <f ca="1">ArmyState[[#This Row],[Count]]-SUM(BO_Barracks[[#This Row],[Already Built]:[Barracks4]])</f>
        <v>0</v>
      </c>
      <c r="AF15" s="114"/>
    </row>
    <row r="16" spans="1:32" ht="16" customHeight="1">
      <c r="A16" s="160" t="s">
        <v>83</v>
      </c>
      <c r="B16" s="20">
        <f>INDEX(AttackSets[],MATCH(ArmyState[[#This Row],[Name]],AttackSets[Unit Set],0),MATCH(AttackSet,AttackSets[#Headers],0))</f>
        <v>56</v>
      </c>
      <c r="C16" s="161" t="str">
        <f>INDEX(UnitCosts[Type],MATCH(ArmyState[[#This Row],[Name]],UnitCosts[Name],0))</f>
        <v>Unit</v>
      </c>
      <c r="D16" s="160">
        <f ca="1">IFERROR(MATCH(1,OFFSET(ConstructionState[],MATCH(ArmyState[[#This Row],[Name]],ConstructionState[Building or Upgrade],0)-1,L1Offset,1,12)),1)</f>
        <v>4</v>
      </c>
      <c r="E16" s="161" t="str">
        <f>INDEX(UnitCosts[Resource],MATCH(ArmyState[[#This Row],[Name]],UnitCosts[Name],0))</f>
        <v>Elixir</v>
      </c>
      <c r="F16" s="17">
        <f ca="1">VLOOKUP(ArmyState[[#This Row],[Name]],UnitCosts[],MATCH(TEXT(ArmyState[[#This Row],[Level]],"#"),UnitCosts[#Headers],0),FALSE)</f>
        <v>160</v>
      </c>
      <c r="G16" s="161">
        <f>INDEX(UnitCosts[Train Time],MATCH(ArmyState[[#This Row],[Name]],UnitCosts[Name],0))</f>
        <v>0.41666666666666669</v>
      </c>
      <c r="H16" s="162">
        <f>INDEX(UnitCosts[Space],MATCH(ArmyState[[#This Row],[Name]],UnitCosts[Name],0))</f>
        <v>1</v>
      </c>
      <c r="I16" s="17">
        <f ca="1">ArmyState[[#This Row],[Count]]*ArmyState[[#This Row],[Cost]]</f>
        <v>8960</v>
      </c>
      <c r="J16" s="161">
        <f>ArmyState[[#This Row],[Count]]*ArmyState[[#This Row],[Time]]</f>
        <v>23.333333333333336</v>
      </c>
      <c r="K16" s="18">
        <f>ArmyState[[#This Row],[Count]]*ArmyState[[#This Row],[Space]]</f>
        <v>56</v>
      </c>
      <c r="L16" s="112"/>
      <c r="M16" s="233" t="s">
        <v>83</v>
      </c>
      <c r="N16" s="159">
        <v>120</v>
      </c>
      <c r="O16" s="159">
        <v>60</v>
      </c>
      <c r="P16" s="159">
        <v>56</v>
      </c>
      <c r="Q16" s="159">
        <v>40</v>
      </c>
      <c r="R16" s="159">
        <v>46</v>
      </c>
      <c r="S16" s="159"/>
      <c r="T16" s="159">
        <v>76</v>
      </c>
      <c r="U16" s="159">
        <v>70</v>
      </c>
      <c r="V16" s="159"/>
      <c r="W16" s="222">
        <v>18</v>
      </c>
      <c r="X16" s="114"/>
      <c r="Y16" s="217" t="s">
        <v>83</v>
      </c>
      <c r="Z16" s="215"/>
      <c r="AA16" s="160">
        <f ca="1">IFERROR(MAX(0,
MIN($B16-IF(NOT(ISNUMBER(Z16)),0,SUM($Z16:Z16)),
  IF($AB$4,
    {FALSE},
    VLOOKUP(INDEX(Calculations!$E$4:$E$9,MATCH(BO_Barracks[#Headers],Calculations!$D$4:$D$9,0)),Cap_Bar[],2)
      -IF(NOT(ISNUMBER(AA15)),0,SUMPRODUCT(AA9:AA$15,$H9:$H$15))),
  ROUND(
    ((($J$32-SUM($Z$19:Z$19))
      * IF(AA$7,4,1)
      / (NumBarracks+(3*COUNTIF(AA$7:$AD$7,TRUE))-COLUMNS($Z$19:Z$19)+1))
    -IF(NOT(ISNUMBER(AA15)),
        0,
        SUMPRODUCT(AA9:AA$15,$G9:$G$15)
      )
    )/$G16+10^-10,
    0))),0)</f>
        <v>0</v>
      </c>
      <c r="AB16" s="160">
        <f ca="1">IFERROR(MAX(0,
MIN($B16-IF(NOT(ISNUMBER(AA16)),0,SUM($Z16:AA16)),
  IF($AB$4,
    {FALSE},
    VLOOKUP(INDEX(Calculations!$E$4:$E$9,MATCH(BO_Barracks[#Headers],Calculations!$D$4:$D$9,0)),Cap_Bar[],2)
      -IF(NOT(ISNUMBER(AB15)),0,SUMPRODUCT(AB9:AB$15,$H9:$H$15))),
  ROUND(
    ((($J$32-SUM($Z$19:AA$19))
      * IF(AB$7,4,1)
      / (NumBarracks+(3*COUNTIF(AB$7:$AD$7,TRUE))-COLUMNS($Z$19:AA$19)+1))
    -IF(NOT(ISNUMBER(AB15)),
        0,
        SUMPRODUCT(AB9:AB$15,$G9:$G$15)
      )
    )/$G16+10^-10,
    0))),0)</f>
        <v>2</v>
      </c>
      <c r="AC16" s="160">
        <f ca="1">IFERROR(MAX(0,
MIN($B16-IF(NOT(ISNUMBER(AB16)),0,SUM($Z16:AB16)),
  IF($AB$4,
    {FALSE},
    VLOOKUP(INDEX(Calculations!$E$4:$E$9,MATCH(BO_Barracks[#Headers],Calculations!$D$4:$D$9,0)),Cap_Bar[],2)
      -IF(NOT(ISNUMBER(AC15)),0,SUMPRODUCT(AC9:AC$15,$H9:$H$15))),
  ROUND(
    ((($J$32-SUM($Z$19:AB$19))
      * IF(AC$7,4,1)
      / (NumBarracks+(3*COUNTIF(AC$7:$AD$7,TRUE))-COLUMNS($Z$19:AB$19)+1))
    -IF(NOT(ISNUMBER(AC15)),
        0,
        SUMPRODUCT(AC9:AC$15,$G9:$G$15)
      )
    )/$G16+10^-10,
    0))),0)</f>
        <v>54</v>
      </c>
      <c r="AD16" s="160">
        <f ca="1">IFERROR(MAX(0,
MIN($B16-IF(NOT(ISNUMBER(AC16)),0,SUM($Z16:AC16)),
  IF($AB$4,
    {FALSE},
    VLOOKUP(INDEX(Calculations!$E$4:$E$9,MATCH(BO_Barracks[#Headers],Calculations!$D$4:$D$9,0)),Cap_Bar[],2)
      -IF(NOT(ISNUMBER(AD15)),0,SUMPRODUCT(AD9:AD$15,$H9:$H$15))),
  ROUND(
    ((($J$32-SUM($Z$19:AC$19))
      * IF(AD$7,4,1)
      / (NumBarracks+(3*COUNTIF(AD$7:$AD$7,TRUE))-COLUMNS($Z$19:AC$19)+1))
    -IF(NOT(ISNUMBER(AD15)),
        0,
        SUMPRODUCT(AD9:AD$15,$G9:$G$15)
      )
    )/$G16+10^-10,
    0))),0)</f>
        <v>0</v>
      </c>
      <c r="AE16" s="218">
        <f ca="1">ArmyState[[#This Row],[Count]]-SUM(BO_Barracks[[#This Row],[Already Built]:[Barracks4]])</f>
        <v>0</v>
      </c>
      <c r="AF16" s="114"/>
    </row>
    <row r="17" spans="1:32" ht="16" customHeight="1">
      <c r="A17" s="160" t="s">
        <v>85</v>
      </c>
      <c r="B17" s="20">
        <f>INDEX(AttackSets[],MATCH(ArmyState[[#This Row],[Name]],AttackSets[Unit Set],0),MATCH(AttackSet,AttackSets[#Headers],0))</f>
        <v>12</v>
      </c>
      <c r="C17" s="161" t="str">
        <f>INDEX(UnitCosts[Type],MATCH(ArmyState[[#This Row],[Name]],UnitCosts[Name],0))</f>
        <v>Unit</v>
      </c>
      <c r="D17" s="160">
        <f ca="1">IFERROR(MATCH(1,OFFSET(ConstructionState[],MATCH(ArmyState[[#This Row],[Name]],ConstructionState[Building or Upgrade],0)-1,L1Offset,1,12)),1)</f>
        <v>4</v>
      </c>
      <c r="E17" s="161" t="str">
        <f>INDEX(UnitCosts[Resource],MATCH(ArmyState[[#This Row],[Name]],UnitCosts[Name],0))</f>
        <v>Elixir</v>
      </c>
      <c r="F17" s="17">
        <f ca="1">VLOOKUP(ArmyState[[#This Row],[Name]],UnitCosts[],MATCH(TEXT(ArmyState[[#This Row],[Level]],"#"),UnitCosts[#Headers],0),FALSE)</f>
        <v>2000</v>
      </c>
      <c r="G17" s="161">
        <f>INDEX(UnitCosts[Train Time],MATCH(ArmyState[[#This Row],[Name]],UnitCosts[Name],0))</f>
        <v>2</v>
      </c>
      <c r="H17" s="162">
        <f>INDEX(UnitCosts[Space],MATCH(ArmyState[[#This Row],[Name]],UnitCosts[Name],0))</f>
        <v>5</v>
      </c>
      <c r="I17" s="17">
        <f ca="1">ArmyState[[#This Row],[Count]]*ArmyState[[#This Row],[Cost]]</f>
        <v>24000</v>
      </c>
      <c r="J17" s="161">
        <f>ArmyState[[#This Row],[Count]]*ArmyState[[#This Row],[Time]]</f>
        <v>24</v>
      </c>
      <c r="K17" s="18">
        <f>ArmyState[[#This Row],[Count]]*ArmyState[[#This Row],[Space]]</f>
        <v>60</v>
      </c>
      <c r="L17" s="112"/>
      <c r="M17" s="233" t="s">
        <v>85</v>
      </c>
      <c r="N17" s="159">
        <v>12</v>
      </c>
      <c r="O17" s="159">
        <v>8</v>
      </c>
      <c r="P17" s="159">
        <v>12</v>
      </c>
      <c r="Q17" s="159">
        <v>16</v>
      </c>
      <c r="R17" s="159">
        <v>12</v>
      </c>
      <c r="S17" s="159"/>
      <c r="T17" s="159">
        <v>2</v>
      </c>
      <c r="U17" s="159">
        <v>2</v>
      </c>
      <c r="V17" s="159"/>
      <c r="W17" s="222">
        <v>2</v>
      </c>
      <c r="X17" s="114"/>
      <c r="Y17" s="217" t="s">
        <v>85</v>
      </c>
      <c r="Z17" s="215"/>
      <c r="AA17" s="160">
        <f ca="1">IFERROR(MAX(0,
MIN($B17-IF(NOT(ISNUMBER(Z17)),0,SUM($Z17:Z17)),
  IF($AB$4,
    {FALSE},
    VLOOKUP(INDEX(Calculations!$E$4:$E$9,MATCH(BO_Barracks[#Headers],Calculations!$D$4:$D$9,0)),Cap_Bar[],2)
      -IF(NOT(ISNUMBER(AA16)),0,SUMPRODUCT(AA$9:AA16,$H$9:$H16))),
  ROUND(
    ((($J$32-SUM($Z$19:Z$19))
      * IF(AA$7,4,1)
      / (NumBarracks+(3*COUNTIF(AA$7:$AD$7,TRUE))-COLUMNS($Z$19:Z$19)+1))
    -IF(NOT(ISNUMBER(AA16)),
        0,
        SUMPRODUCT(AA$9:AA16,$G$9:$G16)
      )
    )/$G17+10^-10,
    0))),0)</f>
        <v>0</v>
      </c>
      <c r="AB17" s="160">
        <f ca="1">IFERROR(MAX(0,
MIN($B17-IF(NOT(ISNUMBER(AA17)),0,SUM($Z17:AA17)),
  IF($AB$4,
    {FALSE},
    VLOOKUP(INDEX(Calculations!$E$4:$E$9,MATCH(BO_Barracks[#Headers],Calculations!$D$4:$D$9,0)),Cap_Bar[],2)
      -IF(NOT(ISNUMBER(AB16)),0,SUMPRODUCT(AB$9:AB16,$H$9:$H16))),
  ROUND(
    ((($J$32-SUM($Z$19:AA$19))
      * IF(AB$7,4,1)
      / (NumBarracks+(3*COUNTIF(AB$7:$AD$7,TRUE))-COLUMNS($Z$19:AA$19)+1))
    -IF(NOT(ISNUMBER(AB16)),
        0,
        SUMPRODUCT(AB$9:AB16,$G$9:$G16)
      )
    )/$G17+10^-10,
    0))),0)</f>
        <v>0</v>
      </c>
      <c r="AC17" s="160">
        <f ca="1">IFERROR(MAX(0,
MIN($B17-IF(NOT(ISNUMBER(AB17)),0,SUM($Z17:AB17)),
  IF($AB$4,
    {FALSE},
    VLOOKUP(INDEX(Calculations!$E$4:$E$9,MATCH(BO_Barracks[#Headers],Calculations!$D$4:$D$9,0)),Cap_Bar[],2)
      -IF(NOT(ISNUMBER(AC16)),0,SUMPRODUCT(AC$9:AC16,$H$9:$H16))),
  ROUND(
    ((($J$32-SUM($Z$19:AB$19))
      * IF(AC$7,4,1)
      / (NumBarracks+(3*COUNTIF(AC$7:$AD$7,TRUE))-COLUMNS($Z$19:AB$19)+1))
    -IF(NOT(ISNUMBER(AC16)),
        0,
        SUMPRODUCT(AC$9:AC16,$G$9:$G16)
      )
    )/$G17+10^-10,
    0))),0)</f>
        <v>2</v>
      </c>
      <c r="AD17" s="160">
        <f ca="1">IFERROR(MAX(0,
MIN($B17-IF(NOT(ISNUMBER(AC17)),0,SUM($Z17:AC17)),
  IF($AB$4,
    {FALSE},
    VLOOKUP(INDEX(Calculations!$E$4:$E$9,MATCH(BO_Barracks[#Headers],Calculations!$D$4:$D$9,0)),Cap_Bar[],2)
      -IF(NOT(ISNUMBER(AD16)),0,SUMPRODUCT(AD$9:AD16,$H$9:$H16))),
  ROUND(
    ((($J$32-SUM($Z$19:AC$19))
      * IF(AD$7,4,1)
      / (NumBarracks+(3*COUNTIF(AD$7:$AD$7,TRUE))-COLUMNS($Z$19:AC$19)+1))
    -IF(NOT(ISNUMBER(AD16)),
        0,
        SUMPRODUCT(AD$9:AD16,$G$9:$G16)
      )
    )/$G17+10^-10,
    0))),0)</f>
        <v>10</v>
      </c>
      <c r="AE17" s="218">
        <f ca="1">ArmyState[[#This Row],[Count]]-SUM(BO_Barracks[[#This Row],[Already Built]:[Barracks4]])</f>
        <v>0</v>
      </c>
      <c r="AF17" s="114"/>
    </row>
    <row r="18" spans="1:32" ht="16" customHeight="1">
      <c r="A18" s="160" t="s">
        <v>82</v>
      </c>
      <c r="B18" s="184">
        <f>INDEX(AttackSets[],MATCH(ArmyState[[#This Row],[Name]],AttackSets[Unit Set],0),MATCH(AttackSet,AttackSets[#Headers],0))</f>
        <v>20</v>
      </c>
      <c r="C18" s="161" t="str">
        <f>INDEX(UnitCosts[Type],MATCH(ArmyState[[#This Row],[Name]],UnitCosts[Name],0))</f>
        <v>Unit</v>
      </c>
      <c r="D18" s="160">
        <f ca="1">IFERROR(MATCH(1,OFFSET(ConstructionState[],MATCH(ArmyState[[#This Row],[Name]],ConstructionState[Building or Upgrade],0)-1,L1Offset,1,12)),1)</f>
        <v>4</v>
      </c>
      <c r="E18" s="161" t="str">
        <f>INDEX(UnitCosts[Resource],MATCH(ArmyState[[#This Row],[Name]],UnitCosts[Name],0))</f>
        <v>Elixir</v>
      </c>
      <c r="F18" s="17">
        <f ca="1">VLOOKUP(ArmyState[[#This Row],[Name]],UnitCosts[],MATCH(TEXT(ArmyState[[#This Row],[Level]],"#"),UnitCosts[#Headers],0),FALSE)</f>
        <v>80</v>
      </c>
      <c r="G18" s="161">
        <f>INDEX(UnitCosts[Train Time],MATCH(ArmyState[[#This Row],[Name]],UnitCosts[Name],0))</f>
        <v>0.33333333333333331</v>
      </c>
      <c r="H18" s="162">
        <f>INDEX(UnitCosts[Space],MATCH(ArmyState[[#This Row],[Name]],UnitCosts[Name],0))</f>
        <v>1</v>
      </c>
      <c r="I18" s="17">
        <f ca="1">ArmyState[[#This Row],[Count]]*ArmyState[[#This Row],[Cost]]</f>
        <v>1600</v>
      </c>
      <c r="J18" s="161">
        <f>ArmyState[[#This Row],[Count]]*ArmyState[[#This Row],[Time]]</f>
        <v>6.6666666666666661</v>
      </c>
      <c r="K18" s="18">
        <f>ArmyState[[#This Row],[Count]]*ArmyState[[#This Row],[Space]]</f>
        <v>20</v>
      </c>
      <c r="L18" s="112"/>
      <c r="M18" s="233" t="s">
        <v>82</v>
      </c>
      <c r="N18" s="159"/>
      <c r="O18" s="159">
        <v>40</v>
      </c>
      <c r="P18" s="159">
        <v>20</v>
      </c>
      <c r="Q18" s="159">
        <v>32</v>
      </c>
      <c r="R18" s="159"/>
      <c r="S18" s="159"/>
      <c r="T18" s="159">
        <v>56</v>
      </c>
      <c r="U18" s="159">
        <v>72</v>
      </c>
      <c r="V18" s="159"/>
      <c r="W18" s="222">
        <v>5</v>
      </c>
      <c r="X18" s="114"/>
      <c r="Y18" s="217" t="s">
        <v>82</v>
      </c>
      <c r="Z18" s="215"/>
      <c r="AA18" s="160">
        <f ca="1">IFERROR(MAX(0,
MIN($B18-IF(NOT(ISNUMBER(Z18)),0,SUM($Z18:Z18)),
  IF($AB$4,
    {FALSE},
    VLOOKUP(INDEX(Calculations!$E$4:$E$9,MATCH(BO_Barracks[#Headers],Calculations!$D$4:$D$9,0)),Cap_Bar[],2)
      -IF(NOT(ISNUMBER(AA17)),0,SUMPRODUCT(AA9:AA$17,$H9:$H$17))),
  ROUND(
    ((($J$32-SUM($Z$19:Z$19))
      * IF(AA$7,4,1)
      / (NumBarracks+(3*COUNTIF(AA$7:$AD$7,TRUE))-COLUMNS($Z$19:Z$19)+1))
    -IF(NOT(ISNUMBER(AA17)),
        0,
        SUMPRODUCT(AA9:AA$17,$G9:$G$17)
      )
    )/$G18+10^-10,
    0))),0)</f>
        <v>0</v>
      </c>
      <c r="AB18" s="160">
        <f ca="1">IFERROR(MAX(0,
MIN($B18-IF(NOT(ISNUMBER(AA18)),0,SUM($Z18:AA18)),
  IF($AB$4,
    {FALSE},
    VLOOKUP(INDEX(Calculations!$E$4:$E$9,MATCH(BO_Barracks[#Headers],Calculations!$D$4:$D$9,0)),Cap_Bar[],2)
      -IF(NOT(ISNUMBER(AB17)),0,SUMPRODUCT(AB9:AB$17,$H9:$H$17))),
  ROUND(
    ((($J$32-SUM($Z$19:AA$19))
      * IF(AB$7,4,1)
      / (NumBarracks+(3*COUNTIF(AB$7:$AD$7,TRUE))-COLUMNS($Z$19:AA$19)+1))
    -IF(NOT(ISNUMBER(AB17)),
        0,
        SUMPRODUCT(AB9:AB$17,$G9:$G$17)
      )
    )/$G18+10^-10,
    0))),0)</f>
        <v>0</v>
      </c>
      <c r="AC18" s="160">
        <f ca="1">IFERROR(MAX(0,
MIN($B18-IF(NOT(ISNUMBER(AB18)),0,SUM($Z18:AB18)),
  IF($AB$4,
    {FALSE},
    VLOOKUP(INDEX(Calculations!$E$4:$E$9,MATCH(BO_Barracks[#Headers],Calculations!$D$4:$D$9,0)),Cap_Bar[],2)
      -IF(NOT(ISNUMBER(AC17)),0,SUMPRODUCT(AC9:AC$17,$H9:$H$17))),
  ROUND(
    ((($J$32-SUM($Z$19:AB$19))
      * IF(AC$7,4,1)
      / (NumBarracks+(3*COUNTIF(AC$7:$AD$7,TRUE))-COLUMNS($Z$19:AB$19)+1))
    -IF(NOT(ISNUMBER(AC17)),
        0,
        SUMPRODUCT(AC9:AC$17,$G9:$G$17)
      )
    )/$G18+10^-10,
    0))),0)</f>
        <v>0</v>
      </c>
      <c r="AD18" s="160">
        <f ca="1">IFERROR(MAX(0,
MIN($B18-IF(NOT(ISNUMBER(AC18)),0,SUM($Z18:AC18)),
  IF($AB$4,
    {FALSE},
    VLOOKUP(INDEX(Calculations!$E$4:$E$9,MATCH(BO_Barracks[#Headers],Calculations!$D$4:$D$9,0)),Cap_Bar[],2)
      -IF(NOT(ISNUMBER(AD17)),0,SUMPRODUCT(AD9:AD$17,$H9:$H$17))),
  ROUND(
    ((($J$32-SUM($Z$19:AC$19))
      * IF(AD$7,4,1)
      / (NumBarracks+(3*COUNTIF(AD$7:$AD$7,TRUE))-COLUMNS($Z$19:AC$19)+1))
    -IF(NOT(ISNUMBER(AD17)),
        0,
        SUMPRODUCT(AD9:AD$17,$G9:$G$17)
      )
    )/$G18+10^-10,
    0))),0)</f>
        <v>20</v>
      </c>
      <c r="AE18" s="218">
        <f ca="1">ArmyState[[#This Row],[Count]]-SUM(BO_Barracks[[#This Row],[Already Built]:[Barracks4]])</f>
        <v>0</v>
      </c>
      <c r="AF18" s="114"/>
    </row>
    <row r="19" spans="1:32" ht="16" customHeight="1" thickBot="1">
      <c r="A19" s="160" t="s">
        <v>94</v>
      </c>
      <c r="B19" s="20">
        <f>INDEX(AttackSets[],MATCH(ArmyState[[#This Row],[Name]],AttackSets[Unit Set],0),MATCH(AttackSet,AttackSets[#Headers],0))</f>
        <v>1</v>
      </c>
      <c r="C19" s="161" t="str">
        <f>INDEX(UnitCosts[Type],MATCH(ArmyState[[#This Row],[Name]],UnitCosts[Name],0))</f>
        <v>Spell</v>
      </c>
      <c r="D19" s="160">
        <f ca="1">IFERROR(MATCH(1,OFFSET(ConstructionState[],MATCH(ArmyState[[#This Row],[Name]],ConstructionState[Building or Upgrade],0)-1,L1Offset,1,12)),1)</f>
        <v>4</v>
      </c>
      <c r="E19" s="161" t="str">
        <f>INDEX(UnitCosts[Resource],MATCH(ArmyState[[#This Row],[Name]],UnitCosts[Name],0))</f>
        <v>Elixir</v>
      </c>
      <c r="F19" s="17">
        <f ca="1">VLOOKUP(ArmyState[[#This Row],[Name]],UnitCosts[],MATCH(TEXT(ArmyState[[#This Row],[Level]],"#"),UnitCosts[#Headers],0),FALSE)</f>
        <v>30000</v>
      </c>
      <c r="G19" s="161">
        <f>INDEX(UnitCosts[Train Time],MATCH(ArmyState[[#This Row],[Name]],UnitCosts[Name],0))</f>
        <v>45</v>
      </c>
      <c r="H19" s="162">
        <f>INDEX(UnitCosts[Space],MATCH(ArmyState[[#This Row],[Name]],UnitCosts[Name],0))</f>
        <v>1</v>
      </c>
      <c r="I19" s="17">
        <f ca="1">ArmyState[[#This Row],[Count]]*ArmyState[[#This Row],[Cost]]</f>
        <v>30000</v>
      </c>
      <c r="J19" s="161">
        <f>ArmyState[[#This Row],[Count]]*ArmyState[[#This Row],[Time]]</f>
        <v>45</v>
      </c>
      <c r="K19" s="18">
        <f>ArmyState[[#This Row],[Count]]*ArmyState[[#This Row],[Space]]</f>
        <v>1</v>
      </c>
      <c r="L19" s="112"/>
      <c r="M19" s="233" t="s">
        <v>94</v>
      </c>
      <c r="N19" s="159"/>
      <c r="O19" s="159"/>
      <c r="P19" s="159">
        <v>1</v>
      </c>
      <c r="Q19" s="159"/>
      <c r="R19" s="159">
        <v>1</v>
      </c>
      <c r="S19" s="159"/>
      <c r="T19" s="159">
        <v>3</v>
      </c>
      <c r="U19" s="159"/>
      <c r="V19" s="159"/>
      <c r="W19" s="222"/>
      <c r="X19" s="114"/>
      <c r="Y19" s="219" t="s">
        <v>0</v>
      </c>
      <c r="Z19" s="223">
        <f>SUMPRODUCT(BO_Barracks[Already Built],$G9:$G18)</f>
        <v>24</v>
      </c>
      <c r="AA19" s="223">
        <f ca="1">SUMPRODUCT(BO_Barracks[Barracks1],$G9:$G18)</f>
        <v>29</v>
      </c>
      <c r="AB19" s="223">
        <f ca="1">SUMPRODUCT(BO_Barracks[Barracks2],$G9:$G18)</f>
        <v>27.833333333333332</v>
      </c>
      <c r="AC19" s="223">
        <f ca="1">SUMPRODUCT(BO_Barracks[Barracks3],$G9:$G18)</f>
        <v>28.5</v>
      </c>
      <c r="AD19" s="223">
        <f ca="1">SUMPRODUCT(BO_Barracks[Barracks4],$G9:$G18)</f>
        <v>26.666666666666664</v>
      </c>
      <c r="AE19" s="224">
        <f ca="1">COUNTIF(BO_Barracks[Left],"&lt;&gt;0")</f>
        <v>0</v>
      </c>
      <c r="AF19" s="114"/>
    </row>
    <row r="20" spans="1:32" ht="16" customHeight="1" thickTop="1" thickBot="1">
      <c r="A20" s="160" t="s">
        <v>95</v>
      </c>
      <c r="B20" s="20">
        <f>INDEX(AttackSets[],MATCH(ArmyState[[#This Row],[Name]],AttackSets[Unit Set],0),MATCH(AttackSet,AttackSets[#Headers],0))</f>
        <v>0</v>
      </c>
      <c r="C20" s="161" t="str">
        <f>INDEX(UnitCosts[Type],MATCH(ArmyState[[#This Row],[Name]],UnitCosts[Name],0))</f>
        <v>Spell</v>
      </c>
      <c r="D20" s="160">
        <f ca="1">IFERROR(MATCH(1,OFFSET(ConstructionState[],MATCH(ArmyState[[#This Row],[Name]],ConstructionState[Building or Upgrade],0)-1,L1Offset,1,12)),1)</f>
        <v>1</v>
      </c>
      <c r="E20" s="161" t="str">
        <f>INDEX(UnitCosts[Resource],MATCH(ArmyState[[#This Row],[Name]],UnitCosts[Name],0))</f>
        <v>Elixir</v>
      </c>
      <c r="F20" s="17">
        <f ca="1">VLOOKUP(ArmyState[[#This Row],[Name]],UnitCosts[],MATCH(TEXT(ArmyState[[#This Row],[Level]],"#"),UnitCosts[#Headers],0),FALSE)</f>
        <v>23000</v>
      </c>
      <c r="G20" s="161">
        <f>INDEX(UnitCosts[Train Time],MATCH(ArmyState[[#This Row],[Name]],UnitCosts[Name],0))</f>
        <v>45</v>
      </c>
      <c r="H20" s="162">
        <f>INDEX(UnitCosts[Space],MATCH(ArmyState[[#This Row],[Name]],UnitCosts[Name],0))</f>
        <v>1</v>
      </c>
      <c r="I20" s="17">
        <f ca="1">ArmyState[[#This Row],[Count]]*ArmyState[[#This Row],[Cost]]</f>
        <v>0</v>
      </c>
      <c r="J20" s="161">
        <f>ArmyState[[#This Row],[Count]]*ArmyState[[#This Row],[Time]]</f>
        <v>0</v>
      </c>
      <c r="K20" s="18">
        <f>ArmyState[[#This Row],[Count]]*ArmyState[[#This Row],[Space]]</f>
        <v>0</v>
      </c>
      <c r="L20" s="112"/>
      <c r="M20" s="233" t="s">
        <v>95</v>
      </c>
      <c r="N20" s="159"/>
      <c r="O20" s="159"/>
      <c r="P20" s="159"/>
      <c r="Q20" s="159"/>
      <c r="R20" s="159"/>
      <c r="S20" s="159"/>
      <c r="T20" s="159"/>
      <c r="U20" s="159"/>
      <c r="V20" s="159"/>
      <c r="W20" s="222"/>
      <c r="X20" s="114"/>
      <c r="Y20" s="225" t="s">
        <v>148</v>
      </c>
      <c r="Z20" s="226">
        <f>SUMPRODUCT(BO_Barracks[Already Built],$H9:$H18)</f>
        <v>12</v>
      </c>
      <c r="AA20" s="226">
        <f ca="1">SUMPRODUCT(BO_Barracks[Barracks1],$H9:$H18)</f>
        <v>24</v>
      </c>
      <c r="AB20" s="226">
        <f ca="1">SUMPRODUCT(BO_Barracks[Barracks2],$H9:$H18)</f>
        <v>28</v>
      </c>
      <c r="AC20" s="226">
        <f ca="1">SUMPRODUCT(BO_Barracks[Barracks3],$H9:$H18)</f>
        <v>66</v>
      </c>
      <c r="AD20" s="226">
        <f ca="1">SUMPRODUCT(BO_Barracks[Barracks4],$H9:$H18)</f>
        <v>70</v>
      </c>
      <c r="AE20" s="227">
        <f ca="1">SUMPRODUCT(BO_Barracks[Left],$H9:$H18)</f>
        <v>0</v>
      </c>
      <c r="AF20" s="114"/>
    </row>
    <row r="21" spans="1:32" ht="16" customHeight="1" thickTop="1" thickBot="1">
      <c r="A21" s="160" t="s">
        <v>96</v>
      </c>
      <c r="B21" s="20">
        <f>INDEX(AttackSets[],MATCH(ArmyState[[#This Row],[Name]],AttackSets[Unit Set],0),MATCH(AttackSet,AttackSets[#Headers],0))</f>
        <v>0</v>
      </c>
      <c r="C21" s="161" t="str">
        <f>INDEX(UnitCosts[Type],MATCH(ArmyState[[#This Row],[Name]],UnitCosts[Name],0))</f>
        <v>Spell</v>
      </c>
      <c r="D21" s="160">
        <f ca="1">IFERROR(MATCH(1,OFFSET(ConstructionState[],MATCH(ArmyState[[#This Row],[Name]],ConstructionState[Building or Upgrade],0)-1,L1Offset,1,12)),1)</f>
        <v>1</v>
      </c>
      <c r="E21" s="161" t="str">
        <f>INDEX(UnitCosts[Resource],MATCH(ArmyState[[#This Row],[Name]],UnitCosts[Name],0))</f>
        <v>Elixir</v>
      </c>
      <c r="F21" s="17">
        <f ca="1">VLOOKUP(ArmyState[[#This Row],[Name]],UnitCosts[],MATCH(TEXT(ArmyState[[#This Row],[Level]],"#"),UnitCosts[#Headers],0),FALSE)</f>
        <v>26000</v>
      </c>
      <c r="G21" s="161">
        <f>INDEX(UnitCosts[Train Time],MATCH(ArmyState[[#This Row],[Name]],UnitCosts[Name],0))</f>
        <v>45</v>
      </c>
      <c r="H21" s="162">
        <f>INDEX(UnitCosts[Space],MATCH(ArmyState[[#This Row],[Name]],UnitCosts[Name],0))</f>
        <v>1</v>
      </c>
      <c r="I21" s="17">
        <f ca="1">ArmyState[[#This Row],[Count]]*ArmyState[[#This Row],[Cost]]</f>
        <v>0</v>
      </c>
      <c r="J21" s="161">
        <f>ArmyState[[#This Row],[Count]]*ArmyState[[#This Row],[Time]]</f>
        <v>0</v>
      </c>
      <c r="K21" s="18">
        <f>ArmyState[[#This Row],[Count]]*ArmyState[[#This Row],[Space]]</f>
        <v>0</v>
      </c>
      <c r="L21" s="112"/>
      <c r="M21" s="233" t="s">
        <v>96</v>
      </c>
      <c r="N21" s="159"/>
      <c r="O21" s="159"/>
      <c r="P21" s="159"/>
      <c r="Q21" s="159"/>
      <c r="R21" s="159"/>
      <c r="S21" s="159"/>
      <c r="T21" s="159"/>
      <c r="U21" s="159"/>
      <c r="V21" s="159"/>
      <c r="W21" s="222"/>
      <c r="X21" s="114"/>
      <c r="Y21" s="114"/>
      <c r="Z21" s="114"/>
      <c r="AA21" s="114"/>
      <c r="AB21" s="114"/>
      <c r="AC21" s="114"/>
      <c r="AD21" s="114"/>
      <c r="AE21" s="114"/>
      <c r="AF21" s="114"/>
    </row>
    <row r="22" spans="1:32" ht="16" customHeight="1" thickTop="1" thickBot="1">
      <c r="A22" s="160" t="s">
        <v>92</v>
      </c>
      <c r="B22" s="20">
        <f>INDEX(AttackSets[],MATCH(ArmyState[[#This Row],[Name]],AttackSets[Unit Set],0),MATCH(AttackSet,AttackSets[#Headers],0))</f>
        <v>0</v>
      </c>
      <c r="C22" s="161" t="str">
        <f>INDEX(UnitCosts[Type],MATCH(ArmyState[[#This Row],[Name]],UnitCosts[Name],0))</f>
        <v>Spell</v>
      </c>
      <c r="D22" s="160">
        <f ca="1">IFERROR(MATCH(1,OFFSET(ConstructionState[],MATCH(ArmyState[[#This Row],[Name]],ConstructionState[Building or Upgrade],0)-1,L1Offset,1,12)),1)</f>
        <v>4</v>
      </c>
      <c r="E22" s="161" t="str">
        <f>INDEX(UnitCosts[Resource],MATCH(ArmyState[[#This Row],[Name]],UnitCosts[Name],0))</f>
        <v>Elixir</v>
      </c>
      <c r="F22" s="17">
        <f ca="1">VLOOKUP(ArmyState[[#This Row],[Name]],UnitCosts[],MATCH(TEXT(ArmyState[[#This Row],[Level]],"#"),UnitCosts[#Headers],0),FALSE)</f>
        <v>20000</v>
      </c>
      <c r="G22" s="161">
        <f>INDEX(UnitCosts[Train Time],MATCH(ArmyState[[#This Row],[Name]],UnitCosts[Name],0))</f>
        <v>30</v>
      </c>
      <c r="H22" s="162">
        <f>INDEX(UnitCosts[Space],MATCH(ArmyState[[#This Row],[Name]],UnitCosts[Name],0))</f>
        <v>1</v>
      </c>
      <c r="I22" s="17">
        <f ca="1">ArmyState[[#This Row],[Count]]*ArmyState[[#This Row],[Cost]]</f>
        <v>0</v>
      </c>
      <c r="J22" s="161">
        <f>ArmyState[[#This Row],[Count]]*ArmyState[[#This Row],[Time]]</f>
        <v>0</v>
      </c>
      <c r="K22" s="18">
        <f>ArmyState[[#This Row],[Count]]*ArmyState[[#This Row],[Space]]</f>
        <v>0</v>
      </c>
      <c r="L22" s="112"/>
      <c r="M22" s="233" t="s">
        <v>92</v>
      </c>
      <c r="N22" s="159"/>
      <c r="O22" s="159"/>
      <c r="P22" s="159"/>
      <c r="Q22" s="159"/>
      <c r="R22" s="159"/>
      <c r="S22" s="159"/>
      <c r="T22" s="159"/>
      <c r="U22" s="159"/>
      <c r="V22" s="159"/>
      <c r="W22" s="222">
        <v>2</v>
      </c>
      <c r="X22" s="114"/>
      <c r="Y22" s="317" t="s">
        <v>19</v>
      </c>
      <c r="Z22" s="318"/>
      <c r="AA22" s="318"/>
      <c r="AB22" s="318"/>
      <c r="AC22" s="319"/>
      <c r="AD22" s="114"/>
      <c r="AE22" s="114"/>
      <c r="AF22" s="114"/>
    </row>
    <row r="23" spans="1:32" ht="16" customHeight="1" thickTop="1">
      <c r="A23" s="160" t="s">
        <v>93</v>
      </c>
      <c r="B23" s="20">
        <f>INDEX(AttackSets[],MATCH(ArmyState[[#This Row],[Name]],AttackSets[Unit Set],0),MATCH(AttackSet,AttackSets[#Headers],0))</f>
        <v>2</v>
      </c>
      <c r="C23" s="161" t="str">
        <f>INDEX(UnitCosts[Type],MATCH(ArmyState[[#This Row],[Name]],UnitCosts[Name],0))</f>
        <v>Spell</v>
      </c>
      <c r="D23" s="160">
        <f ca="1">IFERROR(MATCH(1,OFFSET(ConstructionState[],MATCH(ArmyState[[#This Row],[Name]],ConstructionState[Building or Upgrade],0)-1,L1Offset,1,12)),1)</f>
        <v>4</v>
      </c>
      <c r="E23" s="161" t="str">
        <f>INDEX(UnitCosts[Resource],MATCH(ArmyState[[#This Row],[Name]],UnitCosts[Name],0))</f>
        <v>Elixir</v>
      </c>
      <c r="F23" s="17">
        <f ca="1">VLOOKUP(ArmyState[[#This Row],[Name]],UnitCosts[],MATCH(TEXT(ArmyState[[#This Row],[Level]],"#"),UnitCosts[#Headers],0),FALSE)</f>
        <v>20000</v>
      </c>
      <c r="G23" s="161">
        <f>INDEX(UnitCosts[Train Time],MATCH(ArmyState[[#This Row],[Name]],UnitCosts[Name],0))</f>
        <v>30</v>
      </c>
      <c r="H23" s="162">
        <f>INDEX(UnitCosts[Space],MATCH(ArmyState[[#This Row],[Name]],UnitCosts[Name],0))</f>
        <v>1</v>
      </c>
      <c r="I23" s="17">
        <f ca="1">ArmyState[[#This Row],[Count]]*ArmyState[[#This Row],[Cost]]</f>
        <v>40000</v>
      </c>
      <c r="J23" s="161">
        <f>ArmyState[[#This Row],[Count]]*ArmyState[[#This Row],[Time]]</f>
        <v>60</v>
      </c>
      <c r="K23" s="18">
        <f>ArmyState[[#This Row],[Count]]*ArmyState[[#This Row],[Space]]</f>
        <v>2</v>
      </c>
      <c r="L23" s="112"/>
      <c r="M23" s="233" t="s">
        <v>93</v>
      </c>
      <c r="N23" s="159">
        <v>3</v>
      </c>
      <c r="O23" s="159"/>
      <c r="P23" s="159">
        <v>2</v>
      </c>
      <c r="Q23" s="159">
        <v>3</v>
      </c>
      <c r="R23" s="159">
        <v>2</v>
      </c>
      <c r="S23" s="159"/>
      <c r="T23" s="159"/>
      <c r="U23" s="159"/>
      <c r="V23" s="159"/>
      <c r="W23" s="222">
        <v>1</v>
      </c>
      <c r="X23" s="114"/>
      <c r="Y23" s="220"/>
      <c r="Z23" s="185" t="s">
        <v>279</v>
      </c>
      <c r="AA23" s="221" t="b">
        <v>0</v>
      </c>
      <c r="AB23" s="221" t="b">
        <v>0</v>
      </c>
      <c r="AC23" s="216"/>
      <c r="AD23" s="114"/>
      <c r="AE23" s="114"/>
      <c r="AF23" s="114"/>
    </row>
    <row r="24" spans="1:32" ht="16" customHeight="1">
      <c r="A24" s="160" t="s">
        <v>99</v>
      </c>
      <c r="B24" s="20">
        <f>INDEX(AttackSets[],MATCH(ArmyState[[#This Row],[Name]],AttackSets[Unit Set],0),MATCH(AttackSet,AttackSets[#Headers],0))</f>
        <v>0</v>
      </c>
      <c r="C24" s="161" t="str">
        <f>INDEX(UnitCosts[Type],MATCH(ArmyState[[#This Row],[Name]],UnitCosts[Name],0))</f>
        <v>Unit</v>
      </c>
      <c r="D24" s="160">
        <f ca="1">IFERROR(MATCH(1,OFFSET(ConstructionState[],MATCH(ArmyState[[#This Row],[Name]],ConstructionState[Building or Upgrade],0)-1,L1Offset,1,12)),1)</f>
        <v>1</v>
      </c>
      <c r="E24" s="161" t="str">
        <f>INDEX(UnitCosts[Resource],MATCH(ArmyState[[#This Row],[Name]],UnitCosts[Name],0))</f>
        <v>Dark Elixir</v>
      </c>
      <c r="F24" s="17">
        <f ca="1">VLOOKUP(ArmyState[[#This Row],[Name]],UnitCosts[],MATCH(TEXT(ArmyState[[#This Row],[Level]],"#"),UnitCosts[#Headers],0),FALSE)</f>
        <v>70</v>
      </c>
      <c r="G24" s="161">
        <f>INDEX(UnitCosts[Train Time],MATCH(ArmyState[[#This Row],[Name]],UnitCosts[Name],0))</f>
        <v>15</v>
      </c>
      <c r="H24" s="162">
        <f>INDEX(UnitCosts[Space],MATCH(ArmyState[[#This Row],[Name]],UnitCosts[Name],0))</f>
        <v>8</v>
      </c>
      <c r="I24" s="17">
        <f ca="1">ArmyState[[#This Row],[Count]]*ArmyState[[#This Row],[Cost]]</f>
        <v>0</v>
      </c>
      <c r="J24" s="161">
        <f>ArmyState[[#This Row],[Count]]*ArmyState[[#This Row],[Time]]</f>
        <v>0</v>
      </c>
      <c r="K24" s="18">
        <f>ArmyState[[#This Row],[Count]]*ArmyState[[#This Row],[Space]]</f>
        <v>0</v>
      </c>
      <c r="L24" s="112"/>
      <c r="M24" s="233" t="s">
        <v>99</v>
      </c>
      <c r="N24" s="159"/>
      <c r="O24" s="159"/>
      <c r="P24" s="159"/>
      <c r="Q24" s="159"/>
      <c r="R24" s="159"/>
      <c r="S24" s="159"/>
      <c r="T24" s="159"/>
      <c r="U24" s="159"/>
      <c r="V24" s="159"/>
      <c r="W24" s="222">
        <v>1</v>
      </c>
      <c r="X24" s="114"/>
      <c r="Y24" s="217" t="s">
        <v>143</v>
      </c>
      <c r="Z24" s="160" t="s">
        <v>259</v>
      </c>
      <c r="AA24" s="160" t="s">
        <v>256</v>
      </c>
      <c r="AB24" s="160" t="s">
        <v>257</v>
      </c>
      <c r="AC24" s="218" t="s">
        <v>165</v>
      </c>
      <c r="AD24" s="114"/>
      <c r="AE24" s="114"/>
      <c r="AF24" s="114"/>
    </row>
    <row r="25" spans="1:32" ht="16" customHeight="1">
      <c r="A25" s="160" t="s">
        <v>101</v>
      </c>
      <c r="B25" s="20">
        <f>INDEX(AttackSets[],MATCH(ArmyState[[#This Row],[Name]],AttackSets[Unit Set],0),MATCH(AttackSet,AttackSets[#Headers],0))</f>
        <v>0</v>
      </c>
      <c r="C25" s="161" t="str">
        <f>INDEX(UnitCosts[Type],MATCH(ArmyState[[#This Row],[Name]],UnitCosts[Name],0))</f>
        <v>Unit</v>
      </c>
      <c r="D25" s="160">
        <f ca="1">IFERROR(MATCH(1,OFFSET(ConstructionState[],MATCH(ArmyState[[#This Row],[Name]],ConstructionState[Building or Upgrade],0)-1,L1Offset,1,12)),1)</f>
        <v>1</v>
      </c>
      <c r="E25" s="161" t="str">
        <f>INDEX(UnitCosts[Resource],MATCH(ArmyState[[#This Row],[Name]],UnitCosts[Name],0))</f>
        <v>Dark Elixir</v>
      </c>
      <c r="F25" s="17">
        <f ca="1">VLOOKUP(ArmyState[[#This Row],[Name]],UnitCosts[],MATCH(TEXT(ArmyState[[#This Row],[Level]],"#"),UnitCosts[#Headers],0),FALSE)</f>
        <v>250</v>
      </c>
      <c r="G25" s="161">
        <f>INDEX(UnitCosts[Train Time],MATCH(ArmyState[[#This Row],[Name]],UnitCosts[Name],0))</f>
        <v>20</v>
      </c>
      <c r="H25" s="162">
        <f>INDEX(UnitCosts[Space],MATCH(ArmyState[[#This Row],[Name]],UnitCosts[Name],0))</f>
        <v>12</v>
      </c>
      <c r="I25" s="17">
        <f ca="1">ArmyState[[#This Row],[Count]]*ArmyState[[#This Row],[Cost]]</f>
        <v>0</v>
      </c>
      <c r="J25" s="161">
        <f>ArmyState[[#This Row],[Count]]*ArmyState[[#This Row],[Time]]</f>
        <v>0</v>
      </c>
      <c r="K25" s="18">
        <f>ArmyState[[#This Row],[Count]]*ArmyState[[#This Row],[Space]]</f>
        <v>0</v>
      </c>
      <c r="L25" s="112"/>
      <c r="M25" s="233" t="s">
        <v>101</v>
      </c>
      <c r="N25" s="159"/>
      <c r="O25" s="159"/>
      <c r="P25" s="159"/>
      <c r="Q25" s="159"/>
      <c r="R25" s="159"/>
      <c r="S25" s="159"/>
      <c r="T25" s="159"/>
      <c r="U25" s="159"/>
      <c r="V25" s="159"/>
      <c r="W25" s="222">
        <v>1</v>
      </c>
      <c r="X25" s="114"/>
      <c r="Y25" s="217" t="s">
        <v>99</v>
      </c>
      <c r="Z25" s="215"/>
      <c r="AA25" s="160">
        <f ca="1">IFERROR(MAX(0,
MIN($B24-IF(NOT(ISNUMBER(Z25)),0,SUM($Z25:Z25)),
  IF($AB$4,
    {FALSE},
    VLOOKUP(INDEX(Calculations!$E$4:$E$9,MATCH(BO_DarkBar[#Headers],Calculations!$D$4:$D$9,0)),Cap_DB[],2)
      -IF(NOT(ISNUMBER(AA24)),0,SUMPRODUCT(AA$24:AA25,$H$23:$H24))),
  ROUND(
    ((($J$33-SUM($Z$30:Z$30))
      * IF(AA$23,4,1)
      / (NumDarkBarracks+(3*COUNTIF(AA$23:$AC$23,TRUE))-COLUMNS($Z$30:Z$30)+1))
    -IF(NOT(ISNUMBER(AA24)),
        0,
        SUMPRODUCT(AA$24:AA25,$G$23:$G24)
      )
    )/$G24+10^-10,
    0))),0)</f>
        <v>0</v>
      </c>
      <c r="AB25" s="160">
        <f ca="1">IFERROR(MAX(0,
MIN($B24-IF(NOT(ISNUMBER(AA25)),0,SUM($Z25:AA25)),
  IF($AB$4,
    {FALSE},
    VLOOKUP(INDEX(Calculations!$E$4:$E$9,MATCH(BO_DarkBar[#Headers],Calculations!$D$4:$D$9,0)),Cap_DB[],2)
      -IF(NOT(ISNUMBER(AB24)),0,SUMPRODUCT(AB$24:AB25,$H$23:$H24))),
  ROUND(
    ((($J$33-SUM($Z$30:AA$30))
      * IF(AB$23,4,1)
      / (NumDarkBarracks+(3*COUNTIF(AB$23:$AC$23,TRUE))-COLUMNS($Z$30:AA$30)+1))
    -IF(NOT(ISNUMBER(AB24)),
        0,
        SUMPRODUCT(AB$24:AB25,$G$23:$G24)
      )
    )/$G24+10^-10,
    0))),0)</f>
        <v>0</v>
      </c>
      <c r="AC25" s="218">
        <f ca="1">B24-SUM(BO_DarkBar[[#This Row],[Already Built]:[DB2]])</f>
        <v>0</v>
      </c>
      <c r="AD25" s="114"/>
      <c r="AE25" s="114"/>
      <c r="AF25" s="114"/>
    </row>
    <row r="26" spans="1:32" ht="16" customHeight="1">
      <c r="A26" s="160" t="s">
        <v>100</v>
      </c>
      <c r="B26" s="20">
        <f>INDEX(AttackSets[],MATCH(ArmyState[[#This Row],[Name]],AttackSets[Unit Set],0),MATCH(AttackSet,AttackSets[#Headers],0))</f>
        <v>0</v>
      </c>
      <c r="C26" s="161" t="str">
        <f>INDEX(UnitCosts[Type],MATCH(ArmyState[[#This Row],[Name]],UnitCosts[Name],0))</f>
        <v>Unit</v>
      </c>
      <c r="D26" s="160">
        <f ca="1">IFERROR(MATCH(1,OFFSET(ConstructionState[],MATCH(ArmyState[[#This Row],[Name]],ConstructionState[Building or Upgrade],0)-1,L1Offset,1,12)),1)</f>
        <v>1</v>
      </c>
      <c r="E26" s="161" t="str">
        <f>INDEX(UnitCosts[Resource],MATCH(ArmyState[[#This Row],[Name]],UnitCosts[Name],0))</f>
        <v>Dark Elixir</v>
      </c>
      <c r="F26" s="17">
        <f ca="1">VLOOKUP(ArmyState[[#This Row],[Name]],UnitCosts[],MATCH(TEXT(ArmyState[[#This Row],[Level]],"#"),UnitCosts[#Headers],0),FALSE)</f>
        <v>450</v>
      </c>
      <c r="G26" s="161">
        <f>INDEX(UnitCosts[Train Time],MATCH(ArmyState[[#This Row],[Name]],UnitCosts[Name],0))</f>
        <v>45</v>
      </c>
      <c r="H26" s="162">
        <f>INDEX(UnitCosts[Space],MATCH(ArmyState[[#This Row],[Name]],UnitCosts[Name],0))</f>
        <v>30</v>
      </c>
      <c r="I26" s="17">
        <f ca="1">ArmyState[[#This Row],[Count]]*ArmyState[[#This Row],[Cost]]</f>
        <v>0</v>
      </c>
      <c r="J26" s="161">
        <f>ArmyState[[#This Row],[Count]]*ArmyState[[#This Row],[Time]]</f>
        <v>0</v>
      </c>
      <c r="K26" s="18">
        <f>ArmyState[[#This Row],[Count]]*ArmyState[[#This Row],[Space]]</f>
        <v>0</v>
      </c>
      <c r="L26" s="112"/>
      <c r="M26" s="233" t="s">
        <v>100</v>
      </c>
      <c r="N26" s="159"/>
      <c r="O26" s="159"/>
      <c r="P26" s="159"/>
      <c r="Q26" s="159"/>
      <c r="R26" s="159"/>
      <c r="S26" s="159"/>
      <c r="T26" s="159"/>
      <c r="U26" s="159"/>
      <c r="V26" s="159"/>
      <c r="W26" s="222">
        <v>1</v>
      </c>
      <c r="X26" s="114"/>
      <c r="Y26" s="217" t="s">
        <v>101</v>
      </c>
      <c r="Z26" s="215"/>
      <c r="AA26" s="160">
        <f ca="1">IFERROR(MAX(0,
MIN($B25-IF(NOT(ISNUMBER(Z26)),0,SUM($Z26:Z26)),
  IF($AB$4,
    {FALSE},
    VLOOKUP(INDEX(Calculations!$E$4:$E$9,MATCH(BO_DarkBar[#Headers],Calculations!$D$4:$D$9,0)),Cap_DB[],2)
      -IF(NOT(ISNUMBER(AA25)),0,SUMPRODUCT(AA$25:AA25,$H$24:$H24))),
  ROUND(
    ((($J$33-SUM($Z$30:Z$30))
      * IF(AA$23,4,1)
      / (NumDarkBarracks+(3*COUNTIF(AA$23:$AC$23,TRUE))-COLUMNS($Z$30:Z$30)+1))
    -IF(NOT(ISNUMBER(AA25)),
        0,
        SUMPRODUCT(AA$25:AA25,$G$24:$G24)
      )
    )/$G25+10^-10,
    0))),0)</f>
        <v>0</v>
      </c>
      <c r="AB26" s="160">
        <f ca="1">IFERROR(MAX(0,
MIN($B25-IF(NOT(ISNUMBER(AA26)),0,SUM($Z26:AA26)),
  IF($AB$4,
    {FALSE},
    VLOOKUP(INDEX(Calculations!$E$4:$E$9,MATCH(BO_DarkBar[#Headers],Calculations!$D$4:$D$9,0)),Cap_DB[],2)
      -IF(NOT(ISNUMBER(AB25)),0,SUMPRODUCT(AB$25:AB25,$H$24:$H24))),
  ROUND(
    ((($J$33-SUM($Z$30:AA$30))
      * IF(AB$23,4,1)
      / (NumDarkBarracks+(3*COUNTIF(AB$23:$AC$23,TRUE))-COLUMNS($Z$30:AA$30)+1))
    -IF(NOT(ISNUMBER(AB25)),
        0,
        SUMPRODUCT(AB$25:AB25,$G$24:$G24)
      )
    )/$G25+10^-10,
    0))),0)</f>
        <v>0</v>
      </c>
      <c r="AC26" s="218">
        <f ca="1">B25-SUM(BO_DarkBar[[#This Row],[Already Built]:[DB2]])</f>
        <v>0</v>
      </c>
      <c r="AD26" s="114"/>
      <c r="AE26" s="114"/>
      <c r="AF26" s="114"/>
    </row>
    <row r="27" spans="1:32" ht="16" customHeight="1">
      <c r="A27" s="160" t="s">
        <v>98</v>
      </c>
      <c r="B27" s="20">
        <f>INDEX(AttackSets[],MATCH(ArmyState[[#This Row],[Name]],AttackSets[Unit Set],0),MATCH(AttackSet,AttackSets[#Headers],0))</f>
        <v>0</v>
      </c>
      <c r="C27" s="161" t="str">
        <f>INDEX(UnitCosts[Type],MATCH(ArmyState[[#This Row],[Name]],UnitCosts[Name],0))</f>
        <v>Unit</v>
      </c>
      <c r="D27" s="160">
        <f ca="1">IFERROR(MATCH(1,OFFSET(ConstructionState[],MATCH(ArmyState[[#This Row],[Name]],ConstructionState[Building or Upgrade],0)-1,L1Offset,1,12)),1)</f>
        <v>1</v>
      </c>
      <c r="E27" s="161" t="str">
        <f>INDEX(UnitCosts[Resource],MATCH(ArmyState[[#This Row],[Name]],UnitCosts[Name],0))</f>
        <v>Dark Elixir</v>
      </c>
      <c r="F27" s="17">
        <f ca="1">VLOOKUP(ArmyState[[#This Row],[Name]],UnitCosts[],MATCH(TEXT(ArmyState[[#This Row],[Level]],"#"),UnitCosts[#Headers],0),FALSE)</f>
        <v>40</v>
      </c>
      <c r="G27" s="161">
        <f>INDEX(UnitCosts[Train Time],MATCH(ArmyState[[#This Row],[Name]],UnitCosts[Name],0))</f>
        <v>2</v>
      </c>
      <c r="H27" s="162">
        <f>INDEX(UnitCosts[Space],MATCH(ArmyState[[#This Row],[Name]],UnitCosts[Name],0))</f>
        <v>5</v>
      </c>
      <c r="I27" s="17">
        <f ca="1">ArmyState[[#This Row],[Count]]*ArmyState[[#This Row],[Cost]]</f>
        <v>0</v>
      </c>
      <c r="J27" s="161">
        <f>ArmyState[[#This Row],[Count]]*ArmyState[[#This Row],[Time]]</f>
        <v>0</v>
      </c>
      <c r="K27" s="18">
        <f>ArmyState[[#This Row],[Count]]*ArmyState[[#This Row],[Space]]</f>
        <v>0</v>
      </c>
      <c r="L27" s="112"/>
      <c r="M27" s="233" t="s">
        <v>98</v>
      </c>
      <c r="N27" s="159"/>
      <c r="O27" s="159"/>
      <c r="P27" s="159"/>
      <c r="Q27" s="159"/>
      <c r="R27" s="159"/>
      <c r="S27" s="159"/>
      <c r="T27" s="159"/>
      <c r="U27" s="159"/>
      <c r="V27" s="159"/>
      <c r="W27" s="222">
        <v>2</v>
      </c>
      <c r="X27" s="114"/>
      <c r="Y27" s="217" t="s">
        <v>100</v>
      </c>
      <c r="Z27" s="215"/>
      <c r="AA27" s="160">
        <f ca="1">IFERROR(MAX(0,
MIN($B26-IF(NOT(ISNUMBER(Z27)),0,SUM($Z27:Z27)),
  IF($AB$4,
    {FALSE},
    VLOOKUP(INDEX(Calculations!$E$4:$E$9,MATCH(BO_DarkBar[#Headers],Calculations!$D$4:$D$9,0)),Cap_DB[],2)
      -IF(NOT(ISNUMBER(AA26)),0,SUMPRODUCT(AA$25:AA26,$H$24:$H25))),
  ROUND(
    ((($J$33-SUM($Z$30:Z$30))
      * IF(AA$23,4,1)
      / (NumDarkBarracks+(3*COUNTIF(AA$23:$AC$23,TRUE))-COLUMNS($Z$30:Z$30)+1))
    -IF(NOT(ISNUMBER(AA26)),
        0,
        SUMPRODUCT(AA$25:AA26,$G$24:$G25)
      )
    )/$G26+10^-10,
    0))),0)</f>
        <v>0</v>
      </c>
      <c r="AB27" s="160">
        <f ca="1">IFERROR(MAX(0,
MIN($B26-IF(NOT(ISNUMBER(AA27)),0,SUM($Z27:AA27)),
  IF($AB$4,
    {FALSE},
    VLOOKUP(INDEX(Calculations!$E$4:$E$9,MATCH(BO_DarkBar[#Headers],Calculations!$D$4:$D$9,0)),Cap_DB[],2)
      -IF(NOT(ISNUMBER(AB26)),0,SUMPRODUCT(AB$25:AB26,$H$24:$H25))),
  ROUND(
    ((($J$33-SUM($Z$30:AA$30))
      * IF(AB$23,4,1)
      / (NumDarkBarracks+(3*COUNTIF(AB$23:$AC$23,TRUE))-COLUMNS($Z$30:AA$30)+1))
    -IF(NOT(ISNUMBER(AB26)),
        0,
        SUMPRODUCT(AB$25:AB26,$G$24:$G25)
      )
    )/$G26+10^-10,
    0))),0)</f>
        <v>0</v>
      </c>
      <c r="AC27" s="218">
        <f ca="1">B26-SUM(BO_DarkBar[[#This Row],[Already Built]:[DB2]])</f>
        <v>0</v>
      </c>
      <c r="AD27" s="114"/>
      <c r="AE27" s="114"/>
      <c r="AF27" s="114"/>
    </row>
    <row r="28" spans="1:32" ht="16" customHeight="1">
      <c r="A28" s="160" t="s">
        <v>97</v>
      </c>
      <c r="B28" s="20">
        <f>INDEX(AttackSets[],MATCH(ArmyState[[#This Row],[Name]],AttackSets[Unit Set],0),MATCH(AttackSet,AttackSets[#Headers],0))</f>
        <v>0</v>
      </c>
      <c r="C28" s="161" t="str">
        <f>INDEX(UnitCosts[Type],MATCH(ArmyState[[#This Row],[Name]],UnitCosts[Name],0))</f>
        <v>Unit</v>
      </c>
      <c r="D28" s="160">
        <f ca="1">IFERROR(MATCH(1,OFFSET(ConstructionState[],MATCH(ArmyState[[#This Row],[Name]],ConstructionState[Building or Upgrade],0)-1,L1Offset,1,12)),1)</f>
        <v>1</v>
      </c>
      <c r="E28" s="161" t="str">
        <f>INDEX(UnitCosts[Resource],MATCH(ArmyState[[#This Row],[Name]],UnitCosts[Name],0))</f>
        <v>Dark Elixir</v>
      </c>
      <c r="F28" s="17">
        <f ca="1">VLOOKUP(ArmyState[[#This Row],[Name]],UnitCosts[],MATCH(TEXT(ArmyState[[#This Row],[Level]],"#"),UnitCosts[#Headers],0),FALSE)</f>
        <v>6</v>
      </c>
      <c r="G28" s="161">
        <f>INDEX(UnitCosts[Train Time],MATCH(ArmyState[[#This Row],[Name]],UnitCosts[Name],0))</f>
        <v>0.75</v>
      </c>
      <c r="H28" s="162">
        <f>INDEX(UnitCosts[Space],MATCH(ArmyState[[#This Row],[Name]],UnitCosts[Name],0))</f>
        <v>2</v>
      </c>
      <c r="I28" s="17">
        <f ca="1">ArmyState[[#This Row],[Count]]*ArmyState[[#This Row],[Cost]]</f>
        <v>0</v>
      </c>
      <c r="J28" s="161">
        <f>ArmyState[[#This Row],[Count]]*ArmyState[[#This Row],[Time]]</f>
        <v>0</v>
      </c>
      <c r="K28" s="18">
        <f>ArmyState[[#This Row],[Count]]*ArmyState[[#This Row],[Space]]</f>
        <v>0</v>
      </c>
      <c r="L28" s="112"/>
      <c r="M28" s="234" t="s">
        <v>97</v>
      </c>
      <c r="N28" s="159"/>
      <c r="O28" s="159"/>
      <c r="P28" s="159"/>
      <c r="Q28" s="159"/>
      <c r="R28" s="159"/>
      <c r="S28" s="159"/>
      <c r="T28" s="159"/>
      <c r="U28" s="159"/>
      <c r="V28" s="159"/>
      <c r="W28" s="222">
        <v>3</v>
      </c>
      <c r="X28" s="114"/>
      <c r="Y28" s="217" t="s">
        <v>98</v>
      </c>
      <c r="Z28" s="215"/>
      <c r="AA28" s="160">
        <f ca="1">IFERROR(MAX(0,
MIN($B27-IF(NOT(ISNUMBER(Z28)),0,SUM($Z28:Z28)),
  IF($AB$4,
    {FALSE},
    VLOOKUP(INDEX(Calculations!$E$4:$E$9,MATCH(BO_DarkBar[#Headers],Calculations!$D$4:$D$9,0)),Cap_DB[],2)
      -IF(NOT(ISNUMBER(AA27)),0,SUMPRODUCT(AA25:AA$27,$H24:$H$26))),
  ROUND(
    ((($J$33-SUM($Z$30:Z$30))
      * IF(AA$23,4,1)
      / (NumDarkBarracks+(3*COUNTIF(AA$23:$AC$23,TRUE))-COLUMNS($Z$30:Z$30)+1))
    -IF(NOT(ISNUMBER(AA27)),
        0,
        SUMPRODUCT(AA25:AA$27,$G24:$G$26)
      )
    )/$G27+10^-10,
    0))),0)</f>
        <v>0</v>
      </c>
      <c r="AB28" s="160">
        <f ca="1">IFERROR(MAX(0,
MIN($B27-IF(NOT(ISNUMBER(AA28)),0,SUM($Z28:AA28)),
  IF($AB$4,
    {FALSE},
    VLOOKUP(INDEX(Calculations!$E$4:$E$9,MATCH(BO_DarkBar[#Headers],Calculations!$D$4:$D$9,0)),Cap_DB[],2)
      -IF(NOT(ISNUMBER(AB27)),0,SUMPRODUCT(AB25:AB$27,$H24:$H$26))),
  ROUND(
    ((($J$33-SUM($Z$30:AA$30))
      * IF(AB$23,4,1)
      / (NumDarkBarracks+(3*COUNTIF(AB$23:$AC$23,TRUE))-COLUMNS($Z$30:AA$30)+1))
    -IF(NOT(ISNUMBER(AB27)),
        0,
        SUMPRODUCT(AB25:AB$27,$G24:$G$26)
      )
    )/$G27+10^-10,
    0))),0)</f>
        <v>0</v>
      </c>
      <c r="AC28" s="218">
        <f ca="1">B27-SUM(BO_DarkBar[[#This Row],[Already Built]:[DB2]])</f>
        <v>0</v>
      </c>
      <c r="AD28" s="114"/>
      <c r="AE28" s="114"/>
      <c r="AF28" s="114"/>
    </row>
    <row r="29" spans="1:32" ht="16" customHeight="1" thickBot="1">
      <c r="A29" s="114"/>
      <c r="B29" s="114"/>
      <c r="C29" s="114"/>
      <c r="D29" s="114"/>
      <c r="E29" s="114"/>
      <c r="F29" s="114"/>
      <c r="G29" s="114"/>
      <c r="H29" s="114"/>
      <c r="I29" s="114"/>
      <c r="J29" s="114"/>
      <c r="K29" s="114"/>
      <c r="L29" s="112"/>
      <c r="M29" s="230" t="s">
        <v>185</v>
      </c>
      <c r="N29" s="231">
        <f t="array" aca="1" ref="N29" ca="1">SUMPRODUCT(N$9:N$28,ArmyState[Cost],IF(ArmyState[Resource]="Elixir",1,0),IF(ArmyState[Type]="Unit",1,0))</f>
        <v>68200</v>
      </c>
      <c r="O29" s="231">
        <f t="array" aca="1" ref="O29" ca="1">SUMPRODUCT(O$9:O$28,ArmyState[Cost],IF(ArmyState[Resource]="Elixir",1,0),IF(ArmyState[Type]="Unit",1,0))</f>
        <v>52320</v>
      </c>
      <c r="P29" s="231">
        <f t="array" aca="1" ref="P29" ca="1">SUMPRODUCT(P$9:P$28,ArmyState[Cost],IF(ArmyState[Resource]="Elixir",1,0),IF(ArmyState[Type]="Unit",1,0))</f>
        <v>83560</v>
      </c>
      <c r="Q29" s="231">
        <f t="array" aca="1" ref="Q29" ca="1">SUMPRODUCT(Q$9:Q$28,ArmyState[Cost],IF(ArmyState[Resource]="Elixir",1,0),IF(ArmyState[Type]="Unit",1,0))</f>
        <v>88960</v>
      </c>
      <c r="R29" s="231">
        <f t="array" aca="1" ref="R29" ca="1">SUMPRODUCT(R$9:R$28,ArmyState[Cost],IF(ArmyState[Resource]="Elixir",1,0),IF(ArmyState[Type]="Unit",1,0))</f>
        <v>82760</v>
      </c>
      <c r="S29" s="231">
        <f t="array" aca="1" ref="S29" ca="1">SUMPRODUCT(S$9:S$28,ArmyState[Cost],IF(ArmyState[Resource]="Elixir",1,0),IF(ArmyState[Type]="Unit",1,0))</f>
        <v>0</v>
      </c>
      <c r="T29" s="231">
        <f t="array" aca="1" ref="T29" ca="1">SUMPRODUCT(T$9:T$28,ArmyState[Cost],IF(ArmyState[Resource]="Elixir",1,0),IF(ArmyState[Type]="Unit",1,0))</f>
        <v>46340</v>
      </c>
      <c r="U29" s="231">
        <f t="array" aca="1" ref="U29" ca="1">SUMPRODUCT(U$9:U$28,ArmyState[Cost],IF(ArmyState[Resource]="Elixir",1,0),IF(ArmyState[Type]="Unit",1,0))</f>
        <v>24800</v>
      </c>
      <c r="V29" s="231">
        <f t="array" aca="1" ref="V29" ca="1">SUMPRODUCT(V$9:V$28,ArmyState[Cost],IF(ArmyState[Resource]="Elixir",1,0),IF(ArmyState[Type]="Unit",1,0))</f>
        <v>0</v>
      </c>
      <c r="W29" s="232">
        <f t="array" aca="1" ref="W29" ca="1">SUMPRODUCT(W$9:W$28,ArmyState[Cost],IF(ArmyState[Resource]="Elixir",1,0),IF(ArmyState[Type]="Unit",1,0))</f>
        <v>64920</v>
      </c>
      <c r="X29" s="114"/>
      <c r="Y29" s="217" t="s">
        <v>97</v>
      </c>
      <c r="Z29" s="215"/>
      <c r="AA29" s="160">
        <f ca="1">IFERROR(MAX(0,
MIN($B28-IF(NOT(ISNUMBER(Z29)),0,SUM($Z29:Z29)),
  IF($AB$4,
    {FALSE},
    VLOOKUP(INDEX(Calculations!$E$4:$E$9,MATCH(BO_DarkBar[#Headers],Calculations!$D$4:$D$9,0)),Cap_DB[],2)
      -IF(NOT(ISNUMBER(AA28)),0,SUMPRODUCT(AA25:AA$28,$H24:$H$27))),
  ROUND(
    ((($J$33-SUM($Z$30:Z$30))
      * IF(AA$23,4,1)
      / (NumDarkBarracks+(3*COUNTIF(AA$23:$AC$23,TRUE))-COLUMNS($Z$30:Z$30)+1))
    -IF(NOT(ISNUMBER(AA28)),
        0,
        SUMPRODUCT(AA25:AA$28,$G24:$G$27)
      )
    )/$G28+10^-10,
    0))),0)</f>
        <v>0</v>
      </c>
      <c r="AB29" s="160">
        <f ca="1">IFERROR(MAX(0,
MIN($B28-IF(NOT(ISNUMBER(AA29)),0,SUM($Z29:AA29)),
  IF($AB$4,
    {FALSE},
    VLOOKUP(INDEX(Calculations!$E$4:$E$9,MATCH(BO_DarkBar[#Headers],Calculations!$D$4:$D$9,0)),Cap_DB[],2)
      -IF(NOT(ISNUMBER(AB28)),0,SUMPRODUCT(AB25:AB$28,$H24:$H$27))),
  ROUND(
    ((($J$33-SUM($Z$30:AA$30))
      * IF(AB$23,4,1)
      / (NumDarkBarracks+(3*COUNTIF(AB$23:$AC$23,TRUE))-COLUMNS($Z$30:AA$30)+1))
    -IF(NOT(ISNUMBER(AB28)),
        0,
        SUMPRODUCT(AB25:AB$28,$G24:$G$27)
      )
    )/$G28+10^-10,
    0))),0)</f>
        <v>0</v>
      </c>
      <c r="AC29" s="218">
        <f ca="1">B28-SUM(BO_DarkBar[[#This Row],[Already Built]:[DB2]])</f>
        <v>0</v>
      </c>
      <c r="AD29" s="114"/>
      <c r="AE29" s="114"/>
      <c r="AF29" s="114"/>
    </row>
    <row r="30" spans="1:32" ht="16" customHeight="1" thickTop="1" thickBot="1">
      <c r="A30" s="317" t="s">
        <v>169</v>
      </c>
      <c r="B30" s="249"/>
      <c r="C30" s="250"/>
      <c r="D30" s="114"/>
      <c r="E30" s="317" t="s">
        <v>168</v>
      </c>
      <c r="F30" s="318"/>
      <c r="G30" s="319"/>
      <c r="H30" s="114"/>
      <c r="I30" s="317" t="s">
        <v>293</v>
      </c>
      <c r="J30" s="249"/>
      <c r="K30" s="250"/>
      <c r="L30" s="112"/>
      <c r="M30" s="108" t="s">
        <v>186</v>
      </c>
      <c r="N30" s="110">
        <f t="array" aca="1" ref="N30" ca="1">SUMPRODUCT(N$9:N$28,ArmyState[Cost],IF(ArmyState[Resource]="Elixir",1,0),IF(ArmyState[Type]="Spell",1,0))</f>
        <v>60000</v>
      </c>
      <c r="O30" s="110">
        <f t="array" aca="1" ref="O30" ca="1">SUMPRODUCT(O$9:O$28,ArmyState[Cost],IF(ArmyState[Resource]="Elixir",1,0),IF(ArmyState[Type]="Spell",1,0))</f>
        <v>0</v>
      </c>
      <c r="P30" s="110">
        <f t="array" aca="1" ref="P30" ca="1">SUMPRODUCT(P$9:P$28,ArmyState[Cost],IF(ArmyState[Resource]="Elixir",1,0),IF(ArmyState[Type]="Spell",1,0))</f>
        <v>70000</v>
      </c>
      <c r="Q30" s="110">
        <f t="array" aca="1" ref="Q30" ca="1">SUMPRODUCT(Q$9:Q$28,ArmyState[Cost],IF(ArmyState[Resource]="Elixir",1,0),IF(ArmyState[Type]="Spell",1,0))</f>
        <v>60000</v>
      </c>
      <c r="R30" s="110">
        <f t="array" aca="1" ref="R30" ca="1">SUMPRODUCT(R$9:R$28,ArmyState[Cost],IF(ArmyState[Resource]="Elixir",1,0),IF(ArmyState[Type]="Spell",1,0))</f>
        <v>70000</v>
      </c>
      <c r="S30" s="110">
        <f t="array" aca="1" ref="S30" ca="1">SUMPRODUCT(S$9:S$28,ArmyState[Cost],IF(ArmyState[Resource]="Elixir",1,0),IF(ArmyState[Type]="Spell",1,0))</f>
        <v>0</v>
      </c>
      <c r="T30" s="110">
        <f t="array" aca="1" ref="T30" ca="1">SUMPRODUCT(T$9:T$28,ArmyState[Cost],IF(ArmyState[Resource]="Elixir",1,0),IF(ArmyState[Type]="Spell",1,0))</f>
        <v>90000</v>
      </c>
      <c r="U30" s="110">
        <f t="array" aca="1" ref="U30" ca="1">SUMPRODUCT(U$9:U$28,ArmyState[Cost],IF(ArmyState[Resource]="Elixir",1,0),IF(ArmyState[Type]="Spell",1,0))</f>
        <v>0</v>
      </c>
      <c r="V30" s="110">
        <f t="array" aca="1" ref="V30" ca="1">SUMPRODUCT(V$9:V$28,ArmyState[Cost],IF(ArmyState[Resource]="Elixir",1,0),IF(ArmyState[Type]="Spell",1,0))</f>
        <v>0</v>
      </c>
      <c r="W30" s="119">
        <f t="array" aca="1" ref="W30" ca="1">SUMPRODUCT(W$9:W$28,ArmyState[Cost],IF(ArmyState[Resource]="Elixir",1,0),IF(ArmyState[Type]="Spell",1,0))</f>
        <v>60000</v>
      </c>
      <c r="X30" s="114"/>
      <c r="Y30" s="219" t="s">
        <v>255</v>
      </c>
      <c r="Z30" s="223">
        <f>SUMPRODUCT(BO_DarkBar[Already Built],$G24:$G28)</f>
        <v>0</v>
      </c>
      <c r="AA30" s="223">
        <f ca="1">SUMPRODUCT(BO_DarkBar[DB1],$G24:$G28)</f>
        <v>0</v>
      </c>
      <c r="AB30" s="223">
        <f ca="1">SUMPRODUCT(BO_DarkBar[DB2],$G24:$G28)</f>
        <v>0</v>
      </c>
      <c r="AC30" s="224">
        <f ca="1">COUNTIF(BO_DarkBar[Left],"&lt;&gt;0")</f>
        <v>0</v>
      </c>
      <c r="AD30" s="114"/>
      <c r="AE30" s="114"/>
      <c r="AF30" s="114"/>
    </row>
    <row r="31" spans="1:32" ht="16" customHeight="1" thickTop="1" thickBot="1">
      <c r="A31" s="60" t="s">
        <v>138</v>
      </c>
      <c r="B31" s="185" t="s">
        <v>1</v>
      </c>
      <c r="C31" s="187" t="s">
        <v>102</v>
      </c>
      <c r="D31" s="114"/>
      <c r="E31" s="60" t="s">
        <v>138</v>
      </c>
      <c r="F31" s="185" t="s">
        <v>110</v>
      </c>
      <c r="G31" s="73" t="s">
        <v>165</v>
      </c>
      <c r="H31" s="114"/>
      <c r="I31" s="76" t="s">
        <v>138</v>
      </c>
      <c r="J31" s="185" t="s">
        <v>249</v>
      </c>
      <c r="K31" s="186" t="s">
        <v>248</v>
      </c>
      <c r="L31" s="112"/>
      <c r="M31" s="107" t="s">
        <v>184</v>
      </c>
      <c r="N31" s="109">
        <f t="array" aca="1" ref="N31" ca="1">SUMPRODUCT(N$9:N$28,ArmyState[Cost],IF(ArmyState[Resource]="Elixir",1,0))</f>
        <v>128200</v>
      </c>
      <c r="O31" s="109">
        <f t="array" aca="1" ref="O31" ca="1">SUMPRODUCT(O$9:O$28,ArmyState[Cost],IF(ArmyState[Resource]="Elixir",1,0))</f>
        <v>52320</v>
      </c>
      <c r="P31" s="109">
        <f t="array" aca="1" ref="P31" ca="1">SUMPRODUCT(P$9:P$28,ArmyState[Cost],IF(ArmyState[Resource]="Elixir",1,0))</f>
        <v>153560</v>
      </c>
      <c r="Q31" s="109">
        <f t="array" aca="1" ref="Q31" ca="1">SUMPRODUCT(Q$9:Q$28,ArmyState[Cost],IF(ArmyState[Resource]="Elixir",1,0))</f>
        <v>148960</v>
      </c>
      <c r="R31" s="109">
        <f t="array" aca="1" ref="R31" ca="1">SUMPRODUCT(R$9:R$28,ArmyState[Cost],IF(ArmyState[Resource]="Elixir",1,0))</f>
        <v>152760</v>
      </c>
      <c r="S31" s="109">
        <f t="array" aca="1" ref="S31" ca="1">SUMPRODUCT(S$9:S$28,ArmyState[Cost],IF(ArmyState[Resource]="Elixir",1,0))</f>
        <v>0</v>
      </c>
      <c r="T31" s="109">
        <f t="array" aca="1" ref="T31" ca="1">SUMPRODUCT(T$9:T$28,ArmyState[Cost],IF(ArmyState[Resource]="Elixir",1,0))</f>
        <v>136340</v>
      </c>
      <c r="U31" s="109">
        <f t="array" aca="1" ref="U31" ca="1">SUMPRODUCT(U$9:U$28,ArmyState[Cost],IF(ArmyState[Resource]="Elixir",1,0))</f>
        <v>24800</v>
      </c>
      <c r="V31" s="109">
        <f t="array" aca="1" ref="V31" ca="1">SUMPRODUCT(V$9:V$28,ArmyState[Cost],IF(ArmyState[Resource]="Elixir",1,0))</f>
        <v>0</v>
      </c>
      <c r="W31" s="120">
        <f t="array" aca="1" ref="W31" ca="1">SUMPRODUCT(W$9:W$28,ArmyState[Cost],IF(ArmyState[Resource]="Elixir",1,0))</f>
        <v>124920</v>
      </c>
      <c r="X31" s="114"/>
      <c r="Y31" s="225" t="s">
        <v>148</v>
      </c>
      <c r="Z31" s="226">
        <f>SUMPRODUCT(BO_DarkBar[Already Built],$H24:$H28)</f>
        <v>0</v>
      </c>
      <c r="AA31" s="226">
        <f ca="1">SUMPRODUCT(BO_DarkBar[DB1],$H24:$H28)</f>
        <v>0</v>
      </c>
      <c r="AB31" s="226">
        <f ca="1">SUMPRODUCT(BO_DarkBar[DB2],$H24:$H28)</f>
        <v>0</v>
      </c>
      <c r="AC31" s="227">
        <f ca="1">SUMPRODUCT(BO_DarkBar[Left],$H24:$H28)</f>
        <v>0</v>
      </c>
      <c r="AD31" s="114"/>
      <c r="AE31" s="114"/>
      <c r="AF31" s="114"/>
    </row>
    <row r="32" spans="1:32" ht="16" customHeight="1" thickTop="1" thickBot="1">
      <c r="A32" s="61" t="s">
        <v>143</v>
      </c>
      <c r="B32" s="13">
        <f ca="1">SUMIFS(ArmyState[Total Cost],ArmyState[Resource],B$31,ArmyState[Type],$A32)</f>
        <v>83560</v>
      </c>
      <c r="C32" s="78">
        <f ca="1">SUMIFS(ArmyState[Total Cost],ArmyState[Resource],C$31,ArmyState[Type],$A32)</f>
        <v>0</v>
      </c>
      <c r="D32" s="114"/>
      <c r="E32" s="61" t="s">
        <v>143</v>
      </c>
      <c r="F32" s="105">
        <f>ArmyCap</f>
        <v>200</v>
      </c>
      <c r="G32" s="228">
        <f>F32-SUMIFS(ArmyState[Total Space],ArmyState[Type],E32)</f>
        <v>0</v>
      </c>
      <c r="H32" s="114"/>
      <c r="I32" s="61" t="s">
        <v>2</v>
      </c>
      <c r="J32" s="75">
        <f>SUMIFS(ArmyState[Total Time],ArmyState[Type],"Unit",ArmyState[Resource],"Elixir")</f>
        <v>136</v>
      </c>
      <c r="K32" s="179">
        <f ca="1">J32/NumBarracks</f>
        <v>34</v>
      </c>
      <c r="L32" s="112"/>
      <c r="M32" s="108" t="s">
        <v>102</v>
      </c>
      <c r="N32" s="110">
        <f t="array" aca="1" ref="N32" ca="1">SUMPRODUCT(N$9:N$28,ArmyState[Cost],IF(ArmyState[Resource]="Dark Elixir",1,0))</f>
        <v>0</v>
      </c>
      <c r="O32" s="110">
        <f t="array" aca="1" ref="O32" ca="1">SUMPRODUCT(O$9:O$28,ArmyState[Cost],IF(ArmyState[Resource]="Dark Elixir",1,0))</f>
        <v>0</v>
      </c>
      <c r="P32" s="110">
        <f t="array" aca="1" ref="P32" ca="1">SUMPRODUCT(P$9:P$28,ArmyState[Cost],IF(ArmyState[Resource]="Dark Elixir",1,0))</f>
        <v>0</v>
      </c>
      <c r="Q32" s="110">
        <f t="array" aca="1" ref="Q32" ca="1">SUMPRODUCT(Q$9:Q$28,ArmyState[Cost],IF(ArmyState[Resource]="Dark Elixir",1,0))</f>
        <v>0</v>
      </c>
      <c r="R32" s="110">
        <f t="array" aca="1" ref="R32" ca="1">SUMPRODUCT(R$9:R$28,ArmyState[Cost],IF(ArmyState[Resource]="Dark Elixir",1,0))</f>
        <v>0</v>
      </c>
      <c r="S32" s="110">
        <f t="array" aca="1" ref="S32" ca="1">SUMPRODUCT(S$9:S$28,ArmyState[Cost],IF(ArmyState[Resource]="Dark Elixir",1,0))</f>
        <v>0</v>
      </c>
      <c r="T32" s="110">
        <f t="array" aca="1" ref="T32" ca="1">SUMPRODUCT(T$9:T$28,ArmyState[Cost],IF(ArmyState[Resource]="Dark Elixir",1,0))</f>
        <v>0</v>
      </c>
      <c r="U32" s="110">
        <f t="array" aca="1" ref="U32" ca="1">SUMPRODUCT(U$9:U$28,ArmyState[Cost],IF(ArmyState[Resource]="Dark Elixir",1,0))</f>
        <v>0</v>
      </c>
      <c r="V32" s="110">
        <f t="array" aca="1" ref="V32" ca="1">SUMPRODUCT(V$9:V$28,ArmyState[Cost],IF(ArmyState[Resource]="Dark Elixir",1,0))</f>
        <v>0</v>
      </c>
      <c r="W32" s="119">
        <f t="array" aca="1" ref="W32" ca="1">SUMPRODUCT(W$9:W$28,ArmyState[Cost],IF(ArmyState[Resource]="Dark Elixir",1,0))</f>
        <v>868</v>
      </c>
      <c r="X32" s="114"/>
      <c r="Y32" s="114"/>
      <c r="Z32" s="114"/>
      <c r="AA32" s="114"/>
      <c r="AB32" s="114"/>
      <c r="AC32" s="114"/>
      <c r="AD32" s="114"/>
      <c r="AE32" s="114"/>
      <c r="AF32" s="114"/>
    </row>
    <row r="33" spans="1:32" ht="16" customHeight="1" thickTop="1" thickBot="1">
      <c r="A33" s="61" t="s">
        <v>144</v>
      </c>
      <c r="B33" s="77">
        <f ca="1">SUMIFS(ArmyState[Total Cost],ArmyState[Resource],B$31,ArmyState[Type],$A33)</f>
        <v>70000</v>
      </c>
      <c r="C33" s="79">
        <f>SUMIFS(ArmyState[Total Cost],ArmyState[Resource],C$31,ArmyState[Type],$A33)</f>
        <v>0</v>
      </c>
      <c r="D33" s="114"/>
      <c r="E33" s="72" t="s">
        <v>144</v>
      </c>
      <c r="F33" s="106">
        <f ca="1">SpellCap</f>
        <v>3</v>
      </c>
      <c r="G33" s="229">
        <f ca="1">F33-SUMIFS(ArmyState[Total Space],ArmyState[Type],E33)</f>
        <v>0</v>
      </c>
      <c r="H33" s="114"/>
      <c r="I33" s="61" t="s">
        <v>19</v>
      </c>
      <c r="J33" s="75">
        <f>SUMIFS(ArmyState[Total Time],ArmyState[Type],"Unit",ArmyState[Resource],"Dark Elixir")</f>
        <v>0</v>
      </c>
      <c r="K33" s="178">
        <f ca="1">J33/NumDarkBarracks</f>
        <v>0</v>
      </c>
      <c r="L33" s="112"/>
      <c r="M33" s="112"/>
      <c r="N33" s="112"/>
      <c r="O33" s="112"/>
      <c r="P33" s="112"/>
      <c r="Q33" s="112"/>
      <c r="R33" s="112"/>
      <c r="S33" s="112"/>
      <c r="T33" s="112"/>
      <c r="U33" s="112"/>
      <c r="V33" s="112"/>
      <c r="W33" s="112"/>
      <c r="X33" s="112"/>
      <c r="Y33" s="112"/>
      <c r="Z33" s="112"/>
      <c r="AA33" s="112"/>
      <c r="AB33" s="112"/>
      <c r="AC33" s="112"/>
      <c r="AD33" s="112"/>
      <c r="AE33" s="112"/>
      <c r="AF33" s="112"/>
    </row>
    <row r="34" spans="1:32" ht="16" customHeight="1" thickTop="1" thickBot="1">
      <c r="A34" s="71" t="s">
        <v>108</v>
      </c>
      <c r="B34" s="25">
        <f ca="1">SUM(B32:B33)</f>
        <v>153560</v>
      </c>
      <c r="C34" s="80">
        <f ca="1">SUM(C32:C33)</f>
        <v>0</v>
      </c>
      <c r="D34" s="114"/>
      <c r="E34" s="114"/>
      <c r="F34" s="114"/>
      <c r="G34" s="114"/>
      <c r="H34" s="114"/>
      <c r="I34" s="72" t="s">
        <v>21</v>
      </c>
      <c r="J34" s="74">
        <f>SUMIFS(ArmyState[Total Time],ArmyState[Type],"Spell")</f>
        <v>105</v>
      </c>
      <c r="K34" s="180">
        <f>J34/1</f>
        <v>105</v>
      </c>
      <c r="L34" s="112"/>
      <c r="M34" s="112"/>
      <c r="N34" s="112"/>
      <c r="O34" s="112"/>
      <c r="P34" s="112"/>
      <c r="Q34" s="112"/>
      <c r="R34" s="112"/>
      <c r="S34" s="112"/>
      <c r="T34" s="112"/>
      <c r="U34" s="112"/>
      <c r="V34" s="112"/>
      <c r="W34" s="112"/>
      <c r="X34" s="112"/>
      <c r="Y34" s="112"/>
      <c r="Z34" s="112"/>
      <c r="AA34" s="112"/>
      <c r="AB34" s="112"/>
      <c r="AC34" s="112"/>
      <c r="AD34" s="112"/>
      <c r="AE34" s="112"/>
      <c r="AF34" s="112"/>
    </row>
    <row r="35" spans="1:32" ht="16" customHeight="1" thickTop="1">
      <c r="A35" s="114"/>
      <c r="B35" s="114"/>
      <c r="C35" s="114"/>
      <c r="D35" s="114"/>
      <c r="E35" s="114"/>
      <c r="F35" s="114"/>
      <c r="G35" s="114"/>
      <c r="H35" s="114"/>
      <c r="I35" s="114"/>
      <c r="J35" s="114"/>
      <c r="K35" s="114"/>
      <c r="L35" s="114"/>
      <c r="M35" s="114"/>
      <c r="N35" s="114"/>
      <c r="O35" s="114"/>
      <c r="P35" s="114"/>
      <c r="Q35" s="114"/>
      <c r="R35" s="114"/>
      <c r="S35" s="114"/>
      <c r="T35" s="114"/>
      <c r="U35" s="114"/>
      <c r="V35" s="114"/>
      <c r="W35" s="114"/>
      <c r="X35" s="114"/>
      <c r="Y35" s="114"/>
      <c r="Z35" s="114"/>
      <c r="AA35" s="114"/>
      <c r="AB35" s="114"/>
      <c r="AC35" s="114"/>
      <c r="AD35" s="114"/>
      <c r="AE35" s="114"/>
      <c r="AF35" s="114"/>
    </row>
  </sheetData>
  <sheetProtection sort="0" autoFilter="0" pivotTables="0"/>
  <mergeCells count="19">
    <mergeCell ref="A30:C30"/>
    <mergeCell ref="I30:K30"/>
    <mergeCell ref="N6:O6"/>
    <mergeCell ref="R6:U6"/>
    <mergeCell ref="E30:G30"/>
    <mergeCell ref="P6:Q6"/>
    <mergeCell ref="A3:F6"/>
    <mergeCell ref="A1:F2"/>
    <mergeCell ref="Y22:AC22"/>
    <mergeCell ref="Y1:AE2"/>
    <mergeCell ref="Y6:AE6"/>
    <mergeCell ref="Y4:AA4"/>
    <mergeCell ref="AC4:AE4"/>
    <mergeCell ref="N3:W4"/>
    <mergeCell ref="H1:K2"/>
    <mergeCell ref="I3:K3"/>
    <mergeCell ref="I4:K4"/>
    <mergeCell ref="I6:K6"/>
    <mergeCell ref="I5:K5"/>
  </mergeCells>
  <conditionalFormatting sqref="B32:C34 J32:K34 I9:K28 N29:W32 AA9:AD18 B9:B28 AA25:AC29 F32:G33">
    <cfRule type="cellIs" dxfId="258" priority="97" operator="equal">
      <formula>0</formula>
    </cfRule>
  </conditionalFormatting>
  <conditionalFormatting sqref="A47:A48 A41:B46 A39:A40 A7:K28 N46:S46 A36:AI37 A3 A1 G1:L6 M6:W32 Q41:S42 H35:L35 A38:S38 AF9:AI32 R39:S40 P43:S45 E30 A29:D35 E29:G29 L7:L34 M1:M5 N3:W5 N1:X2 X3:X32 M33:AI35 Y1:AE32 AG1:AH6 AG7:AI8 AF1:AF8 H29:K34 E31:G35 AA38:AI38 AA46:AI48 T39:AA45">
    <cfRule type="containsErrors" dxfId="257" priority="17">
      <formula>ISERROR(A1)</formula>
    </cfRule>
  </conditionalFormatting>
  <conditionalFormatting sqref="G32:G33 AE9:AE18 AC25:AC29">
    <cfRule type="cellIs" dxfId="256" priority="95" operator="greaterThan">
      <formula>0</formula>
    </cfRule>
  </conditionalFormatting>
  <conditionalFormatting sqref="AE9:AE18 AC25:AC29 G32:G33">
    <cfRule type="cellIs" dxfId="255" priority="16" operator="lessThan">
      <formula>0</formula>
    </cfRule>
  </conditionalFormatting>
  <conditionalFormatting sqref="N8:W8">
    <cfRule type="expression" dxfId="254" priority="273">
      <formula>$P$6=N$8</formula>
    </cfRule>
  </conditionalFormatting>
  <conditionalFormatting sqref="N9:W28">
    <cfRule type="expression" dxfId="253" priority="274">
      <formula>$P$6=N$8</formula>
    </cfRule>
  </conditionalFormatting>
  <dataValidations count="3">
    <dataValidation type="whole" operator="greaterThanOrEqual" allowBlank="1" showInputMessage="1" showErrorMessage="1" sqref="B9">
      <formula1>0</formula1>
    </dataValidation>
    <dataValidation type="list" allowBlank="1" showInputMessage="1" showErrorMessage="1" sqref="P6">
      <formula1>UnitSetNames</formula1>
    </dataValidation>
    <dataValidation type="list" allowBlank="1" showInputMessage="1" showErrorMessage="1" sqref="AA7:AD7 AB4 AA23:AB23">
      <formula1>Booleans</formula1>
    </dataValidation>
  </dataValidations>
  <pageMargins left="0.75" right="0.75" top="1" bottom="1" header="0.5" footer="0.5"/>
  <pageSetup orientation="portrait" horizontalDpi="4294967292" verticalDpi="4294967292"/>
  <ignoredErrors>
    <ignoredError sqref="AA9:AA18 AA25:AA29" calculatedColumn="1"/>
  </ignoredErrors>
  <tableParts count="4">
    <tablePart r:id="rId1"/>
    <tablePart r:id="rId2"/>
    <tablePart r:id="rId3"/>
    <tablePart r:id="rId4"/>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F12"/>
  <sheetViews>
    <sheetView workbookViewId="0">
      <selection activeCellId="1" sqref="A1:F12"/>
    </sheetView>
  </sheetViews>
  <sheetFormatPr baseColWidth="10" defaultRowHeight="15" x14ac:dyDescent="0"/>
  <cols>
    <col min="1" max="16384" width="10.83203125" style="11"/>
  </cols>
  <sheetData>
    <row r="1" spans="1:6" ht="16" thickTop="1">
      <c r="A1" s="353" t="s">
        <v>134</v>
      </c>
      <c r="B1" s="354"/>
      <c r="C1" s="354"/>
      <c r="D1" s="354"/>
      <c r="E1" s="354"/>
      <c r="F1" s="355"/>
    </row>
    <row r="2" spans="1:6" ht="16" thickBot="1">
      <c r="A2" s="356"/>
      <c r="B2" s="357"/>
      <c r="C2" s="357"/>
      <c r="D2" s="357"/>
      <c r="E2" s="357"/>
      <c r="F2" s="358"/>
    </row>
    <row r="3" spans="1:6" ht="16" thickTop="1"/>
    <row r="4" spans="1:6">
      <c r="A4" s="359" t="s">
        <v>181</v>
      </c>
      <c r="B4" s="360"/>
      <c r="C4" s="360"/>
      <c r="D4" s="360"/>
      <c r="E4" s="360"/>
      <c r="F4" s="360"/>
    </row>
    <row r="5" spans="1:6">
      <c r="A5" s="360"/>
      <c r="B5" s="360"/>
      <c r="C5" s="360"/>
      <c r="D5" s="360"/>
      <c r="E5" s="360"/>
      <c r="F5" s="360"/>
    </row>
    <row r="6" spans="1:6">
      <c r="A6" s="360"/>
      <c r="B6" s="360"/>
      <c r="C6" s="360"/>
      <c r="D6" s="360"/>
      <c r="E6" s="360"/>
      <c r="F6" s="360"/>
    </row>
    <row r="7" spans="1:6">
      <c r="A7" s="360"/>
      <c r="B7" s="360"/>
      <c r="C7" s="360"/>
      <c r="D7" s="360"/>
      <c r="E7" s="360"/>
      <c r="F7" s="360"/>
    </row>
    <row r="8" spans="1:6">
      <c r="A8" s="360"/>
      <c r="B8" s="360"/>
      <c r="C8" s="360"/>
      <c r="D8" s="360"/>
      <c r="E8" s="360"/>
      <c r="F8" s="360"/>
    </row>
    <row r="9" spans="1:6">
      <c r="A9" s="360"/>
      <c r="B9" s="360"/>
      <c r="C9" s="360"/>
      <c r="D9" s="360"/>
      <c r="E9" s="360"/>
      <c r="F9" s="360"/>
    </row>
    <row r="10" spans="1:6">
      <c r="A10" s="361"/>
      <c r="B10" s="361"/>
      <c r="C10" s="361"/>
      <c r="D10" s="361"/>
      <c r="E10" s="361"/>
      <c r="F10" s="361"/>
    </row>
    <row r="11" spans="1:6">
      <c r="A11" s="361"/>
      <c r="B11" s="361"/>
      <c r="C11" s="361"/>
      <c r="D11" s="361"/>
      <c r="E11" s="361"/>
      <c r="F11" s="361"/>
    </row>
    <row r="12" spans="1:6">
      <c r="A12" s="361"/>
      <c r="B12" s="361"/>
      <c r="C12" s="361"/>
      <c r="D12" s="361"/>
      <c r="E12" s="361"/>
      <c r="F12" s="361"/>
    </row>
  </sheetData>
  <mergeCells count="2">
    <mergeCell ref="A1:F2"/>
    <mergeCell ref="A4:F1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sheetPr>
  <dimension ref="A1:C61"/>
  <sheetViews>
    <sheetView workbookViewId="0">
      <selection activeCell="C21" sqref="C21"/>
    </sheetView>
  </sheetViews>
  <sheetFormatPr baseColWidth="10" defaultRowHeight="15" x14ac:dyDescent="0"/>
  <cols>
    <col min="1" max="1" width="5" style="49" customWidth="1"/>
    <col min="2" max="2" width="10.5" style="49" bestFit="1" customWidth="1"/>
    <col min="3" max="3" width="73.33203125" style="49" customWidth="1"/>
    <col min="4" max="16384" width="10.83203125" style="49"/>
  </cols>
  <sheetData>
    <row r="1" spans="2:3" ht="16" thickBot="1"/>
    <row r="2" spans="2:3" ht="17" thickTop="1" thickBot="1">
      <c r="B2" s="362" t="s">
        <v>114</v>
      </c>
      <c r="C2" s="363"/>
    </row>
    <row r="3" spans="2:3" ht="16" thickTop="1">
      <c r="B3" s="89"/>
      <c r="C3" s="101" t="s">
        <v>115</v>
      </c>
    </row>
    <row r="4" spans="2:3">
      <c r="B4" s="89"/>
      <c r="C4" s="90" t="s">
        <v>123</v>
      </c>
    </row>
    <row r="5" spans="2:3">
      <c r="B5" s="89"/>
      <c r="C5" s="91" t="s">
        <v>135</v>
      </c>
    </row>
    <row r="6" spans="2:3">
      <c r="B6" s="92"/>
      <c r="C6" s="91"/>
    </row>
    <row r="7" spans="2:3">
      <c r="B7" s="92"/>
      <c r="C7" s="93" t="s">
        <v>161</v>
      </c>
    </row>
    <row r="8" spans="2:3">
      <c r="B8" s="92"/>
      <c r="C8" s="91" t="str">
        <f>HYPERLINK("https://github.com/straxhaber")</f>
        <v>https://github.com/straxhaber</v>
      </c>
    </row>
    <row r="9" spans="2:3">
      <c r="B9" s="92"/>
      <c r="C9" s="94"/>
    </row>
    <row r="10" spans="2:3">
      <c r="B10" s="92"/>
      <c r="C10" s="144" t="s">
        <v>222</v>
      </c>
    </row>
    <row r="11" spans="2:3">
      <c r="B11" s="92"/>
      <c r="C11" s="143" t="s">
        <v>225</v>
      </c>
    </row>
    <row r="12" spans="2:3" ht="75">
      <c r="B12" s="92"/>
      <c r="C12" s="96" t="s">
        <v>224</v>
      </c>
    </row>
    <row r="13" spans="2:3" ht="30">
      <c r="B13" s="92"/>
      <c r="C13" s="95" t="s">
        <v>226</v>
      </c>
    </row>
    <row r="14" spans="2:3" ht="30">
      <c r="B14" s="92"/>
      <c r="C14" s="97" t="s">
        <v>163</v>
      </c>
    </row>
    <row r="15" spans="2:3">
      <c r="B15" s="92"/>
      <c r="C15" s="98" t="s">
        <v>223</v>
      </c>
    </row>
    <row r="16" spans="2:3">
      <c r="B16" s="139"/>
      <c r="C16" s="145" t="s">
        <v>164</v>
      </c>
    </row>
    <row r="17" spans="2:3">
      <c r="B17" s="139"/>
      <c r="C17" s="145"/>
    </row>
    <row r="18" spans="2:3" ht="16" thickBot="1">
      <c r="B18" s="146"/>
      <c r="C18" s="147" t="s">
        <v>227</v>
      </c>
    </row>
    <row r="19" spans="2:3" ht="17" thickTop="1" thickBot="1">
      <c r="B19" s="51"/>
      <c r="C19" s="28"/>
    </row>
    <row r="20" spans="2:3" ht="17" thickTop="1" thickBot="1">
      <c r="B20" s="362" t="s">
        <v>162</v>
      </c>
      <c r="C20" s="363"/>
    </row>
    <row r="21" spans="2:3" ht="16" thickTop="1">
      <c r="B21" s="89"/>
      <c r="C21" s="157" t="s">
        <v>176</v>
      </c>
    </row>
    <row r="22" spans="2:3" ht="16" thickBot="1">
      <c r="B22" s="99"/>
      <c r="C22" s="158"/>
    </row>
    <row r="23" spans="2:3" ht="17" thickTop="1" thickBot="1">
      <c r="B23" s="100"/>
    </row>
    <row r="24" spans="2:3" ht="17" thickTop="1" thickBot="1">
      <c r="B24" s="362" t="s">
        <v>118</v>
      </c>
      <c r="C24" s="363"/>
    </row>
    <row r="25" spans="2:3" ht="46" thickTop="1">
      <c r="B25" s="92"/>
      <c r="C25" s="101" t="s">
        <v>117</v>
      </c>
    </row>
    <row r="26" spans="2:3">
      <c r="B26" s="92"/>
      <c r="C26" s="91" t="str">
        <f>HYPERLINK("http://creativecommons.org/licenses/by-sa/3.0/", "Read the license summary")</f>
        <v>Read the license summary</v>
      </c>
    </row>
    <row r="27" spans="2:3">
      <c r="B27" s="92"/>
      <c r="C27" s="91" t="str">
        <f>HYPERLINK("http://creativecommons.org/licenses/by-sa/3.0/legalcode", "Read the full legal code of the license")</f>
        <v>Read the full legal code of the license</v>
      </c>
    </row>
    <row r="28" spans="2:3">
      <c r="B28" s="92"/>
      <c r="C28" s="101"/>
    </row>
    <row r="29" spans="2:3" ht="31" thickBot="1">
      <c r="B29" s="99"/>
      <c r="C29" s="102" t="s">
        <v>130</v>
      </c>
    </row>
    <row r="30" spans="2:3" ht="17" thickTop="1" thickBot="1">
      <c r="B30" s="100"/>
    </row>
    <row r="31" spans="2:3" ht="17" thickTop="1" thickBot="1">
      <c r="B31" s="362" t="s">
        <v>116</v>
      </c>
      <c r="C31" s="363"/>
    </row>
    <row r="32" spans="2:3" ht="16" thickTop="1">
      <c r="B32" s="148"/>
      <c r="C32" s="149" t="s">
        <v>132</v>
      </c>
    </row>
    <row r="33" spans="1:3">
      <c r="B33" s="139"/>
      <c r="C33" s="91" t="s">
        <v>133</v>
      </c>
    </row>
    <row r="34" spans="1:3">
      <c r="B34" s="139"/>
      <c r="C34" s="91"/>
    </row>
    <row r="35" spans="1:3">
      <c r="B35" s="139"/>
      <c r="C35" s="140" t="s">
        <v>228</v>
      </c>
    </row>
    <row r="36" spans="1:3" ht="16" thickBot="1">
      <c r="B36" s="146"/>
      <c r="C36" s="150" t="s">
        <v>229</v>
      </c>
    </row>
    <row r="37" spans="1:3" ht="17" thickTop="1" thickBot="1"/>
    <row r="38" spans="1:3" ht="17" thickTop="1" thickBot="1">
      <c r="B38" s="362" t="s">
        <v>119</v>
      </c>
      <c r="C38" s="363"/>
    </row>
    <row r="39" spans="1:3" ht="16" thickTop="1">
      <c r="B39" s="141" t="s">
        <v>121</v>
      </c>
      <c r="C39" s="142" t="s">
        <v>122</v>
      </c>
    </row>
    <row r="40" spans="1:3">
      <c r="A40" s="100"/>
      <c r="B40" s="103">
        <v>41780</v>
      </c>
      <c r="C40" s="94" t="s">
        <v>120</v>
      </c>
    </row>
    <row r="41" spans="1:3" ht="60">
      <c r="A41" s="100"/>
      <c r="B41" s="103">
        <v>41814</v>
      </c>
      <c r="C41" s="94" t="s">
        <v>131</v>
      </c>
    </row>
    <row r="42" spans="1:3">
      <c r="A42" s="100"/>
      <c r="B42" s="103">
        <v>41815</v>
      </c>
      <c r="C42" s="101" t="s">
        <v>124</v>
      </c>
    </row>
    <row r="43" spans="1:3" ht="30">
      <c r="A43" s="100"/>
      <c r="B43" s="103">
        <v>41816</v>
      </c>
      <c r="C43" s="101" t="s">
        <v>159</v>
      </c>
    </row>
    <row r="44" spans="1:3" ht="60">
      <c r="A44" s="100"/>
      <c r="B44" s="103">
        <v>41824</v>
      </c>
      <c r="C44" s="101" t="s">
        <v>230</v>
      </c>
    </row>
    <row r="45" spans="1:3" ht="60">
      <c r="A45" s="100"/>
      <c r="B45" s="103">
        <v>41830</v>
      </c>
      <c r="C45" s="101" t="s">
        <v>245</v>
      </c>
    </row>
    <row r="46" spans="1:3">
      <c r="A46" s="100"/>
      <c r="B46" s="103">
        <v>41832</v>
      </c>
      <c r="C46" s="101" t="s">
        <v>246</v>
      </c>
    </row>
    <row r="47" spans="1:3" ht="30">
      <c r="A47" s="100"/>
      <c r="B47" s="103">
        <v>41836</v>
      </c>
      <c r="C47" s="101" t="s">
        <v>277</v>
      </c>
    </row>
    <row r="48" spans="1:3">
      <c r="A48" s="100"/>
      <c r="B48" s="103">
        <v>41851</v>
      </c>
      <c r="C48" s="101" t="s">
        <v>280</v>
      </c>
    </row>
    <row r="49" spans="1:3">
      <c r="A49" s="100"/>
      <c r="B49" s="103"/>
      <c r="C49" s="101"/>
    </row>
    <row r="50" spans="1:3" ht="16" thickBot="1">
      <c r="A50" s="100"/>
      <c r="B50" s="104"/>
      <c r="C50" s="102"/>
    </row>
    <row r="51" spans="1:3" ht="17" thickTop="1" thickBot="1">
      <c r="A51" s="100"/>
    </row>
    <row r="52" spans="1:3" ht="17" thickTop="1" thickBot="1">
      <c r="A52" s="100"/>
      <c r="B52" s="362" t="s">
        <v>282</v>
      </c>
      <c r="C52" s="363"/>
    </row>
    <row r="53" spans="1:3" ht="16" thickTop="1">
      <c r="A53" s="100"/>
      <c r="B53" s="141" t="s">
        <v>138</v>
      </c>
      <c r="C53" s="142" t="s">
        <v>122</v>
      </c>
    </row>
    <row r="54" spans="1:3">
      <c r="B54" s="103" t="s">
        <v>140</v>
      </c>
      <c r="C54" s="94" t="s">
        <v>142</v>
      </c>
    </row>
    <row r="55" spans="1:3">
      <c r="B55" s="103" t="s">
        <v>140</v>
      </c>
      <c r="C55" s="101" t="s">
        <v>281</v>
      </c>
    </row>
    <row r="56" spans="1:3">
      <c r="B56" s="103" t="s">
        <v>140</v>
      </c>
      <c r="C56" s="101" t="s">
        <v>158</v>
      </c>
    </row>
    <row r="57" spans="1:3">
      <c r="B57" s="138"/>
      <c r="C57" s="101"/>
    </row>
    <row r="58" spans="1:3">
      <c r="B58" s="139"/>
      <c r="C58" s="140"/>
    </row>
    <row r="59" spans="1:3">
      <c r="B59" s="103"/>
      <c r="C59" s="101"/>
    </row>
    <row r="60" spans="1:3" ht="16" thickBot="1">
      <c r="B60" s="104"/>
      <c r="C60" s="102"/>
    </row>
    <row r="61" spans="1:3" ht="16" thickTop="1"/>
  </sheetData>
  <sheetProtection password="9AF0" sheet="1" objects="1" scenarios="1" selectLockedCells="1"/>
  <mergeCells count="6">
    <mergeCell ref="B2:C2"/>
    <mergeCell ref="B24:C24"/>
    <mergeCell ref="B38:C38"/>
    <mergeCell ref="B31:C31"/>
    <mergeCell ref="B52:C52"/>
    <mergeCell ref="B20:C20"/>
  </mergeCells>
  <phoneticPr fontId="8" type="noConversion"/>
  <hyperlinks>
    <hyperlink ref="C33" r:id="rId1"/>
    <hyperlink ref="C5" r:id="rId2"/>
    <hyperlink ref="C14" r:id="rId3"/>
  </hyperlinks>
  <pageMargins left="0.75" right="0.75" top="1" bottom="1" header="0.5" footer="0.5"/>
  <pageSetup scale="9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AA302"/>
  <sheetViews>
    <sheetView workbookViewId="0">
      <selection activeCell="A53" sqref="A53:AA53"/>
    </sheetView>
  </sheetViews>
  <sheetFormatPr baseColWidth="10" defaultRowHeight="15" x14ac:dyDescent="0"/>
  <cols>
    <col min="1" max="1" width="17.5" style="11" bestFit="1" customWidth="1"/>
    <col min="2" max="2" width="11" style="11" customWidth="1"/>
    <col min="3" max="3" width="11.5" style="11" bestFit="1" customWidth="1"/>
    <col min="4" max="4" width="10.83203125" style="11"/>
    <col min="5" max="15" width="10" style="11" customWidth="1"/>
    <col min="16" max="27" width="10.1640625" style="11" customWidth="1"/>
    <col min="28" max="34" width="10.83203125" style="11"/>
    <col min="35" max="43" width="11" style="11" customWidth="1"/>
    <col min="44" max="16384" width="10.83203125" style="11"/>
  </cols>
  <sheetData>
    <row r="1" spans="1:27" ht="32" thickTop="1" thickBot="1">
      <c r="A1" s="367" t="s">
        <v>151</v>
      </c>
      <c r="B1" s="368"/>
      <c r="C1" s="368"/>
      <c r="D1" s="368"/>
      <c r="E1" s="368"/>
      <c r="F1" s="368"/>
      <c r="G1" s="368"/>
      <c r="H1" s="368"/>
      <c r="I1" s="368"/>
      <c r="J1" s="368"/>
      <c r="K1" s="368"/>
      <c r="L1" s="368"/>
      <c r="M1" s="368"/>
      <c r="N1" s="368"/>
      <c r="O1" s="368"/>
      <c r="P1" s="368"/>
      <c r="Q1" s="368"/>
      <c r="R1" s="368"/>
      <c r="S1" s="368"/>
      <c r="T1" s="368"/>
      <c r="U1" s="368"/>
      <c r="V1" s="368"/>
      <c r="W1" s="368"/>
      <c r="X1" s="368"/>
      <c r="Y1" s="368"/>
      <c r="Z1" s="368"/>
      <c r="AA1" s="369"/>
    </row>
    <row r="2" spans="1:27" ht="16" customHeight="1" thickTop="1">
      <c r="A2" s="11" t="s">
        <v>14</v>
      </c>
      <c r="B2" s="11" t="s">
        <v>70</v>
      </c>
      <c r="C2" s="11" t="s">
        <v>30</v>
      </c>
      <c r="D2" s="62" t="s">
        <v>44</v>
      </c>
      <c r="E2" s="50" t="s">
        <v>45</v>
      </c>
      <c r="F2" s="50" t="s">
        <v>46</v>
      </c>
      <c r="G2" s="50" t="s">
        <v>47</v>
      </c>
      <c r="H2" s="50" t="s">
        <v>48</v>
      </c>
      <c r="I2" s="50" t="s">
        <v>49</v>
      </c>
      <c r="J2" s="50" t="s">
        <v>50</v>
      </c>
      <c r="K2" s="50" t="s">
        <v>51</v>
      </c>
      <c r="L2" s="50" t="s">
        <v>52</v>
      </c>
      <c r="M2" s="50" t="s">
        <v>53</v>
      </c>
      <c r="N2" s="50" t="s">
        <v>54</v>
      </c>
      <c r="O2" s="63" t="s">
        <v>55</v>
      </c>
      <c r="P2" s="11" t="s">
        <v>56</v>
      </c>
      <c r="Q2" s="11" t="s">
        <v>57</v>
      </c>
      <c r="R2" s="11" t="s">
        <v>58</v>
      </c>
      <c r="S2" s="11" t="s">
        <v>59</v>
      </c>
      <c r="T2" s="11" t="s">
        <v>60</v>
      </c>
      <c r="U2" s="11" t="s">
        <v>61</v>
      </c>
      <c r="V2" s="11" t="s">
        <v>62</v>
      </c>
      <c r="W2" s="11" t="s">
        <v>63</v>
      </c>
      <c r="X2" s="11" t="s">
        <v>64</v>
      </c>
      <c r="Y2" s="11" t="s">
        <v>65</v>
      </c>
      <c r="Z2" s="11" t="s">
        <v>66</v>
      </c>
      <c r="AA2" s="11" t="s">
        <v>67</v>
      </c>
    </row>
    <row r="3" spans="1:27">
      <c r="A3" s="11" t="s">
        <v>13</v>
      </c>
      <c r="B3" s="11" t="s">
        <v>14</v>
      </c>
      <c r="C3" s="11" t="s">
        <v>29</v>
      </c>
      <c r="D3" s="64">
        <v>0</v>
      </c>
      <c r="E3" s="65">
        <v>1000</v>
      </c>
      <c r="F3" s="65">
        <v>4000</v>
      </c>
      <c r="G3" s="65">
        <v>25000</v>
      </c>
      <c r="H3" s="65">
        <v>150000</v>
      </c>
      <c r="I3" s="65">
        <v>750000</v>
      </c>
      <c r="J3" s="65">
        <v>1200000</v>
      </c>
      <c r="K3" s="65">
        <v>2000000</v>
      </c>
      <c r="L3" s="65">
        <v>3000000</v>
      </c>
      <c r="M3" s="65">
        <v>4000000</v>
      </c>
      <c r="N3" s="65" t="e">
        <v>#N/A</v>
      </c>
      <c r="O3" s="65" t="e">
        <v>#N/A</v>
      </c>
      <c r="P3" s="66">
        <v>0</v>
      </c>
      <c r="Q3" s="67">
        <v>3.472222222222222E-3</v>
      </c>
      <c r="R3" s="67">
        <v>0.125</v>
      </c>
      <c r="S3" s="67">
        <v>1</v>
      </c>
      <c r="T3" s="67">
        <v>2</v>
      </c>
      <c r="U3" s="67">
        <v>4</v>
      </c>
      <c r="V3" s="67">
        <v>6</v>
      </c>
      <c r="W3" s="67">
        <v>8</v>
      </c>
      <c r="X3" s="67">
        <v>10</v>
      </c>
      <c r="Y3" s="67">
        <v>14</v>
      </c>
      <c r="Z3" s="67" t="e">
        <v>#N/A</v>
      </c>
      <c r="AA3" s="67" t="e">
        <v>#N/A</v>
      </c>
    </row>
    <row r="4" spans="1:27">
      <c r="A4" s="11" t="s">
        <v>20</v>
      </c>
      <c r="B4" s="11" t="s">
        <v>14</v>
      </c>
      <c r="C4" s="11" t="s">
        <v>1</v>
      </c>
      <c r="D4" s="64">
        <v>25000</v>
      </c>
      <c r="E4" s="65">
        <v>50000</v>
      </c>
      <c r="F4" s="65">
        <v>90000</v>
      </c>
      <c r="G4" s="65">
        <v>270000</v>
      </c>
      <c r="H4" s="65">
        <v>500000</v>
      </c>
      <c r="I4" s="65">
        <v>1000000</v>
      </c>
      <c r="J4" s="65">
        <v>2500000</v>
      </c>
      <c r="K4" s="65">
        <v>4000000</v>
      </c>
      <c r="L4" s="65" t="e">
        <v>#N/A</v>
      </c>
      <c r="M4" s="65" t="e">
        <v>#N/A</v>
      </c>
      <c r="N4" s="65" t="e">
        <v>#N/A</v>
      </c>
      <c r="O4" s="65" t="e">
        <v>#N/A</v>
      </c>
      <c r="P4" s="66">
        <v>2.0833333333333332E-2</v>
      </c>
      <c r="Q4" s="67">
        <v>0.20833333333333334</v>
      </c>
      <c r="R4" s="67">
        <v>0.5</v>
      </c>
      <c r="S4" s="67">
        <v>1</v>
      </c>
      <c r="T4" s="67">
        <v>2</v>
      </c>
      <c r="U4" s="67">
        <v>4</v>
      </c>
      <c r="V4" s="67">
        <v>5</v>
      </c>
      <c r="W4" s="67">
        <v>6</v>
      </c>
      <c r="X4" s="67" t="e">
        <v>#N/A</v>
      </c>
      <c r="Y4" s="67" t="e">
        <v>#N/A</v>
      </c>
      <c r="Z4" s="67" t="e">
        <v>#N/A</v>
      </c>
      <c r="AA4" s="67" t="e">
        <v>#N/A</v>
      </c>
    </row>
    <row r="5" spans="1:27">
      <c r="A5" s="11" t="s">
        <v>15</v>
      </c>
      <c r="B5" s="11" t="s">
        <v>14</v>
      </c>
      <c r="C5" s="11" t="s">
        <v>1</v>
      </c>
      <c r="D5" s="64">
        <v>150</v>
      </c>
      <c r="E5" s="65">
        <v>300</v>
      </c>
      <c r="F5" s="65">
        <v>700</v>
      </c>
      <c r="G5" s="65">
        <v>1400</v>
      </c>
      <c r="H5" s="65">
        <v>3000</v>
      </c>
      <c r="I5" s="65">
        <v>7000</v>
      </c>
      <c r="J5" s="65">
        <v>14000</v>
      </c>
      <c r="K5" s="65">
        <v>28000</v>
      </c>
      <c r="L5" s="65">
        <v>56000</v>
      </c>
      <c r="M5" s="65">
        <v>84000</v>
      </c>
      <c r="N5" s="65">
        <v>168000</v>
      </c>
      <c r="O5" s="65" t="e">
        <v>#N/A</v>
      </c>
      <c r="P5" s="66">
        <v>6.9444444444444436E-4</v>
      </c>
      <c r="Q5" s="67">
        <v>3.472222222222222E-3</v>
      </c>
      <c r="R5" s="67">
        <v>1.0416666666666666E-2</v>
      </c>
      <c r="S5" s="67">
        <v>4.1666666666666664E-2</v>
      </c>
      <c r="T5" s="67">
        <v>8.3333333333333329E-2</v>
      </c>
      <c r="U5" s="67">
        <v>0.25</v>
      </c>
      <c r="V5" s="67">
        <v>0.5</v>
      </c>
      <c r="W5" s="67">
        <v>1</v>
      </c>
      <c r="X5" s="67">
        <v>2</v>
      </c>
      <c r="Y5" s="67">
        <v>3</v>
      </c>
      <c r="Z5" s="67">
        <v>4</v>
      </c>
      <c r="AA5" s="67" t="e">
        <v>#N/A</v>
      </c>
    </row>
    <row r="6" spans="1:27">
      <c r="A6" s="11" t="s">
        <v>16</v>
      </c>
      <c r="B6" s="11" t="s">
        <v>14</v>
      </c>
      <c r="C6" s="11" t="s">
        <v>29</v>
      </c>
      <c r="D6" s="64">
        <v>150</v>
      </c>
      <c r="E6" s="65">
        <v>300</v>
      </c>
      <c r="F6" s="65">
        <v>700</v>
      </c>
      <c r="G6" s="65">
        <v>1400</v>
      </c>
      <c r="H6" s="65">
        <v>3000</v>
      </c>
      <c r="I6" s="65">
        <v>7000</v>
      </c>
      <c r="J6" s="65">
        <v>14000</v>
      </c>
      <c r="K6" s="65">
        <v>28000</v>
      </c>
      <c r="L6" s="65">
        <v>56000</v>
      </c>
      <c r="M6" s="65">
        <v>84000</v>
      </c>
      <c r="N6" s="65">
        <v>168000</v>
      </c>
      <c r="O6" s="65" t="e">
        <v>#N/A</v>
      </c>
      <c r="P6" s="66">
        <v>6.9444444444444436E-4</v>
      </c>
      <c r="Q6" s="67">
        <v>3.472222222222222E-3</v>
      </c>
      <c r="R6" s="67">
        <v>1.0416666666666666E-2</v>
      </c>
      <c r="S6" s="67">
        <v>4.1666666666666664E-2</v>
      </c>
      <c r="T6" s="67">
        <v>8.3333333333333329E-2</v>
      </c>
      <c r="U6" s="67">
        <v>0.25</v>
      </c>
      <c r="V6" s="67">
        <v>0.5</v>
      </c>
      <c r="W6" s="67">
        <v>1</v>
      </c>
      <c r="X6" s="67">
        <v>2</v>
      </c>
      <c r="Y6" s="67">
        <v>3</v>
      </c>
      <c r="Z6" s="67">
        <v>4</v>
      </c>
      <c r="AA6" s="67" t="e">
        <v>#N/A</v>
      </c>
    </row>
    <row r="7" spans="1:27">
      <c r="A7" s="11" t="s">
        <v>17</v>
      </c>
      <c r="B7" s="11" t="s">
        <v>14</v>
      </c>
      <c r="C7" s="11" t="s">
        <v>1</v>
      </c>
      <c r="D7" s="64">
        <v>1000000</v>
      </c>
      <c r="E7" s="65">
        <v>1500000</v>
      </c>
      <c r="F7" s="65">
        <v>2000000</v>
      </c>
      <c r="G7" s="65">
        <v>3000000</v>
      </c>
      <c r="H7" s="65">
        <v>4000000</v>
      </c>
      <c r="I7" s="65">
        <v>5000000</v>
      </c>
      <c r="J7" s="65" t="e">
        <v>#N/A</v>
      </c>
      <c r="K7" s="65" t="e">
        <v>#N/A</v>
      </c>
      <c r="L7" s="65" t="e">
        <v>#N/A</v>
      </c>
      <c r="M7" s="65" t="e">
        <v>#N/A</v>
      </c>
      <c r="N7" s="65" t="e">
        <v>#N/A</v>
      </c>
      <c r="O7" s="65" t="e">
        <v>#N/A</v>
      </c>
      <c r="P7" s="66">
        <v>1</v>
      </c>
      <c r="Q7" s="67">
        <v>2</v>
      </c>
      <c r="R7" s="67">
        <v>3</v>
      </c>
      <c r="S7" s="67">
        <v>4</v>
      </c>
      <c r="T7" s="67">
        <v>6</v>
      </c>
      <c r="U7" s="67">
        <v>8</v>
      </c>
      <c r="V7" s="67" t="e">
        <v>#N/A</v>
      </c>
      <c r="W7" s="67" t="e">
        <v>#N/A</v>
      </c>
      <c r="X7" s="67" t="e">
        <v>#N/A</v>
      </c>
      <c r="Y7" s="67" t="e">
        <v>#N/A</v>
      </c>
      <c r="Z7" s="67" t="e">
        <v>#N/A</v>
      </c>
      <c r="AA7" s="67" t="e">
        <v>#N/A</v>
      </c>
    </row>
    <row r="8" spans="1:27">
      <c r="A8" s="11" t="s">
        <v>3</v>
      </c>
      <c r="B8" s="11" t="s">
        <v>14</v>
      </c>
      <c r="C8" s="11" t="s">
        <v>1</v>
      </c>
      <c r="D8" s="64">
        <v>300</v>
      </c>
      <c r="E8" s="65">
        <v>750</v>
      </c>
      <c r="F8" s="65">
        <v>1500</v>
      </c>
      <c r="G8" s="65">
        <v>3000</v>
      </c>
      <c r="H8" s="65">
        <v>6000</v>
      </c>
      <c r="I8" s="65">
        <v>12000</v>
      </c>
      <c r="J8" s="65">
        <v>25000</v>
      </c>
      <c r="K8" s="65">
        <v>50000</v>
      </c>
      <c r="L8" s="65">
        <v>100000</v>
      </c>
      <c r="M8" s="65">
        <v>250000</v>
      </c>
      <c r="N8" s="65">
        <v>500000</v>
      </c>
      <c r="O8" s="65" t="e">
        <v>#N/A</v>
      </c>
      <c r="P8" s="66">
        <v>6.9444444444444436E-4</v>
      </c>
      <c r="Q8" s="67">
        <v>2.0833333333333332E-2</v>
      </c>
      <c r="R8" s="67">
        <v>4.1666666666666664E-2</v>
      </c>
      <c r="S8" s="67">
        <v>8.3333333333333329E-2</v>
      </c>
      <c r="T8" s="67">
        <v>0.125</v>
      </c>
      <c r="U8" s="67">
        <v>0.16666666666666666</v>
      </c>
      <c r="V8" s="67">
        <v>0.25</v>
      </c>
      <c r="W8" s="67">
        <v>0.33333333333333331</v>
      </c>
      <c r="X8" s="67">
        <v>0.5</v>
      </c>
      <c r="Y8" s="67">
        <v>1</v>
      </c>
      <c r="Z8" s="67">
        <v>2</v>
      </c>
      <c r="AA8" s="67" t="e">
        <v>#N/A</v>
      </c>
    </row>
    <row r="9" spans="1:27">
      <c r="A9" s="11" t="s">
        <v>4</v>
      </c>
      <c r="B9" s="11" t="s">
        <v>14</v>
      </c>
      <c r="C9" s="11" t="s">
        <v>29</v>
      </c>
      <c r="D9" s="64">
        <v>300</v>
      </c>
      <c r="E9" s="65">
        <v>750</v>
      </c>
      <c r="F9" s="65">
        <v>1500</v>
      </c>
      <c r="G9" s="65">
        <v>3000</v>
      </c>
      <c r="H9" s="65">
        <v>6000</v>
      </c>
      <c r="I9" s="65">
        <v>12000</v>
      </c>
      <c r="J9" s="65">
        <v>25000</v>
      </c>
      <c r="K9" s="65">
        <v>50000</v>
      </c>
      <c r="L9" s="65">
        <v>100000</v>
      </c>
      <c r="M9" s="65">
        <v>250000</v>
      </c>
      <c r="N9" s="65">
        <v>500000</v>
      </c>
      <c r="O9" s="65" t="e">
        <v>#N/A</v>
      </c>
      <c r="P9" s="66">
        <v>6.9444444444444436E-4</v>
      </c>
      <c r="Q9" s="67">
        <v>2.0833333333333332E-2</v>
      </c>
      <c r="R9" s="67">
        <v>4.1666666666666664E-2</v>
      </c>
      <c r="S9" s="67">
        <v>8.3333333333333329E-2</v>
      </c>
      <c r="T9" s="67">
        <v>0.125</v>
      </c>
      <c r="U9" s="67">
        <v>0.16666666666666666</v>
      </c>
      <c r="V9" s="67">
        <v>0.25</v>
      </c>
      <c r="W9" s="67">
        <v>0.33333333333333331</v>
      </c>
      <c r="X9" s="67">
        <v>0.5</v>
      </c>
      <c r="Y9" s="67">
        <v>1</v>
      </c>
      <c r="Z9" s="67">
        <v>2</v>
      </c>
      <c r="AA9" s="67" t="e">
        <v>#N/A</v>
      </c>
    </row>
    <row r="10" spans="1:27">
      <c r="A10" s="11" t="s">
        <v>18</v>
      </c>
      <c r="B10" s="11" t="s">
        <v>14</v>
      </c>
      <c r="C10" s="11" t="s">
        <v>1</v>
      </c>
      <c r="D10" s="64">
        <v>600000</v>
      </c>
      <c r="E10" s="65">
        <v>1200000</v>
      </c>
      <c r="F10" s="65">
        <v>1800000</v>
      </c>
      <c r="G10" s="65">
        <v>2400000</v>
      </c>
      <c r="H10" s="65">
        <v>3000000</v>
      </c>
      <c r="I10" s="65">
        <v>36000000</v>
      </c>
      <c r="J10" s="65" t="e">
        <v>#N/A</v>
      </c>
      <c r="K10" s="65" t="e">
        <v>#N/A</v>
      </c>
      <c r="L10" s="65" t="e">
        <v>#N/A</v>
      </c>
      <c r="M10" s="65" t="e">
        <v>#N/A</v>
      </c>
      <c r="N10" s="65" t="e">
        <v>#N/A</v>
      </c>
      <c r="O10" s="65" t="e">
        <v>#N/A</v>
      </c>
      <c r="P10" s="66">
        <v>1</v>
      </c>
      <c r="Q10" s="67">
        <v>2</v>
      </c>
      <c r="R10" s="67">
        <v>3</v>
      </c>
      <c r="S10" s="67">
        <v>4</v>
      </c>
      <c r="T10" s="67">
        <v>5</v>
      </c>
      <c r="U10" s="67">
        <v>6</v>
      </c>
      <c r="V10" s="67" t="e">
        <v>#N/A</v>
      </c>
      <c r="W10" s="67" t="e">
        <v>#N/A</v>
      </c>
      <c r="X10" s="67" t="e">
        <v>#N/A</v>
      </c>
      <c r="Y10" s="67" t="e">
        <v>#N/A</v>
      </c>
      <c r="Z10" s="67" t="e">
        <v>#N/A</v>
      </c>
      <c r="AA10" s="67" t="e">
        <v>#N/A</v>
      </c>
    </row>
    <row r="11" spans="1:27">
      <c r="A11" s="11" t="s">
        <v>19</v>
      </c>
      <c r="B11" s="11" t="s">
        <v>14</v>
      </c>
      <c r="C11" s="11" t="s">
        <v>1</v>
      </c>
      <c r="D11" s="64">
        <v>750000</v>
      </c>
      <c r="E11" s="65">
        <v>1250000</v>
      </c>
      <c r="F11" s="65">
        <v>1750000</v>
      </c>
      <c r="G11" s="65">
        <v>2250000</v>
      </c>
      <c r="H11" s="65">
        <v>2750000</v>
      </c>
      <c r="I11" s="65" t="e">
        <v>#N/A</v>
      </c>
      <c r="J11" s="65" t="e">
        <v>#N/A</v>
      </c>
      <c r="K11" s="65" t="e">
        <v>#N/A</v>
      </c>
      <c r="L11" s="65" t="e">
        <v>#N/A</v>
      </c>
      <c r="M11" s="65" t="e">
        <v>#N/A</v>
      </c>
      <c r="N11" s="65" t="e">
        <v>#N/A</v>
      </c>
      <c r="O11" s="65" t="e">
        <v>#N/A</v>
      </c>
      <c r="P11" s="66">
        <v>3</v>
      </c>
      <c r="Q11" s="67">
        <v>5</v>
      </c>
      <c r="R11" s="67">
        <v>6</v>
      </c>
      <c r="S11" s="67">
        <v>7</v>
      </c>
      <c r="T11" s="67">
        <v>8</v>
      </c>
      <c r="U11" s="67" t="e">
        <v>#N/A</v>
      </c>
      <c r="V11" s="67" t="e">
        <v>#N/A</v>
      </c>
      <c r="W11" s="67" t="e">
        <v>#N/A</v>
      </c>
      <c r="X11" s="67" t="e">
        <v>#N/A</v>
      </c>
      <c r="Y11" s="67" t="e">
        <v>#N/A</v>
      </c>
      <c r="Z11" s="67" t="e">
        <v>#N/A</v>
      </c>
      <c r="AA11" s="67" t="e">
        <v>#N/A</v>
      </c>
    </row>
    <row r="12" spans="1:27">
      <c r="A12" s="11" t="s">
        <v>2</v>
      </c>
      <c r="B12" s="11" t="s">
        <v>14</v>
      </c>
      <c r="C12" s="11" t="s">
        <v>1</v>
      </c>
      <c r="D12" s="64">
        <v>200</v>
      </c>
      <c r="E12" s="65">
        <v>1000</v>
      </c>
      <c r="F12" s="65">
        <v>2500</v>
      </c>
      <c r="G12" s="65">
        <v>5000</v>
      </c>
      <c r="H12" s="65">
        <v>10000</v>
      </c>
      <c r="I12" s="65">
        <v>80000</v>
      </c>
      <c r="J12" s="65">
        <v>240000</v>
      </c>
      <c r="K12" s="65">
        <v>700000</v>
      </c>
      <c r="L12" s="65">
        <v>1500000</v>
      </c>
      <c r="M12" s="65">
        <v>2000000</v>
      </c>
      <c r="N12" s="65" t="e">
        <v>#N/A</v>
      </c>
      <c r="O12" s="65" t="e">
        <v>#N/A</v>
      </c>
      <c r="P12" s="66">
        <v>6.9444444444444436E-4</v>
      </c>
      <c r="Q12" s="67">
        <v>1.0416666666666666E-2</v>
      </c>
      <c r="R12" s="67">
        <v>8.3333333333333329E-2</v>
      </c>
      <c r="S12" s="67">
        <v>0.16666666666666666</v>
      </c>
      <c r="T12" s="67">
        <v>0.41666666666666669</v>
      </c>
      <c r="U12" s="67">
        <v>0.66666666666666663</v>
      </c>
      <c r="V12" s="67">
        <v>1</v>
      </c>
      <c r="W12" s="67">
        <v>2</v>
      </c>
      <c r="X12" s="67">
        <v>4</v>
      </c>
      <c r="Y12" s="67">
        <v>6</v>
      </c>
      <c r="Z12" s="67" t="e">
        <v>#N/A</v>
      </c>
      <c r="AA12" s="67" t="e">
        <v>#N/A</v>
      </c>
    </row>
    <row r="13" spans="1:27">
      <c r="A13" s="11" t="s">
        <v>244</v>
      </c>
      <c r="B13" s="11" t="s">
        <v>14</v>
      </c>
      <c r="C13" s="11" t="s">
        <v>1</v>
      </c>
      <c r="D13" s="64">
        <v>250</v>
      </c>
      <c r="E13" s="65">
        <v>2500</v>
      </c>
      <c r="F13" s="65">
        <v>10000</v>
      </c>
      <c r="G13" s="65">
        <v>100000</v>
      </c>
      <c r="H13" s="65">
        <v>250000</v>
      </c>
      <c r="I13" s="65">
        <v>750000</v>
      </c>
      <c r="J13" s="65">
        <v>2250000</v>
      </c>
      <c r="K13" s="65">
        <v>6750000</v>
      </c>
      <c r="L13" s="65" t="e">
        <v>#N/A</v>
      </c>
      <c r="M13" s="65" t="e">
        <v>#N/A</v>
      </c>
      <c r="N13" s="65" t="e">
        <v>#N/A</v>
      </c>
      <c r="O13" s="65" t="e">
        <v>#N/A</v>
      </c>
      <c r="P13" s="66">
        <v>3.472222222222222E-3</v>
      </c>
      <c r="Q13" s="67">
        <v>4.1666666666666664E-2</v>
      </c>
      <c r="R13" s="67">
        <v>0.125</v>
      </c>
      <c r="S13" s="67">
        <v>0.33333333333333331</v>
      </c>
      <c r="T13" s="67">
        <v>1</v>
      </c>
      <c r="U13" s="67">
        <v>3</v>
      </c>
      <c r="V13" s="67">
        <v>5</v>
      </c>
      <c r="W13" s="67">
        <v>10</v>
      </c>
      <c r="X13" s="67" t="e">
        <v>#N/A</v>
      </c>
      <c r="Y13" s="67" t="e">
        <v>#N/A</v>
      </c>
      <c r="Z13" s="67" t="e">
        <v>#N/A</v>
      </c>
      <c r="AA13" s="67" t="e">
        <v>#N/A</v>
      </c>
    </row>
    <row r="14" spans="1:27">
      <c r="A14" s="11" t="s">
        <v>21</v>
      </c>
      <c r="B14" s="11" t="s">
        <v>14</v>
      </c>
      <c r="C14" s="11" t="s">
        <v>1</v>
      </c>
      <c r="D14" s="64">
        <v>200000</v>
      </c>
      <c r="E14" s="65">
        <v>400000</v>
      </c>
      <c r="F14" s="65">
        <v>800000</v>
      </c>
      <c r="G14" s="65">
        <v>1600000</v>
      </c>
      <c r="H14" s="65">
        <v>3200000</v>
      </c>
      <c r="I14" s="65" t="e">
        <v>#N/A</v>
      </c>
      <c r="J14" s="65" t="e">
        <v>#N/A</v>
      </c>
      <c r="K14" s="65" t="e">
        <v>#N/A</v>
      </c>
      <c r="L14" s="65" t="e">
        <v>#N/A</v>
      </c>
      <c r="M14" s="65" t="e">
        <v>#N/A</v>
      </c>
      <c r="N14" s="65" t="e">
        <v>#N/A</v>
      </c>
      <c r="O14" s="65" t="e">
        <v>#N/A</v>
      </c>
      <c r="P14" s="66">
        <v>1</v>
      </c>
      <c r="Q14" s="67">
        <v>2</v>
      </c>
      <c r="R14" s="67">
        <v>4</v>
      </c>
      <c r="S14" s="67">
        <v>5</v>
      </c>
      <c r="T14" s="67">
        <v>6</v>
      </c>
      <c r="U14" s="67" t="e">
        <v>#N/A</v>
      </c>
      <c r="V14" s="67" t="e">
        <v>#N/A</v>
      </c>
      <c r="W14" s="67" t="e">
        <v>#N/A</v>
      </c>
      <c r="X14" s="67" t="e">
        <v>#N/A</v>
      </c>
      <c r="Y14" s="67" t="e">
        <v>#N/A</v>
      </c>
      <c r="Z14" s="67" t="e">
        <v>#N/A</v>
      </c>
      <c r="AA14" s="67" t="e">
        <v>#N/A</v>
      </c>
    </row>
    <row r="15" spans="1:27">
      <c r="A15" s="11" t="s">
        <v>5</v>
      </c>
      <c r="B15" s="11" t="s">
        <v>14</v>
      </c>
      <c r="C15" s="11" t="s">
        <v>29</v>
      </c>
      <c r="D15" s="64">
        <v>40000</v>
      </c>
      <c r="E15" s="65">
        <v>100000</v>
      </c>
      <c r="F15" s="65">
        <v>800000</v>
      </c>
      <c r="G15" s="65">
        <v>1800000</v>
      </c>
      <c r="H15" s="65">
        <v>5000000</v>
      </c>
      <c r="I15" s="65">
        <v>7000000</v>
      </c>
      <c r="J15" s="65" t="e">
        <v>#N/A</v>
      </c>
      <c r="K15" s="65" t="e">
        <v>#N/A</v>
      </c>
      <c r="L15" s="65" t="e">
        <v>#N/A</v>
      </c>
      <c r="M15" s="65" t="e">
        <v>#N/A</v>
      </c>
      <c r="N15" s="65" t="e">
        <v>#N/A</v>
      </c>
      <c r="O15" s="65" t="e">
        <v>#N/A</v>
      </c>
      <c r="P15" s="66">
        <v>0</v>
      </c>
      <c r="Q15" s="67">
        <v>0.25</v>
      </c>
      <c r="R15" s="67">
        <v>1</v>
      </c>
      <c r="S15" s="67">
        <v>2</v>
      </c>
      <c r="T15" s="67">
        <v>7</v>
      </c>
      <c r="U15" s="67">
        <v>14</v>
      </c>
      <c r="V15" s="67" t="e">
        <v>#N/A</v>
      </c>
      <c r="W15" s="67" t="e">
        <v>#N/A</v>
      </c>
      <c r="X15" s="67" t="e">
        <v>#N/A</v>
      </c>
      <c r="Y15" s="67" t="e">
        <v>#N/A</v>
      </c>
      <c r="Z15" s="67" t="e">
        <v>#N/A</v>
      </c>
      <c r="AA15" s="67" t="e">
        <v>#N/A</v>
      </c>
    </row>
    <row r="16" spans="1:27">
      <c r="A16" s="11" t="s">
        <v>6</v>
      </c>
      <c r="B16" s="11" t="s">
        <v>14</v>
      </c>
      <c r="C16" s="11" t="s">
        <v>29</v>
      </c>
      <c r="D16" s="64">
        <v>250</v>
      </c>
      <c r="E16" s="65">
        <v>1000</v>
      </c>
      <c r="F16" s="65">
        <v>4000</v>
      </c>
      <c r="G16" s="65">
        <v>16000</v>
      </c>
      <c r="H16" s="65">
        <v>50000</v>
      </c>
      <c r="I16" s="65">
        <v>100000</v>
      </c>
      <c r="J16" s="65">
        <v>200000</v>
      </c>
      <c r="K16" s="65">
        <v>400000</v>
      </c>
      <c r="L16" s="65">
        <v>800000</v>
      </c>
      <c r="M16" s="65">
        <v>1600000</v>
      </c>
      <c r="N16" s="65">
        <v>3200000</v>
      </c>
      <c r="O16" s="65">
        <v>6400000</v>
      </c>
      <c r="P16" s="66">
        <v>6.9444444444444436E-4</v>
      </c>
      <c r="Q16" s="67">
        <v>1.0416666666666666E-2</v>
      </c>
      <c r="R16" s="67">
        <v>3.125E-2</v>
      </c>
      <c r="S16" s="67">
        <v>8.3333333333333329E-2</v>
      </c>
      <c r="T16" s="67">
        <v>0.25</v>
      </c>
      <c r="U16" s="67">
        <v>0.5</v>
      </c>
      <c r="V16" s="67">
        <v>1</v>
      </c>
      <c r="W16" s="67">
        <v>2</v>
      </c>
      <c r="X16" s="67">
        <v>3</v>
      </c>
      <c r="Y16" s="67">
        <v>4</v>
      </c>
      <c r="Z16" s="67">
        <v>5</v>
      </c>
      <c r="AA16" s="67">
        <v>6</v>
      </c>
    </row>
    <row r="17" spans="1:27">
      <c r="A17" s="11" t="s">
        <v>22</v>
      </c>
      <c r="B17" s="11" t="s">
        <v>14</v>
      </c>
      <c r="C17" s="11" t="s">
        <v>29</v>
      </c>
      <c r="D17" s="64">
        <v>1000</v>
      </c>
      <c r="E17" s="65">
        <v>2000</v>
      </c>
      <c r="F17" s="65">
        <v>5000</v>
      </c>
      <c r="G17" s="65">
        <v>20000</v>
      </c>
      <c r="H17" s="65">
        <v>80000</v>
      </c>
      <c r="I17" s="65">
        <v>180000</v>
      </c>
      <c r="J17" s="65">
        <v>360000</v>
      </c>
      <c r="K17" s="65">
        <v>720000</v>
      </c>
      <c r="L17" s="65">
        <v>1500000</v>
      </c>
      <c r="M17" s="65">
        <v>2500000</v>
      </c>
      <c r="N17" s="65">
        <v>5000000</v>
      </c>
      <c r="O17" s="65">
        <v>7500000</v>
      </c>
      <c r="P17" s="66">
        <v>1.0416666666666666E-2</v>
      </c>
      <c r="Q17" s="67">
        <v>2.0833333333333332E-2</v>
      </c>
      <c r="R17" s="67">
        <v>3.125E-2</v>
      </c>
      <c r="S17" s="67">
        <v>0.16666666666666666</v>
      </c>
      <c r="T17" s="67">
        <v>0.5</v>
      </c>
      <c r="U17" s="67">
        <v>1</v>
      </c>
      <c r="V17" s="67">
        <v>2</v>
      </c>
      <c r="W17" s="67">
        <v>3</v>
      </c>
      <c r="X17" s="67">
        <v>4</v>
      </c>
      <c r="Y17" s="67">
        <v>5</v>
      </c>
      <c r="Z17" s="67">
        <v>6</v>
      </c>
      <c r="AA17" s="67">
        <v>7</v>
      </c>
    </row>
    <row r="18" spans="1:27" ht="16" customHeight="1">
      <c r="A18" s="11" t="s">
        <v>23</v>
      </c>
      <c r="B18" s="11" t="s">
        <v>23</v>
      </c>
      <c r="C18" s="11" t="s">
        <v>29</v>
      </c>
      <c r="D18" s="64">
        <v>200</v>
      </c>
      <c r="E18" s="65">
        <v>1000</v>
      </c>
      <c r="F18" s="65">
        <v>5000</v>
      </c>
      <c r="G18" s="65">
        <v>10000</v>
      </c>
      <c r="H18" s="65">
        <v>30000</v>
      </c>
      <c r="I18" s="65">
        <v>75000</v>
      </c>
      <c r="J18" s="65">
        <v>200000</v>
      </c>
      <c r="K18" s="65">
        <v>500000</v>
      </c>
      <c r="L18" s="65">
        <v>1000000</v>
      </c>
      <c r="M18" s="65">
        <v>3000000</v>
      </c>
      <c r="N18" s="65">
        <v>4000000</v>
      </c>
      <c r="O18" s="65" t="e">
        <v>#N/A</v>
      </c>
      <c r="P18" s="66">
        <v>0</v>
      </c>
      <c r="Q18" s="67">
        <v>0</v>
      </c>
      <c r="R18" s="67">
        <v>0</v>
      </c>
      <c r="S18" s="67">
        <v>0</v>
      </c>
      <c r="T18" s="67">
        <v>0</v>
      </c>
      <c r="U18" s="67">
        <v>0</v>
      </c>
      <c r="V18" s="67">
        <v>0</v>
      </c>
      <c r="W18" s="67">
        <v>0</v>
      </c>
      <c r="X18" s="67">
        <v>0</v>
      </c>
      <c r="Y18" s="67">
        <v>0</v>
      </c>
      <c r="Z18" s="67">
        <v>0</v>
      </c>
      <c r="AA18" s="67" t="e">
        <v>#N/A</v>
      </c>
    </row>
    <row r="19" spans="1:27" ht="16" customHeight="1">
      <c r="A19" s="11" t="s">
        <v>7</v>
      </c>
      <c r="B19" s="11" t="s">
        <v>14</v>
      </c>
      <c r="C19" s="11" t="s">
        <v>29</v>
      </c>
      <c r="D19" s="64">
        <v>8000</v>
      </c>
      <c r="E19" s="65">
        <v>32000</v>
      </c>
      <c r="F19" s="65">
        <v>120000</v>
      </c>
      <c r="G19" s="65">
        <v>400000</v>
      </c>
      <c r="H19" s="65">
        <v>800000</v>
      </c>
      <c r="I19" s="65">
        <v>1600000</v>
      </c>
      <c r="J19" s="65">
        <v>3200000</v>
      </c>
      <c r="K19" s="65">
        <v>6400000</v>
      </c>
      <c r="L19" s="65" t="e">
        <v>#N/A</v>
      </c>
      <c r="M19" s="65" t="e">
        <v>#N/A</v>
      </c>
      <c r="N19" s="65" t="e">
        <v>#N/A</v>
      </c>
      <c r="O19" s="65" t="e">
        <v>#N/A</v>
      </c>
      <c r="P19" s="66">
        <v>0.33333333333333331</v>
      </c>
      <c r="Q19" s="67">
        <v>0.5</v>
      </c>
      <c r="R19" s="67">
        <v>1</v>
      </c>
      <c r="S19" s="67">
        <v>2</v>
      </c>
      <c r="T19" s="67">
        <v>4</v>
      </c>
      <c r="U19" s="67">
        <v>5</v>
      </c>
      <c r="V19" s="67">
        <v>7</v>
      </c>
      <c r="W19" s="67">
        <v>10</v>
      </c>
      <c r="X19" s="67" t="e">
        <v>#N/A</v>
      </c>
      <c r="Y19" s="67" t="e">
        <v>#N/A</v>
      </c>
      <c r="Z19" s="67" t="e">
        <v>#N/A</v>
      </c>
      <c r="AA19" s="67" t="e">
        <v>#N/A</v>
      </c>
    </row>
    <row r="20" spans="1:27">
      <c r="A20" s="11" t="s">
        <v>8</v>
      </c>
      <c r="B20" s="11" t="s">
        <v>14</v>
      </c>
      <c r="C20" s="11" t="s">
        <v>29</v>
      </c>
      <c r="D20" s="64">
        <v>400</v>
      </c>
      <c r="E20" s="65">
        <v>1000</v>
      </c>
      <c r="F20" s="65">
        <v>10000</v>
      </c>
      <c r="G20" s="65">
        <v>100000</v>
      </c>
      <c r="H20" s="65">
        <v>1000000</v>
      </c>
      <c r="I20" s="65">
        <v>1500000</v>
      </c>
      <c r="J20" s="65" t="e">
        <v>#N/A</v>
      </c>
      <c r="K20" s="65" t="e">
        <v>#N/A</v>
      </c>
      <c r="L20" s="65" t="e">
        <v>#N/A</v>
      </c>
      <c r="M20" s="65" t="e">
        <v>#N/A</v>
      </c>
      <c r="N20" s="65" t="e">
        <v>#N/A</v>
      </c>
      <c r="O20" s="65" t="e">
        <v>#N/A</v>
      </c>
      <c r="P20" s="66">
        <v>0</v>
      </c>
      <c r="Q20" s="67">
        <v>1.0416666666666666E-2</v>
      </c>
      <c r="R20" s="67">
        <v>8.3333333333333329E-2</v>
      </c>
      <c r="S20" s="67">
        <v>0.33333333333333331</v>
      </c>
      <c r="T20" s="67">
        <v>1</v>
      </c>
      <c r="U20" s="67">
        <v>2</v>
      </c>
      <c r="V20" s="67" t="e">
        <v>#N/A</v>
      </c>
      <c r="W20" s="67" t="e">
        <v>#N/A</v>
      </c>
      <c r="X20" s="67" t="e">
        <v>#N/A</v>
      </c>
      <c r="Y20" s="67" t="e">
        <v>#N/A</v>
      </c>
      <c r="Z20" s="67" t="e">
        <v>#N/A</v>
      </c>
      <c r="AA20" s="67" t="e">
        <v>#N/A</v>
      </c>
    </row>
    <row r="21" spans="1:27">
      <c r="A21" s="11" t="s">
        <v>24</v>
      </c>
      <c r="B21" s="11" t="s">
        <v>14</v>
      </c>
      <c r="C21" s="11" t="s">
        <v>29</v>
      </c>
      <c r="D21" s="64">
        <v>22500</v>
      </c>
      <c r="E21" s="65">
        <v>90000</v>
      </c>
      <c r="F21" s="65">
        <v>270000</v>
      </c>
      <c r="G21" s="65">
        <v>540000</v>
      </c>
      <c r="H21" s="65">
        <v>1080000</v>
      </c>
      <c r="I21" s="65">
        <v>2160000</v>
      </c>
      <c r="J21" s="65">
        <v>4320000</v>
      </c>
      <c r="K21" s="65">
        <v>7560000</v>
      </c>
      <c r="L21" s="65" t="e">
        <v>#N/A</v>
      </c>
      <c r="M21" s="65" t="e">
        <v>#N/A</v>
      </c>
      <c r="N21" s="65" t="e">
        <v>#N/A</v>
      </c>
      <c r="O21" s="65" t="e">
        <v>#N/A</v>
      </c>
      <c r="P21" s="66">
        <v>0.20833333333333334</v>
      </c>
      <c r="Q21" s="67">
        <v>1</v>
      </c>
      <c r="R21" s="67">
        <v>3</v>
      </c>
      <c r="S21" s="67">
        <v>5</v>
      </c>
      <c r="T21" s="67">
        <v>6</v>
      </c>
      <c r="U21" s="67">
        <v>8</v>
      </c>
      <c r="V21" s="67">
        <v>10</v>
      </c>
      <c r="W21" s="67">
        <v>12</v>
      </c>
      <c r="X21" s="67" t="e">
        <v>#N/A</v>
      </c>
      <c r="Y21" s="67" t="e">
        <v>#N/A</v>
      </c>
      <c r="Z21" s="67" t="e">
        <v>#N/A</v>
      </c>
      <c r="AA21" s="67" t="e">
        <v>#N/A</v>
      </c>
    </row>
    <row r="22" spans="1:27">
      <c r="A22" s="11" t="s">
        <v>25</v>
      </c>
      <c r="B22" s="11" t="s">
        <v>14</v>
      </c>
      <c r="C22" s="11" t="s">
        <v>29</v>
      </c>
      <c r="D22" s="64">
        <v>2000</v>
      </c>
      <c r="E22" s="65" t="e">
        <v>#N/A</v>
      </c>
      <c r="F22" s="65" t="e">
        <v>#N/A</v>
      </c>
      <c r="G22" s="65" t="e">
        <v>#N/A</v>
      </c>
      <c r="H22" s="65" t="e">
        <v>#N/A</v>
      </c>
      <c r="I22" s="65" t="e">
        <v>#N/A</v>
      </c>
      <c r="J22" s="65" t="e">
        <v>#N/A</v>
      </c>
      <c r="K22" s="65" t="e">
        <v>#N/A</v>
      </c>
      <c r="L22" s="65" t="e">
        <v>#N/A</v>
      </c>
      <c r="M22" s="65" t="e">
        <v>#N/A</v>
      </c>
      <c r="N22" s="65" t="e">
        <v>#N/A</v>
      </c>
      <c r="O22" s="65" t="e">
        <v>#N/A</v>
      </c>
      <c r="P22" s="66">
        <v>0</v>
      </c>
      <c r="Q22" s="67" t="e">
        <v>#N/A</v>
      </c>
      <c r="R22" s="67" t="e">
        <v>#N/A</v>
      </c>
      <c r="S22" s="67" t="e">
        <v>#N/A</v>
      </c>
      <c r="T22" s="67" t="e">
        <v>#N/A</v>
      </c>
      <c r="U22" s="67" t="e">
        <v>#N/A</v>
      </c>
      <c r="V22" s="67" t="e">
        <v>#N/A</v>
      </c>
      <c r="W22" s="67" t="e">
        <v>#N/A</v>
      </c>
      <c r="X22" s="67" t="e">
        <v>#N/A</v>
      </c>
      <c r="Y22" s="67" t="e">
        <v>#N/A</v>
      </c>
      <c r="Z22" s="67" t="e">
        <v>#N/A</v>
      </c>
      <c r="AA22" s="67" t="e">
        <v>#N/A</v>
      </c>
    </row>
    <row r="23" spans="1:27">
      <c r="A23" s="11" t="s">
        <v>26</v>
      </c>
      <c r="B23" s="11" t="s">
        <v>14</v>
      </c>
      <c r="C23" s="11" t="s">
        <v>29</v>
      </c>
      <c r="D23" s="64">
        <v>180000</v>
      </c>
      <c r="E23" s="65">
        <v>360000</v>
      </c>
      <c r="F23" s="65">
        <v>720000</v>
      </c>
      <c r="G23" s="65">
        <v>1280000</v>
      </c>
      <c r="H23" s="65">
        <v>1960000</v>
      </c>
      <c r="I23" s="65">
        <v>2680000</v>
      </c>
      <c r="J23" s="65">
        <v>5360000</v>
      </c>
      <c r="K23" s="65">
        <v>6480000</v>
      </c>
      <c r="L23" s="65" t="e">
        <v>#N/A</v>
      </c>
      <c r="M23" s="65" t="e">
        <v>#N/A</v>
      </c>
      <c r="N23" s="65" t="e">
        <v>#N/A</v>
      </c>
      <c r="O23" s="65" t="e">
        <v>#N/A</v>
      </c>
      <c r="P23" s="66">
        <v>0.5</v>
      </c>
      <c r="Q23" s="67">
        <v>1</v>
      </c>
      <c r="R23" s="67">
        <v>2</v>
      </c>
      <c r="S23" s="67">
        <v>3</v>
      </c>
      <c r="T23" s="67">
        <v>4</v>
      </c>
      <c r="U23" s="67">
        <v>5</v>
      </c>
      <c r="V23" s="67">
        <v>7</v>
      </c>
      <c r="W23" s="67">
        <v>10</v>
      </c>
      <c r="X23" s="67" t="e">
        <v>#N/A</v>
      </c>
      <c r="Y23" s="67" t="e">
        <v>#N/A</v>
      </c>
      <c r="Z23" s="67" t="e">
        <v>#N/A</v>
      </c>
      <c r="AA23" s="67" t="e">
        <v>#N/A</v>
      </c>
    </row>
    <row r="24" spans="1:27">
      <c r="A24" s="11" t="s">
        <v>9</v>
      </c>
      <c r="B24" s="11" t="s">
        <v>14</v>
      </c>
      <c r="C24" s="11" t="s">
        <v>29</v>
      </c>
      <c r="D24" s="64">
        <v>12500</v>
      </c>
      <c r="E24" s="65">
        <v>75000</v>
      </c>
      <c r="F24" s="65">
        <v>750000</v>
      </c>
      <c r="G24" s="65">
        <v>2500000</v>
      </c>
      <c r="H24" s="65" t="e">
        <v>#N/A</v>
      </c>
      <c r="I24" s="65" t="e">
        <v>#N/A</v>
      </c>
      <c r="J24" s="65" t="e">
        <v>#N/A</v>
      </c>
      <c r="K24" s="65" t="e">
        <v>#N/A</v>
      </c>
      <c r="L24" s="65" t="e">
        <v>#N/A</v>
      </c>
      <c r="M24" s="65" t="e">
        <v>#N/A</v>
      </c>
      <c r="N24" s="65" t="e">
        <v>#N/A</v>
      </c>
      <c r="O24" s="65" t="e">
        <v>#N/A</v>
      </c>
      <c r="P24" s="66">
        <v>0</v>
      </c>
      <c r="Q24" s="67">
        <v>0.25</v>
      </c>
      <c r="R24" s="67">
        <v>1</v>
      </c>
      <c r="S24" s="67">
        <v>3</v>
      </c>
      <c r="T24" s="67" t="e">
        <v>#N/A</v>
      </c>
      <c r="U24" s="67" t="e">
        <v>#N/A</v>
      </c>
      <c r="V24" s="67" t="e">
        <v>#N/A</v>
      </c>
      <c r="W24" s="67" t="e">
        <v>#N/A</v>
      </c>
      <c r="X24" s="67" t="e">
        <v>#N/A</v>
      </c>
      <c r="Y24" s="67" t="e">
        <v>#N/A</v>
      </c>
      <c r="Z24" s="67" t="e">
        <v>#N/A</v>
      </c>
      <c r="AA24" s="67" t="e">
        <v>#N/A</v>
      </c>
    </row>
    <row r="25" spans="1:27">
      <c r="A25" s="11" t="s">
        <v>10</v>
      </c>
      <c r="B25" s="11" t="s">
        <v>14</v>
      </c>
      <c r="C25" s="11" t="s">
        <v>29</v>
      </c>
      <c r="D25" s="64">
        <v>4000</v>
      </c>
      <c r="E25" s="65">
        <v>20000</v>
      </c>
      <c r="F25" s="65">
        <v>200000</v>
      </c>
      <c r="G25" s="65">
        <v>1500000</v>
      </c>
      <c r="H25" s="65" t="e">
        <v>#N/A</v>
      </c>
      <c r="I25" s="65" t="e">
        <v>#N/A</v>
      </c>
      <c r="J25" s="65" t="e">
        <v>#N/A</v>
      </c>
      <c r="K25" s="65" t="e">
        <v>#N/A</v>
      </c>
      <c r="L25" s="65" t="e">
        <v>#N/A</v>
      </c>
      <c r="M25" s="65" t="e">
        <v>#N/A</v>
      </c>
      <c r="N25" s="65" t="e">
        <v>#N/A</v>
      </c>
      <c r="O25" s="65" t="e">
        <v>#N/A</v>
      </c>
      <c r="P25" s="66">
        <v>0</v>
      </c>
      <c r="Q25" s="67">
        <v>0.16666666666666666</v>
      </c>
      <c r="R25" s="67">
        <v>0.5</v>
      </c>
      <c r="S25" s="67">
        <v>1</v>
      </c>
      <c r="T25" s="67" t="e">
        <v>#N/A</v>
      </c>
      <c r="U25" s="67" t="e">
        <v>#N/A</v>
      </c>
      <c r="V25" s="67" t="e">
        <v>#N/A</v>
      </c>
      <c r="W25" s="67" t="e">
        <v>#N/A</v>
      </c>
      <c r="X25" s="67" t="e">
        <v>#N/A</v>
      </c>
      <c r="Y25" s="67" t="e">
        <v>#N/A</v>
      </c>
      <c r="Z25" s="67" t="e">
        <v>#N/A</v>
      </c>
      <c r="AA25" s="67" t="e">
        <v>#N/A</v>
      </c>
    </row>
    <row r="26" spans="1:27">
      <c r="A26" s="11" t="s">
        <v>27</v>
      </c>
      <c r="B26" s="11" t="s">
        <v>14</v>
      </c>
      <c r="C26" s="11" t="s">
        <v>29</v>
      </c>
      <c r="D26" s="64">
        <v>15000</v>
      </c>
      <c r="E26" s="65">
        <v>2000000</v>
      </c>
      <c r="F26" s="65">
        <v>4000000</v>
      </c>
      <c r="G26" s="65" t="e">
        <v>#N/A</v>
      </c>
      <c r="H26" s="65" t="e">
        <v>#N/A</v>
      </c>
      <c r="I26" s="65" t="e">
        <v>#N/A</v>
      </c>
      <c r="J26" s="65" t="e">
        <v>#N/A</v>
      </c>
      <c r="K26" s="65" t="e">
        <v>#N/A</v>
      </c>
      <c r="L26" s="65" t="e">
        <v>#N/A</v>
      </c>
      <c r="M26" s="65" t="e">
        <v>#N/A</v>
      </c>
      <c r="N26" s="65" t="e">
        <v>#N/A</v>
      </c>
      <c r="O26" s="65" t="e">
        <v>#N/A</v>
      </c>
      <c r="P26" s="66">
        <v>0</v>
      </c>
      <c r="Q26" s="67">
        <v>1</v>
      </c>
      <c r="R26" s="67">
        <v>3</v>
      </c>
      <c r="S26" s="67" t="e">
        <v>#N/A</v>
      </c>
      <c r="T26" s="67" t="e">
        <v>#N/A</v>
      </c>
      <c r="U26" s="67" t="e">
        <v>#N/A</v>
      </c>
      <c r="V26" s="67" t="e">
        <v>#N/A</v>
      </c>
      <c r="W26" s="67" t="e">
        <v>#N/A</v>
      </c>
      <c r="X26" s="67" t="e">
        <v>#N/A</v>
      </c>
      <c r="Y26" s="67" t="e">
        <v>#N/A</v>
      </c>
      <c r="Z26" s="67" t="e">
        <v>#N/A</v>
      </c>
      <c r="AA26" s="67" t="e">
        <v>#N/A</v>
      </c>
    </row>
    <row r="27" spans="1:27">
      <c r="A27" s="11" t="s">
        <v>11</v>
      </c>
      <c r="B27" s="11" t="s">
        <v>14</v>
      </c>
      <c r="C27" s="11" t="s">
        <v>29</v>
      </c>
      <c r="D27" s="64">
        <v>1000000</v>
      </c>
      <c r="E27" s="65">
        <v>1250000</v>
      </c>
      <c r="F27" s="65">
        <v>1500000</v>
      </c>
      <c r="G27" s="65">
        <v>2000000</v>
      </c>
      <c r="H27" s="65">
        <v>2500000</v>
      </c>
      <c r="I27" s="65">
        <v>3000000</v>
      </c>
      <c r="J27" s="65">
        <v>3500000</v>
      </c>
      <c r="K27" s="65">
        <v>5000000</v>
      </c>
      <c r="L27" s="65" t="e">
        <v>#N/A</v>
      </c>
      <c r="M27" s="65" t="e">
        <v>#N/A</v>
      </c>
      <c r="N27" s="65" t="e">
        <v>#N/A</v>
      </c>
      <c r="O27" s="65" t="e">
        <v>#N/A</v>
      </c>
      <c r="P27" s="66">
        <v>1</v>
      </c>
      <c r="Q27" s="67">
        <v>3</v>
      </c>
      <c r="R27" s="67">
        <v>5</v>
      </c>
      <c r="S27" s="67">
        <v>6</v>
      </c>
      <c r="T27" s="67">
        <v>8</v>
      </c>
      <c r="U27" s="67">
        <v>10</v>
      </c>
      <c r="V27" s="67">
        <v>12</v>
      </c>
      <c r="W27" s="67">
        <v>14</v>
      </c>
      <c r="X27" s="67" t="e">
        <v>#N/A</v>
      </c>
      <c r="Y27" s="67" t="e">
        <v>#N/A</v>
      </c>
      <c r="Z27" s="67" t="e">
        <v>#N/A</v>
      </c>
      <c r="AA27" s="67" t="e">
        <v>#N/A</v>
      </c>
    </row>
    <row r="28" spans="1:27">
      <c r="A28" s="11" t="s">
        <v>12</v>
      </c>
      <c r="B28" s="11" t="s">
        <v>14</v>
      </c>
      <c r="C28" s="11" t="s">
        <v>29</v>
      </c>
      <c r="D28" s="64">
        <v>3000000</v>
      </c>
      <c r="E28" s="65">
        <v>5000000</v>
      </c>
      <c r="F28" s="65">
        <v>7000000</v>
      </c>
      <c r="G28" s="65">
        <v>8000000</v>
      </c>
      <c r="H28" s="65" t="e">
        <v>#N/A</v>
      </c>
      <c r="I28" s="65" t="e">
        <v>#N/A</v>
      </c>
      <c r="J28" s="65" t="e">
        <v>#N/A</v>
      </c>
      <c r="K28" s="65" t="e">
        <v>#N/A</v>
      </c>
      <c r="L28" s="65" t="e">
        <v>#N/A</v>
      </c>
      <c r="M28" s="65" t="e">
        <v>#N/A</v>
      </c>
      <c r="N28" s="65" t="e">
        <v>#N/A</v>
      </c>
      <c r="O28" s="65" t="e">
        <v>#N/A</v>
      </c>
      <c r="P28" s="66">
        <v>7</v>
      </c>
      <c r="Q28" s="67">
        <v>10</v>
      </c>
      <c r="R28" s="67">
        <v>14</v>
      </c>
      <c r="S28" s="67">
        <v>14</v>
      </c>
      <c r="T28" s="67" t="e">
        <v>#N/A</v>
      </c>
      <c r="U28" s="67" t="e">
        <v>#N/A</v>
      </c>
      <c r="V28" s="67" t="e">
        <v>#N/A</v>
      </c>
      <c r="W28" s="67" t="e">
        <v>#N/A</v>
      </c>
      <c r="X28" s="67" t="e">
        <v>#N/A</v>
      </c>
      <c r="Y28" s="67" t="e">
        <v>#N/A</v>
      </c>
      <c r="Z28" s="67" t="e">
        <v>#N/A</v>
      </c>
      <c r="AA28" s="67" t="e">
        <v>#N/A</v>
      </c>
    </row>
    <row r="29" spans="1:27">
      <c r="A29" s="11" t="s">
        <v>28</v>
      </c>
      <c r="B29" s="11" t="s">
        <v>14</v>
      </c>
      <c r="C29" s="11" t="s">
        <v>29</v>
      </c>
      <c r="D29" s="64">
        <v>5000000</v>
      </c>
      <c r="E29" s="65">
        <v>6500000</v>
      </c>
      <c r="F29" s="65">
        <v>8000000</v>
      </c>
      <c r="G29" s="65" t="e">
        <v>#N/A</v>
      </c>
      <c r="H29" s="65" t="e">
        <v>#N/A</v>
      </c>
      <c r="I29" s="65" t="e">
        <v>#N/A</v>
      </c>
      <c r="J29" s="65" t="e">
        <v>#N/A</v>
      </c>
      <c r="K29" s="65" t="e">
        <v>#N/A</v>
      </c>
      <c r="L29" s="65" t="e">
        <v>#N/A</v>
      </c>
      <c r="M29" s="65" t="e">
        <v>#N/A</v>
      </c>
      <c r="N29" s="65" t="e">
        <v>#N/A</v>
      </c>
      <c r="O29" s="65" t="e">
        <v>#N/A</v>
      </c>
      <c r="P29" s="66">
        <v>7</v>
      </c>
      <c r="Q29" s="67">
        <v>10</v>
      </c>
      <c r="R29" s="67">
        <v>14</v>
      </c>
      <c r="S29" s="67" t="e">
        <v>#N/A</v>
      </c>
      <c r="T29" s="67" t="e">
        <v>#N/A</v>
      </c>
      <c r="U29" s="67" t="e">
        <v>#N/A</v>
      </c>
      <c r="V29" s="67" t="e">
        <v>#N/A</v>
      </c>
      <c r="W29" s="67" t="e">
        <v>#N/A</v>
      </c>
      <c r="X29" s="67" t="e">
        <v>#N/A</v>
      </c>
      <c r="Y29" s="67" t="e">
        <v>#N/A</v>
      </c>
      <c r="Z29" s="67" t="e">
        <v>#N/A</v>
      </c>
      <c r="AA29" s="67" t="e">
        <v>#N/A</v>
      </c>
    </row>
    <row r="30" spans="1:27">
      <c r="A30" s="11" t="s">
        <v>105</v>
      </c>
      <c r="B30" s="11" t="s">
        <v>14</v>
      </c>
      <c r="C30" s="11" t="s">
        <v>102</v>
      </c>
      <c r="D30" s="64">
        <v>10000</v>
      </c>
      <c r="E30" s="65" t="e">
        <v>#N/A</v>
      </c>
      <c r="F30" s="65" t="e">
        <v>#N/A</v>
      </c>
      <c r="G30" s="65" t="e">
        <v>#N/A</v>
      </c>
      <c r="H30" s="65" t="e">
        <v>#N/A</v>
      </c>
      <c r="I30" s="65" t="e">
        <v>#N/A</v>
      </c>
      <c r="J30" s="65" t="e">
        <v>#N/A</v>
      </c>
      <c r="K30" s="65" t="e">
        <v>#N/A</v>
      </c>
      <c r="L30" s="65" t="e">
        <v>#N/A</v>
      </c>
      <c r="M30" s="65" t="e">
        <v>#N/A</v>
      </c>
      <c r="N30" s="65" t="e">
        <v>#N/A</v>
      </c>
      <c r="O30" s="65" t="e">
        <v>#N/A</v>
      </c>
      <c r="P30" s="66">
        <v>0</v>
      </c>
      <c r="Q30" s="67" t="e">
        <v>#N/A</v>
      </c>
      <c r="R30" s="67" t="e">
        <v>#N/A</v>
      </c>
      <c r="S30" s="67" t="e">
        <v>#N/A</v>
      </c>
      <c r="T30" s="67" t="e">
        <v>#N/A</v>
      </c>
      <c r="U30" s="67" t="e">
        <v>#N/A</v>
      </c>
      <c r="V30" s="67" t="e">
        <v>#N/A</v>
      </c>
      <c r="W30" s="67" t="e">
        <v>#N/A</v>
      </c>
      <c r="X30" s="67" t="e">
        <v>#N/A</v>
      </c>
      <c r="Y30" s="67" t="e">
        <v>#N/A</v>
      </c>
      <c r="Z30" s="67" t="e">
        <v>#N/A</v>
      </c>
      <c r="AA30" s="67" t="e">
        <v>#N/A</v>
      </c>
    </row>
    <row r="31" spans="1:27">
      <c r="A31" s="11" t="s">
        <v>106</v>
      </c>
      <c r="B31" s="11" t="s">
        <v>14</v>
      </c>
      <c r="C31" s="11" t="s">
        <v>102</v>
      </c>
      <c r="D31" s="64">
        <v>40000</v>
      </c>
      <c r="E31" s="65" t="e">
        <v>#N/A</v>
      </c>
      <c r="F31" s="65" t="e">
        <v>#N/A</v>
      </c>
      <c r="G31" s="65" t="e">
        <v>#N/A</v>
      </c>
      <c r="H31" s="65" t="e">
        <v>#N/A</v>
      </c>
      <c r="I31" s="65" t="e">
        <v>#N/A</v>
      </c>
      <c r="J31" s="65" t="e">
        <v>#N/A</v>
      </c>
      <c r="K31" s="65" t="e">
        <v>#N/A</v>
      </c>
      <c r="L31" s="65" t="e">
        <v>#N/A</v>
      </c>
      <c r="M31" s="65" t="e">
        <v>#N/A</v>
      </c>
      <c r="N31" s="65" t="e">
        <v>#N/A</v>
      </c>
      <c r="O31" s="65" t="e">
        <v>#N/A</v>
      </c>
      <c r="P31" s="66">
        <v>0</v>
      </c>
      <c r="Q31" s="67" t="e">
        <v>#N/A</v>
      </c>
      <c r="R31" s="67" t="e">
        <v>#N/A</v>
      </c>
      <c r="S31" s="67" t="e">
        <v>#N/A</v>
      </c>
      <c r="T31" s="67" t="e">
        <v>#N/A</v>
      </c>
      <c r="U31" s="67" t="e">
        <v>#N/A</v>
      </c>
      <c r="V31" s="67" t="e">
        <v>#N/A</v>
      </c>
      <c r="W31" s="67" t="e">
        <v>#N/A</v>
      </c>
      <c r="X31" s="67" t="e">
        <v>#N/A</v>
      </c>
      <c r="Y31" s="67" t="e">
        <v>#N/A</v>
      </c>
      <c r="Z31" s="67" t="e">
        <v>#N/A</v>
      </c>
      <c r="AA31" s="67" t="e">
        <v>#N/A</v>
      </c>
    </row>
    <row r="32" spans="1:27">
      <c r="A32" s="50" t="s">
        <v>82</v>
      </c>
      <c r="B32" s="50" t="s">
        <v>71</v>
      </c>
      <c r="C32" s="50" t="s">
        <v>1</v>
      </c>
      <c r="D32" s="64" t="e">
        <v>#N/A</v>
      </c>
      <c r="E32" s="65">
        <v>50000</v>
      </c>
      <c r="F32" s="65">
        <v>150000</v>
      </c>
      <c r="G32" s="65">
        <v>500000</v>
      </c>
      <c r="H32" s="65">
        <v>1500000</v>
      </c>
      <c r="I32" s="65">
        <v>4500000</v>
      </c>
      <c r="J32" s="65" t="e">
        <v>#N/A</v>
      </c>
      <c r="K32" s="65" t="e">
        <v>#N/A</v>
      </c>
      <c r="L32" s="65" t="e">
        <v>#N/A</v>
      </c>
      <c r="M32" s="65" t="e">
        <v>#N/A</v>
      </c>
      <c r="N32" s="65" t="e">
        <v>#N/A</v>
      </c>
      <c r="O32" s="65" t="e">
        <v>#N/A</v>
      </c>
      <c r="P32" s="68" t="e">
        <v>#N/A</v>
      </c>
      <c r="Q32" s="67">
        <v>0.25</v>
      </c>
      <c r="R32" s="67">
        <v>1</v>
      </c>
      <c r="S32" s="67">
        <v>3</v>
      </c>
      <c r="T32" s="67">
        <v>5</v>
      </c>
      <c r="U32" s="67">
        <v>10</v>
      </c>
      <c r="V32" s="67" t="e">
        <v>#N/A</v>
      </c>
      <c r="W32" s="67" t="e">
        <v>#N/A</v>
      </c>
      <c r="X32" s="67" t="e">
        <v>#N/A</v>
      </c>
      <c r="Y32" s="67" t="e">
        <v>#N/A</v>
      </c>
      <c r="Z32" s="67" t="e">
        <v>#N/A</v>
      </c>
      <c r="AA32" s="67" t="e">
        <v>#N/A</v>
      </c>
    </row>
    <row r="33" spans="1:27">
      <c r="A33" s="50" t="s">
        <v>83</v>
      </c>
      <c r="B33" s="50" t="s">
        <v>71</v>
      </c>
      <c r="C33" s="50" t="s">
        <v>1</v>
      </c>
      <c r="D33" s="64" t="e">
        <v>#N/A</v>
      </c>
      <c r="E33" s="65">
        <v>50000</v>
      </c>
      <c r="F33" s="65">
        <v>250000</v>
      </c>
      <c r="G33" s="65">
        <v>750000</v>
      </c>
      <c r="H33" s="65">
        <v>2250000</v>
      </c>
      <c r="I33" s="65">
        <v>7500000</v>
      </c>
      <c r="J33" s="65" t="e">
        <v>#N/A</v>
      </c>
      <c r="K33" s="65" t="e">
        <v>#N/A</v>
      </c>
      <c r="L33" s="65" t="e">
        <v>#N/A</v>
      </c>
      <c r="M33" s="65" t="e">
        <v>#N/A</v>
      </c>
      <c r="N33" s="65" t="e">
        <v>#N/A</v>
      </c>
      <c r="O33" s="65" t="e">
        <v>#N/A</v>
      </c>
      <c r="P33" s="66" t="e">
        <v>#N/A</v>
      </c>
      <c r="Q33" s="67">
        <v>0.5</v>
      </c>
      <c r="R33" s="67">
        <v>2</v>
      </c>
      <c r="S33" s="67">
        <v>3</v>
      </c>
      <c r="T33" s="67">
        <v>5</v>
      </c>
      <c r="U33" s="67">
        <v>14</v>
      </c>
      <c r="V33" s="67" t="e">
        <v>#N/A</v>
      </c>
      <c r="W33" s="67" t="e">
        <v>#N/A</v>
      </c>
      <c r="X33" s="67" t="e">
        <v>#N/A</v>
      </c>
      <c r="Y33" s="67" t="e">
        <v>#N/A</v>
      </c>
      <c r="Z33" s="67" t="e">
        <v>#N/A</v>
      </c>
      <c r="AA33" s="67" t="e">
        <v>#N/A</v>
      </c>
    </row>
    <row r="34" spans="1:27">
      <c r="A34" s="50" t="s">
        <v>84</v>
      </c>
      <c r="B34" s="50" t="s">
        <v>71</v>
      </c>
      <c r="C34" s="50" t="s">
        <v>1</v>
      </c>
      <c r="D34" s="64" t="e">
        <v>#N/A</v>
      </c>
      <c r="E34" s="65">
        <v>50000</v>
      </c>
      <c r="F34" s="65">
        <v>250000</v>
      </c>
      <c r="G34" s="65">
        <v>750000</v>
      </c>
      <c r="H34" s="65">
        <v>2250000</v>
      </c>
      <c r="I34" s="65">
        <v>4500000</v>
      </c>
      <c r="J34" s="65" t="e">
        <v>#N/A</v>
      </c>
      <c r="K34" s="65" t="e">
        <v>#N/A</v>
      </c>
      <c r="L34" s="65" t="e">
        <v>#N/A</v>
      </c>
      <c r="M34" s="65" t="e">
        <v>#N/A</v>
      </c>
      <c r="N34" s="65" t="e">
        <v>#N/A</v>
      </c>
      <c r="O34" s="65" t="e">
        <v>#N/A</v>
      </c>
      <c r="P34" s="66" t="e">
        <v>#N/A</v>
      </c>
      <c r="Q34" s="67">
        <v>0.5</v>
      </c>
      <c r="R34" s="67">
        <v>2</v>
      </c>
      <c r="S34" s="67">
        <v>3</v>
      </c>
      <c r="T34" s="67">
        <v>5</v>
      </c>
      <c r="U34" s="67">
        <v>10</v>
      </c>
      <c r="V34" s="67" t="e">
        <v>#N/A</v>
      </c>
      <c r="W34" s="67" t="e">
        <v>#N/A</v>
      </c>
      <c r="X34" s="67" t="e">
        <v>#N/A</v>
      </c>
      <c r="Y34" s="67" t="e">
        <v>#N/A</v>
      </c>
      <c r="Z34" s="67" t="e">
        <v>#N/A</v>
      </c>
      <c r="AA34" s="67" t="e">
        <v>#N/A</v>
      </c>
    </row>
    <row r="35" spans="1:27">
      <c r="A35" s="50" t="s">
        <v>85</v>
      </c>
      <c r="B35" s="50" t="s">
        <v>71</v>
      </c>
      <c r="C35" s="50" t="s">
        <v>1</v>
      </c>
      <c r="D35" s="64" t="e">
        <v>#N/A</v>
      </c>
      <c r="E35" s="65">
        <v>100000</v>
      </c>
      <c r="F35" s="65">
        <v>250000</v>
      </c>
      <c r="G35" s="65">
        <v>750000</v>
      </c>
      <c r="H35" s="65">
        <v>2250000</v>
      </c>
      <c r="I35" s="65">
        <v>6000000</v>
      </c>
      <c r="J35" s="65" t="e">
        <v>#N/A</v>
      </c>
      <c r="K35" s="65" t="e">
        <v>#N/A</v>
      </c>
      <c r="L35" s="65" t="e">
        <v>#N/A</v>
      </c>
      <c r="M35" s="65" t="e">
        <v>#N/A</v>
      </c>
      <c r="N35" s="65" t="e">
        <v>#N/A</v>
      </c>
      <c r="O35" s="65" t="e">
        <v>#N/A</v>
      </c>
      <c r="P35" s="66" t="e">
        <v>#N/A</v>
      </c>
      <c r="Q35" s="67">
        <v>1</v>
      </c>
      <c r="R35" s="67">
        <v>2</v>
      </c>
      <c r="S35" s="67">
        <v>3</v>
      </c>
      <c r="T35" s="67">
        <v>5</v>
      </c>
      <c r="U35" s="67">
        <v>10</v>
      </c>
      <c r="V35" s="67" t="e">
        <v>#N/A</v>
      </c>
      <c r="W35" s="67" t="e">
        <v>#N/A</v>
      </c>
      <c r="X35" s="67" t="e">
        <v>#N/A</v>
      </c>
      <c r="Y35" s="67" t="e">
        <v>#N/A</v>
      </c>
      <c r="Z35" s="67" t="e">
        <v>#N/A</v>
      </c>
      <c r="AA35" s="67" t="e">
        <v>#N/A</v>
      </c>
    </row>
    <row r="36" spans="1:27">
      <c r="A36" s="50" t="s">
        <v>86</v>
      </c>
      <c r="B36" s="50" t="s">
        <v>71</v>
      </c>
      <c r="C36" s="50" t="s">
        <v>1</v>
      </c>
      <c r="D36" s="64" t="e">
        <v>#N/A</v>
      </c>
      <c r="E36" s="65">
        <v>100000</v>
      </c>
      <c r="F36" s="65">
        <v>250000</v>
      </c>
      <c r="G36" s="65">
        <v>750000</v>
      </c>
      <c r="H36" s="65">
        <v>2250000</v>
      </c>
      <c r="I36" s="65">
        <v>6750000</v>
      </c>
      <c r="J36" s="65" t="e">
        <v>#N/A</v>
      </c>
      <c r="K36" s="65" t="e">
        <v>#N/A</v>
      </c>
      <c r="L36" s="65" t="e">
        <v>#N/A</v>
      </c>
      <c r="M36" s="65" t="e">
        <v>#N/A</v>
      </c>
      <c r="N36" s="65" t="e">
        <v>#N/A</v>
      </c>
      <c r="O36" s="65" t="e">
        <v>#N/A</v>
      </c>
      <c r="P36" s="66" t="e">
        <v>#N/A</v>
      </c>
      <c r="Q36" s="67">
        <v>1</v>
      </c>
      <c r="R36" s="67">
        <v>2</v>
      </c>
      <c r="S36" s="67">
        <v>3</v>
      </c>
      <c r="T36" s="67">
        <v>5</v>
      </c>
      <c r="U36" s="67">
        <v>10</v>
      </c>
      <c r="V36" s="67" t="e">
        <v>#N/A</v>
      </c>
      <c r="W36" s="67" t="e">
        <v>#N/A</v>
      </c>
      <c r="X36" s="67" t="e">
        <v>#N/A</v>
      </c>
      <c r="Y36" s="67" t="e">
        <v>#N/A</v>
      </c>
      <c r="Z36" s="67" t="e">
        <v>#N/A</v>
      </c>
      <c r="AA36" s="67" t="e">
        <v>#N/A</v>
      </c>
    </row>
    <row r="37" spans="1:27">
      <c r="A37" s="50" t="s">
        <v>87</v>
      </c>
      <c r="B37" s="50" t="s">
        <v>71</v>
      </c>
      <c r="C37" s="50" t="s">
        <v>1</v>
      </c>
      <c r="D37" s="64" t="e">
        <v>#N/A</v>
      </c>
      <c r="E37" s="65">
        <v>150000</v>
      </c>
      <c r="F37" s="65">
        <v>450000</v>
      </c>
      <c r="G37" s="65">
        <v>1350000</v>
      </c>
      <c r="H37" s="65">
        <v>2500000</v>
      </c>
      <c r="I37" s="65">
        <v>6000000</v>
      </c>
      <c r="J37" s="65" t="e">
        <v>#N/A</v>
      </c>
      <c r="K37" s="65" t="e">
        <v>#N/A</v>
      </c>
      <c r="L37" s="65" t="e">
        <v>#N/A</v>
      </c>
      <c r="M37" s="65" t="e">
        <v>#N/A</v>
      </c>
      <c r="N37" s="65" t="e">
        <v>#N/A</v>
      </c>
      <c r="O37" s="65" t="e">
        <v>#N/A</v>
      </c>
      <c r="P37" s="66" t="e">
        <v>#N/A</v>
      </c>
      <c r="Q37" s="67">
        <v>1</v>
      </c>
      <c r="R37" s="67">
        <v>2</v>
      </c>
      <c r="S37" s="67">
        <v>3</v>
      </c>
      <c r="T37" s="67">
        <v>5</v>
      </c>
      <c r="U37" s="67">
        <v>10</v>
      </c>
      <c r="V37" s="67" t="e">
        <v>#N/A</v>
      </c>
      <c r="W37" s="67" t="e">
        <v>#N/A</v>
      </c>
      <c r="X37" s="67" t="e">
        <v>#N/A</v>
      </c>
      <c r="Y37" s="67" t="e">
        <v>#N/A</v>
      </c>
      <c r="Z37" s="67" t="e">
        <v>#N/A</v>
      </c>
      <c r="AA37" s="67" t="e">
        <v>#N/A</v>
      </c>
    </row>
    <row r="38" spans="1:27">
      <c r="A38" s="50" t="s">
        <v>88</v>
      </c>
      <c r="B38" s="50" t="s">
        <v>71</v>
      </c>
      <c r="C38" s="50" t="s">
        <v>1</v>
      </c>
      <c r="D38" s="64" t="e">
        <v>#N/A</v>
      </c>
      <c r="E38" s="65">
        <v>150000</v>
      </c>
      <c r="F38" s="65">
        <v>450000</v>
      </c>
      <c r="G38" s="65">
        <v>1350000</v>
      </c>
      <c r="H38" s="65">
        <v>2500000</v>
      </c>
      <c r="I38" s="65">
        <v>7500000</v>
      </c>
      <c r="J38" s="65" t="e">
        <v>#N/A</v>
      </c>
      <c r="K38" s="65" t="e">
        <v>#N/A</v>
      </c>
      <c r="L38" s="65" t="e">
        <v>#N/A</v>
      </c>
      <c r="M38" s="65" t="e">
        <v>#N/A</v>
      </c>
      <c r="N38" s="65" t="e">
        <v>#N/A</v>
      </c>
      <c r="O38" s="65" t="e">
        <v>#N/A</v>
      </c>
      <c r="P38" s="66" t="e">
        <v>#N/A</v>
      </c>
      <c r="Q38" s="67">
        <v>1</v>
      </c>
      <c r="R38" s="67">
        <v>2</v>
      </c>
      <c r="S38" s="67">
        <v>3</v>
      </c>
      <c r="T38" s="67">
        <v>5</v>
      </c>
      <c r="U38" s="67">
        <v>14</v>
      </c>
      <c r="V38" s="67" t="e">
        <v>#N/A</v>
      </c>
      <c r="W38" s="67" t="e">
        <v>#N/A</v>
      </c>
      <c r="X38" s="67" t="e">
        <v>#N/A</v>
      </c>
      <c r="Y38" s="67" t="e">
        <v>#N/A</v>
      </c>
      <c r="Z38" s="67" t="e">
        <v>#N/A</v>
      </c>
      <c r="AA38" s="67" t="e">
        <v>#N/A</v>
      </c>
    </row>
    <row r="39" spans="1:27">
      <c r="A39" s="50" t="s">
        <v>89</v>
      </c>
      <c r="B39" s="50" t="s">
        <v>71</v>
      </c>
      <c r="C39" s="50" t="s">
        <v>1</v>
      </c>
      <c r="D39" s="64" t="e">
        <v>#N/A</v>
      </c>
      <c r="E39" s="65">
        <v>750000</v>
      </c>
      <c r="F39" s="65">
        <v>1500000</v>
      </c>
      <c r="G39" s="65">
        <v>3000000</v>
      </c>
      <c r="H39" s="65" t="e">
        <v>#N/A</v>
      </c>
      <c r="I39" s="65" t="e">
        <v>#N/A</v>
      </c>
      <c r="J39" s="65" t="e">
        <v>#N/A</v>
      </c>
      <c r="K39" s="65" t="e">
        <v>#N/A</v>
      </c>
      <c r="L39" s="65" t="e">
        <v>#N/A</v>
      </c>
      <c r="M39" s="65" t="e">
        <v>#N/A</v>
      </c>
      <c r="N39" s="65" t="e">
        <v>#N/A</v>
      </c>
      <c r="O39" s="65" t="e">
        <v>#N/A</v>
      </c>
      <c r="P39" s="66" t="e">
        <v>#N/A</v>
      </c>
      <c r="Q39" s="67">
        <v>3</v>
      </c>
      <c r="R39" s="67">
        <v>5</v>
      </c>
      <c r="S39" s="67">
        <v>7</v>
      </c>
      <c r="T39" s="67" t="e">
        <v>#N/A</v>
      </c>
      <c r="U39" s="67" t="e">
        <v>#N/A</v>
      </c>
      <c r="V39" s="67" t="e">
        <v>#N/A</v>
      </c>
      <c r="W39" s="67" t="e">
        <v>#N/A</v>
      </c>
      <c r="X39" s="67" t="e">
        <v>#N/A</v>
      </c>
      <c r="Y39" s="67" t="e">
        <v>#N/A</v>
      </c>
      <c r="Z39" s="67" t="e">
        <v>#N/A</v>
      </c>
      <c r="AA39" s="67" t="e">
        <v>#N/A</v>
      </c>
    </row>
    <row r="40" spans="1:27">
      <c r="A40" s="50" t="s">
        <v>90</v>
      </c>
      <c r="B40" s="50" t="s">
        <v>71</v>
      </c>
      <c r="C40" s="50" t="s">
        <v>1</v>
      </c>
      <c r="D40" s="64" t="e">
        <v>#N/A</v>
      </c>
      <c r="E40" s="65">
        <v>2000000</v>
      </c>
      <c r="F40" s="65">
        <v>3000000</v>
      </c>
      <c r="G40" s="65">
        <v>8000000</v>
      </c>
      <c r="H40" s="65" t="e">
        <v>#N/A</v>
      </c>
      <c r="I40" s="65" t="e">
        <v>#N/A</v>
      </c>
      <c r="J40" s="65" t="e">
        <v>#N/A</v>
      </c>
      <c r="K40" s="65" t="e">
        <v>#N/A</v>
      </c>
      <c r="L40" s="65" t="e">
        <v>#N/A</v>
      </c>
      <c r="M40" s="65" t="e">
        <v>#N/A</v>
      </c>
      <c r="N40" s="65" t="e">
        <v>#N/A</v>
      </c>
      <c r="O40" s="65" t="e">
        <v>#N/A</v>
      </c>
      <c r="P40" s="66" t="e">
        <v>#N/A</v>
      </c>
      <c r="Q40" s="67">
        <v>7</v>
      </c>
      <c r="R40" s="67">
        <v>10</v>
      </c>
      <c r="S40" s="67">
        <v>14</v>
      </c>
      <c r="T40" s="67" t="e">
        <v>#N/A</v>
      </c>
      <c r="U40" s="67" t="e">
        <v>#N/A</v>
      </c>
      <c r="V40" s="67" t="e">
        <v>#N/A</v>
      </c>
      <c r="W40" s="67" t="e">
        <v>#N/A</v>
      </c>
      <c r="X40" s="67" t="e">
        <v>#N/A</v>
      </c>
      <c r="Y40" s="67" t="e">
        <v>#N/A</v>
      </c>
      <c r="Z40" s="67" t="e">
        <v>#N/A</v>
      </c>
      <c r="AA40" s="67" t="e">
        <v>#N/A</v>
      </c>
    </row>
    <row r="41" spans="1:27">
      <c r="A41" s="50" t="s">
        <v>91</v>
      </c>
      <c r="B41" s="50" t="s">
        <v>71</v>
      </c>
      <c r="C41" s="50" t="s">
        <v>1</v>
      </c>
      <c r="D41" s="64" t="e">
        <v>#N/A</v>
      </c>
      <c r="E41" s="65">
        <v>3000000</v>
      </c>
      <c r="F41" s="65">
        <v>6000000</v>
      </c>
      <c r="G41" s="65">
        <v>7000000</v>
      </c>
      <c r="H41" s="65">
        <v>8000000</v>
      </c>
      <c r="I41" s="65" t="e">
        <v>#N/A</v>
      </c>
      <c r="J41" s="65" t="e">
        <v>#N/A</v>
      </c>
      <c r="K41" s="65" t="e">
        <v>#N/A</v>
      </c>
      <c r="L41" s="65" t="e">
        <v>#N/A</v>
      </c>
      <c r="M41" s="65" t="e">
        <v>#N/A</v>
      </c>
      <c r="N41" s="65" t="e">
        <v>#N/A</v>
      </c>
      <c r="O41" s="65" t="e">
        <v>#N/A</v>
      </c>
      <c r="P41" s="66" t="e">
        <v>#N/A</v>
      </c>
      <c r="Q41" s="67">
        <v>10</v>
      </c>
      <c r="R41" s="67">
        <v>12</v>
      </c>
      <c r="S41" s="67">
        <v>14</v>
      </c>
      <c r="T41" s="67">
        <v>14</v>
      </c>
      <c r="U41" s="67" t="e">
        <v>#N/A</v>
      </c>
      <c r="V41" s="67" t="e">
        <v>#N/A</v>
      </c>
      <c r="W41" s="67" t="e">
        <v>#N/A</v>
      </c>
      <c r="X41" s="67" t="e">
        <v>#N/A</v>
      </c>
      <c r="Y41" s="67" t="e">
        <v>#N/A</v>
      </c>
      <c r="Z41" s="67" t="e">
        <v>#N/A</v>
      </c>
      <c r="AA41" s="67" t="e">
        <v>#N/A</v>
      </c>
    </row>
    <row r="42" spans="1:27">
      <c r="A42" s="50" t="s">
        <v>92</v>
      </c>
      <c r="B42" s="50" t="s">
        <v>71</v>
      </c>
      <c r="C42" s="50" t="s">
        <v>1</v>
      </c>
      <c r="D42" s="64" t="e">
        <v>#N/A</v>
      </c>
      <c r="E42" s="65">
        <v>200000</v>
      </c>
      <c r="F42" s="65">
        <v>500000</v>
      </c>
      <c r="G42" s="65">
        <v>1000000</v>
      </c>
      <c r="H42" s="65">
        <v>2000000</v>
      </c>
      <c r="I42" s="65">
        <v>8000000</v>
      </c>
      <c r="J42" s="65" t="e">
        <v>#N/A</v>
      </c>
      <c r="K42" s="65" t="e">
        <v>#N/A</v>
      </c>
      <c r="L42" s="65" t="e">
        <v>#N/A</v>
      </c>
      <c r="M42" s="65" t="e">
        <v>#N/A</v>
      </c>
      <c r="N42" s="65" t="e">
        <v>#N/A</v>
      </c>
      <c r="O42" s="65" t="e">
        <v>#N/A</v>
      </c>
      <c r="P42" s="66" t="e">
        <v>#N/A</v>
      </c>
      <c r="Q42" s="67">
        <v>1</v>
      </c>
      <c r="R42" s="67">
        <v>2</v>
      </c>
      <c r="S42" s="67">
        <v>3</v>
      </c>
      <c r="T42" s="67">
        <v>4</v>
      </c>
      <c r="U42" s="67">
        <v>14</v>
      </c>
      <c r="V42" s="67" t="e">
        <v>#N/A</v>
      </c>
      <c r="W42" s="67" t="e">
        <v>#N/A</v>
      </c>
      <c r="X42" s="67" t="e">
        <v>#N/A</v>
      </c>
      <c r="Y42" s="67" t="e">
        <v>#N/A</v>
      </c>
      <c r="Z42" s="67" t="e">
        <v>#N/A</v>
      </c>
      <c r="AA42" s="67" t="e">
        <v>#N/A</v>
      </c>
    </row>
    <row r="43" spans="1:27">
      <c r="A43" s="50" t="s">
        <v>93</v>
      </c>
      <c r="B43" s="50" t="s">
        <v>71</v>
      </c>
      <c r="C43" s="50" t="s">
        <v>1</v>
      </c>
      <c r="D43" s="64" t="e">
        <v>#N/A</v>
      </c>
      <c r="E43" s="65">
        <v>300000</v>
      </c>
      <c r="F43" s="65">
        <v>600000</v>
      </c>
      <c r="G43" s="65">
        <v>1200000</v>
      </c>
      <c r="H43" s="65">
        <v>2400000</v>
      </c>
      <c r="I43" s="65">
        <v>4800000</v>
      </c>
      <c r="J43" s="65" t="e">
        <v>#N/A</v>
      </c>
      <c r="K43" s="65" t="e">
        <v>#N/A</v>
      </c>
      <c r="L43" s="65" t="e">
        <v>#N/A</v>
      </c>
      <c r="M43" s="65" t="e">
        <v>#N/A</v>
      </c>
      <c r="N43" s="65" t="e">
        <v>#N/A</v>
      </c>
      <c r="O43" s="65" t="e">
        <v>#N/A</v>
      </c>
      <c r="P43" s="66" t="e">
        <v>#N/A</v>
      </c>
      <c r="Q43" s="67">
        <v>1</v>
      </c>
      <c r="R43" s="67">
        <v>2</v>
      </c>
      <c r="S43" s="67">
        <v>3</v>
      </c>
      <c r="T43" s="67">
        <v>5</v>
      </c>
      <c r="U43" s="67">
        <v>7</v>
      </c>
      <c r="V43" s="67" t="e">
        <v>#N/A</v>
      </c>
      <c r="W43" s="67" t="e">
        <v>#N/A</v>
      </c>
      <c r="X43" s="67" t="e">
        <v>#N/A</v>
      </c>
      <c r="Y43" s="67" t="e">
        <v>#N/A</v>
      </c>
      <c r="Z43" s="67" t="e">
        <v>#N/A</v>
      </c>
      <c r="AA43" s="67" t="e">
        <v>#N/A</v>
      </c>
    </row>
    <row r="44" spans="1:27">
      <c r="A44" s="50" t="s">
        <v>94</v>
      </c>
      <c r="B44" s="50" t="s">
        <v>71</v>
      </c>
      <c r="C44" s="50" t="s">
        <v>1</v>
      </c>
      <c r="D44" s="64" t="e">
        <v>#N/A</v>
      </c>
      <c r="E44" s="65">
        <v>450000</v>
      </c>
      <c r="F44" s="65">
        <v>900000</v>
      </c>
      <c r="G44" s="65">
        <v>1800000</v>
      </c>
      <c r="H44" s="65">
        <v>3000000</v>
      </c>
      <c r="I44" s="65" t="e">
        <v>#N/A</v>
      </c>
      <c r="J44" s="65" t="e">
        <v>#N/A</v>
      </c>
      <c r="K44" s="65" t="e">
        <v>#N/A</v>
      </c>
      <c r="L44" s="65" t="e">
        <v>#N/A</v>
      </c>
      <c r="M44" s="65" t="e">
        <v>#N/A</v>
      </c>
      <c r="N44" s="65" t="e">
        <v>#N/A</v>
      </c>
      <c r="O44" s="65" t="e">
        <v>#N/A</v>
      </c>
      <c r="P44" s="66" t="e">
        <v>#N/A</v>
      </c>
      <c r="Q44" s="67">
        <v>2</v>
      </c>
      <c r="R44" s="67">
        <v>3</v>
      </c>
      <c r="S44" s="67">
        <v>5</v>
      </c>
      <c r="T44" s="67">
        <v>7</v>
      </c>
      <c r="U44" s="67" t="e">
        <v>#N/A</v>
      </c>
      <c r="V44" s="67" t="e">
        <v>#N/A</v>
      </c>
      <c r="W44" s="67" t="e">
        <v>#N/A</v>
      </c>
      <c r="X44" s="67" t="e">
        <v>#N/A</v>
      </c>
      <c r="Y44" s="67" t="e">
        <v>#N/A</v>
      </c>
      <c r="Z44" s="67" t="e">
        <v>#N/A</v>
      </c>
      <c r="AA44" s="67" t="e">
        <v>#N/A</v>
      </c>
    </row>
    <row r="45" spans="1:27">
      <c r="A45" s="50" t="s">
        <v>95</v>
      </c>
      <c r="B45" s="50" t="s">
        <v>71</v>
      </c>
      <c r="C45" s="50" t="s">
        <v>1</v>
      </c>
      <c r="D45" s="64" t="e">
        <v>#N/A</v>
      </c>
      <c r="E45" s="65">
        <v>4000000</v>
      </c>
      <c r="F45" s="65">
        <v>6000000</v>
      </c>
      <c r="G45" s="65" t="e">
        <v>#N/A</v>
      </c>
      <c r="H45" s="65" t="e">
        <v>#N/A</v>
      </c>
      <c r="I45" s="65" t="e">
        <v>#N/A</v>
      </c>
      <c r="J45" s="65" t="e">
        <v>#N/A</v>
      </c>
      <c r="K45" s="65" t="e">
        <v>#N/A</v>
      </c>
      <c r="L45" s="65" t="e">
        <v>#N/A</v>
      </c>
      <c r="M45" s="65" t="e">
        <v>#N/A</v>
      </c>
      <c r="N45" s="65" t="e">
        <v>#N/A</v>
      </c>
      <c r="O45" s="65" t="e">
        <v>#N/A</v>
      </c>
      <c r="P45" s="66" t="e">
        <v>#N/A</v>
      </c>
      <c r="Q45" s="67">
        <v>5</v>
      </c>
      <c r="R45" s="67">
        <v>7</v>
      </c>
      <c r="S45" s="67" t="e">
        <v>#N/A</v>
      </c>
      <c r="T45" s="67" t="e">
        <v>#N/A</v>
      </c>
      <c r="U45" s="67" t="e">
        <v>#N/A</v>
      </c>
      <c r="V45" s="67" t="e">
        <v>#N/A</v>
      </c>
      <c r="W45" s="67" t="e">
        <v>#N/A</v>
      </c>
      <c r="X45" s="67" t="e">
        <v>#N/A</v>
      </c>
      <c r="Y45" s="67" t="e">
        <v>#N/A</v>
      </c>
      <c r="Z45" s="67" t="e">
        <v>#N/A</v>
      </c>
      <c r="AA45" s="67" t="e">
        <v>#N/A</v>
      </c>
    </row>
    <row r="46" spans="1:27">
      <c r="A46" s="50" t="s">
        <v>96</v>
      </c>
      <c r="B46" s="50" t="s">
        <v>71</v>
      </c>
      <c r="C46" s="50" t="s">
        <v>1</v>
      </c>
      <c r="D46" s="64" t="e">
        <v>#N/A</v>
      </c>
      <c r="E46" s="65">
        <v>4000000</v>
      </c>
      <c r="F46" s="65">
        <v>5000000</v>
      </c>
      <c r="G46" s="65">
        <v>6500000</v>
      </c>
      <c r="H46" s="65">
        <v>8000000</v>
      </c>
      <c r="I46" s="65" t="e">
        <v>#N/A</v>
      </c>
      <c r="J46" s="65" t="e">
        <v>#N/A</v>
      </c>
      <c r="K46" s="65" t="e">
        <v>#N/A</v>
      </c>
      <c r="L46" s="65" t="e">
        <v>#N/A</v>
      </c>
      <c r="M46" s="65" t="e">
        <v>#N/A</v>
      </c>
      <c r="N46" s="65" t="e">
        <v>#N/A</v>
      </c>
      <c r="O46" s="65" t="e">
        <v>#N/A</v>
      </c>
      <c r="P46" s="66" t="e">
        <v>#N/A</v>
      </c>
      <c r="Q46" s="67">
        <v>5</v>
      </c>
      <c r="R46" s="67">
        <v>7</v>
      </c>
      <c r="S46" s="67">
        <v>10</v>
      </c>
      <c r="T46" s="67">
        <v>14</v>
      </c>
      <c r="U46" s="67" t="e">
        <v>#N/A</v>
      </c>
      <c r="V46" s="67" t="e">
        <v>#N/A</v>
      </c>
      <c r="W46" s="67" t="e">
        <v>#N/A</v>
      </c>
      <c r="X46" s="67" t="e">
        <v>#N/A</v>
      </c>
      <c r="Y46" s="67" t="e">
        <v>#N/A</v>
      </c>
      <c r="Z46" s="67" t="e">
        <v>#N/A</v>
      </c>
      <c r="AA46" s="67" t="e">
        <v>#N/A</v>
      </c>
    </row>
    <row r="47" spans="1:27">
      <c r="A47" s="50" t="s">
        <v>97</v>
      </c>
      <c r="B47" s="50" t="s">
        <v>71</v>
      </c>
      <c r="C47" s="50" t="s">
        <v>102</v>
      </c>
      <c r="D47" s="64" t="e">
        <v>#N/A</v>
      </c>
      <c r="E47" s="65">
        <v>10000</v>
      </c>
      <c r="F47" s="65">
        <v>20000</v>
      </c>
      <c r="G47" s="65">
        <v>30000</v>
      </c>
      <c r="H47" s="65">
        <v>40000</v>
      </c>
      <c r="I47" s="65">
        <v>100000</v>
      </c>
      <c r="J47" s="65" t="e">
        <v>#N/A</v>
      </c>
      <c r="K47" s="65" t="e">
        <v>#N/A</v>
      </c>
      <c r="L47" s="65" t="e">
        <v>#N/A</v>
      </c>
      <c r="M47" s="65" t="e">
        <v>#N/A</v>
      </c>
      <c r="N47" s="65" t="e">
        <v>#N/A</v>
      </c>
      <c r="O47" s="65" t="e">
        <v>#N/A</v>
      </c>
      <c r="P47" s="66" t="e">
        <v>#N/A</v>
      </c>
      <c r="Q47" s="67">
        <v>5</v>
      </c>
      <c r="R47" s="67">
        <v>6</v>
      </c>
      <c r="S47" s="67">
        <v>7</v>
      </c>
      <c r="T47" s="67">
        <v>10</v>
      </c>
      <c r="U47" s="67">
        <v>14</v>
      </c>
      <c r="V47" s="67" t="e">
        <v>#N/A</v>
      </c>
      <c r="W47" s="67" t="e">
        <v>#N/A</v>
      </c>
      <c r="X47" s="67" t="e">
        <v>#N/A</v>
      </c>
      <c r="Y47" s="67" t="e">
        <v>#N/A</v>
      </c>
      <c r="Z47" s="67" t="e">
        <v>#N/A</v>
      </c>
      <c r="AA47" s="67" t="e">
        <v>#N/A</v>
      </c>
    </row>
    <row r="48" spans="1:27">
      <c r="A48" s="50" t="s">
        <v>98</v>
      </c>
      <c r="B48" s="50" t="s">
        <v>71</v>
      </c>
      <c r="C48" s="50" t="s">
        <v>102</v>
      </c>
      <c r="D48" s="64" t="e">
        <v>#N/A</v>
      </c>
      <c r="E48" s="65">
        <v>20000</v>
      </c>
      <c r="F48" s="65">
        <v>30000</v>
      </c>
      <c r="G48" s="65">
        <v>40000</v>
      </c>
      <c r="H48" s="65">
        <v>50000</v>
      </c>
      <c r="I48" s="65" t="e">
        <v>#N/A</v>
      </c>
      <c r="J48" s="65" t="e">
        <v>#N/A</v>
      </c>
      <c r="K48" s="65" t="e">
        <v>#N/A</v>
      </c>
      <c r="L48" s="65" t="e">
        <v>#N/A</v>
      </c>
      <c r="M48" s="65" t="e">
        <v>#N/A</v>
      </c>
      <c r="N48" s="65" t="e">
        <v>#N/A</v>
      </c>
      <c r="O48" s="65" t="e">
        <v>#N/A</v>
      </c>
      <c r="P48" s="66" t="e">
        <v>#N/A</v>
      </c>
      <c r="Q48" s="67">
        <v>8</v>
      </c>
      <c r="R48" s="67">
        <v>10</v>
      </c>
      <c r="S48" s="67">
        <v>12</v>
      </c>
      <c r="T48" s="67">
        <v>14</v>
      </c>
      <c r="U48" s="67" t="e">
        <v>#N/A</v>
      </c>
      <c r="V48" s="67" t="e">
        <v>#N/A</v>
      </c>
      <c r="W48" s="67" t="e">
        <v>#N/A</v>
      </c>
      <c r="X48" s="67" t="e">
        <v>#N/A</v>
      </c>
      <c r="Y48" s="67" t="e">
        <v>#N/A</v>
      </c>
      <c r="Z48" s="67" t="e">
        <v>#N/A</v>
      </c>
      <c r="AA48" s="67" t="e">
        <v>#N/A</v>
      </c>
    </row>
    <row r="49" spans="1:27">
      <c r="A49" s="50" t="s">
        <v>99</v>
      </c>
      <c r="B49" s="50" t="s">
        <v>71</v>
      </c>
      <c r="C49" s="50" t="s">
        <v>102</v>
      </c>
      <c r="D49" s="64" t="e">
        <v>#N/A</v>
      </c>
      <c r="E49" s="65">
        <v>50000</v>
      </c>
      <c r="F49" s="65">
        <v>60000</v>
      </c>
      <c r="G49" s="65">
        <v>70000</v>
      </c>
      <c r="H49" s="65" t="e">
        <v>#N/A</v>
      </c>
      <c r="I49" s="65" t="e">
        <v>#N/A</v>
      </c>
      <c r="J49" s="65" t="e">
        <v>#N/A</v>
      </c>
      <c r="K49" s="65" t="e">
        <v>#N/A</v>
      </c>
      <c r="L49" s="65" t="e">
        <v>#N/A</v>
      </c>
      <c r="M49" s="65" t="e">
        <v>#N/A</v>
      </c>
      <c r="N49" s="65" t="e">
        <v>#N/A</v>
      </c>
      <c r="O49" s="65" t="e">
        <v>#N/A</v>
      </c>
      <c r="P49" s="66" t="e">
        <v>#N/A</v>
      </c>
      <c r="Q49" s="67">
        <v>10</v>
      </c>
      <c r="R49" s="67">
        <v>12</v>
      </c>
      <c r="S49" s="67">
        <v>14</v>
      </c>
      <c r="T49" s="67" t="e">
        <v>#N/A</v>
      </c>
      <c r="U49" s="67" t="e">
        <v>#N/A</v>
      </c>
      <c r="V49" s="67" t="e">
        <v>#N/A</v>
      </c>
      <c r="W49" s="67" t="e">
        <v>#N/A</v>
      </c>
      <c r="X49" s="67" t="e">
        <v>#N/A</v>
      </c>
      <c r="Y49" s="67" t="e">
        <v>#N/A</v>
      </c>
      <c r="Z49" s="67" t="e">
        <v>#N/A</v>
      </c>
      <c r="AA49" s="67" t="e">
        <v>#N/A</v>
      </c>
    </row>
    <row r="50" spans="1:27">
      <c r="A50" s="50" t="s">
        <v>100</v>
      </c>
      <c r="B50" s="50" t="s">
        <v>71</v>
      </c>
      <c r="C50" s="50" t="s">
        <v>102</v>
      </c>
      <c r="D50" s="64" t="e">
        <v>#N/A</v>
      </c>
      <c r="E50" s="65">
        <v>60000</v>
      </c>
      <c r="F50" s="65">
        <v>70000</v>
      </c>
      <c r="G50" s="65">
        <v>80000</v>
      </c>
      <c r="H50" s="65">
        <v>90000</v>
      </c>
      <c r="I50" s="65" t="e">
        <v>#N/A</v>
      </c>
      <c r="J50" s="65" t="e">
        <v>#N/A</v>
      </c>
      <c r="K50" s="65" t="e">
        <v>#N/A</v>
      </c>
      <c r="L50" s="65" t="e">
        <v>#N/A</v>
      </c>
      <c r="M50" s="65" t="e">
        <v>#N/A</v>
      </c>
      <c r="N50" s="65" t="e">
        <v>#N/A</v>
      </c>
      <c r="O50" s="65" t="e">
        <v>#N/A</v>
      </c>
      <c r="P50" s="66" t="e">
        <v>#N/A</v>
      </c>
      <c r="Q50" s="67">
        <v>10</v>
      </c>
      <c r="R50" s="67">
        <v>12</v>
      </c>
      <c r="S50" s="67">
        <v>14</v>
      </c>
      <c r="T50" s="67">
        <v>14</v>
      </c>
      <c r="U50" s="67" t="e">
        <v>#N/A</v>
      </c>
      <c r="V50" s="67" t="e">
        <v>#N/A</v>
      </c>
      <c r="W50" s="67" t="e">
        <v>#N/A</v>
      </c>
      <c r="X50" s="67" t="e">
        <v>#N/A</v>
      </c>
      <c r="Y50" s="67" t="e">
        <v>#N/A</v>
      </c>
      <c r="Z50" s="67" t="e">
        <v>#N/A</v>
      </c>
      <c r="AA50" s="67" t="e">
        <v>#N/A</v>
      </c>
    </row>
    <row r="51" spans="1:27">
      <c r="A51" s="50" t="s">
        <v>101</v>
      </c>
      <c r="B51" s="50" t="s">
        <v>71</v>
      </c>
      <c r="C51" s="50" t="s">
        <v>102</v>
      </c>
      <c r="D51" s="64" t="e">
        <v>#N/A</v>
      </c>
      <c r="E51" s="65">
        <v>75000</v>
      </c>
      <c r="F51" s="65" t="e">
        <v>#N/A</v>
      </c>
      <c r="G51" s="65" t="e">
        <v>#N/A</v>
      </c>
      <c r="H51" s="65" t="e">
        <v>#N/A</v>
      </c>
      <c r="I51" s="65" t="e">
        <v>#N/A</v>
      </c>
      <c r="J51" s="65" t="e">
        <v>#N/A</v>
      </c>
      <c r="K51" s="65" t="e">
        <v>#N/A</v>
      </c>
      <c r="L51" s="65" t="e">
        <v>#N/A</v>
      </c>
      <c r="M51" s="65" t="e">
        <v>#N/A</v>
      </c>
      <c r="N51" s="65" t="e">
        <v>#N/A</v>
      </c>
      <c r="O51" s="65" t="e">
        <v>#N/A</v>
      </c>
      <c r="P51" s="66" t="e">
        <v>#N/A</v>
      </c>
      <c r="Q51" s="67">
        <v>10</v>
      </c>
      <c r="R51" s="67" t="e">
        <v>#N/A</v>
      </c>
      <c r="S51" s="67" t="e">
        <v>#N/A</v>
      </c>
      <c r="T51" s="67" t="e">
        <v>#N/A</v>
      </c>
      <c r="U51" s="67" t="e">
        <v>#N/A</v>
      </c>
      <c r="V51" s="67" t="e">
        <v>#N/A</v>
      </c>
      <c r="W51" s="67" t="e">
        <v>#N/A</v>
      </c>
      <c r="X51" s="67" t="e">
        <v>#N/A</v>
      </c>
      <c r="Y51" s="67" t="e">
        <v>#N/A</v>
      </c>
      <c r="Z51" s="67" t="e">
        <v>#N/A</v>
      </c>
      <c r="AA51" s="67" t="e">
        <v>#N/A</v>
      </c>
    </row>
    <row r="52" spans="1:27" ht="16" thickBot="1">
      <c r="A52" s="50"/>
      <c r="B52" s="50"/>
      <c r="C52" s="50"/>
      <c r="D52" s="65"/>
      <c r="E52" s="65"/>
      <c r="F52" s="65"/>
      <c r="G52" s="65"/>
      <c r="H52" s="65"/>
      <c r="I52" s="65"/>
      <c r="J52" s="65"/>
      <c r="K52" s="65"/>
      <c r="L52" s="65"/>
      <c r="M52" s="65"/>
      <c r="N52" s="65"/>
      <c r="O52" s="65"/>
      <c r="P52" s="123"/>
      <c r="Q52" s="67"/>
      <c r="R52" s="67"/>
      <c r="S52" s="67"/>
      <c r="T52" s="67"/>
      <c r="U52" s="67"/>
      <c r="V52" s="67"/>
      <c r="W52" s="67"/>
      <c r="X52" s="67"/>
      <c r="Y52" s="67"/>
      <c r="Z52" s="67"/>
      <c r="AA52" s="67"/>
    </row>
    <row r="53" spans="1:27" ht="32" thickTop="1" thickBot="1">
      <c r="A53" s="364" t="s">
        <v>192</v>
      </c>
      <c r="B53" s="365"/>
      <c r="C53" s="365"/>
      <c r="D53" s="365"/>
      <c r="E53" s="365"/>
      <c r="F53" s="365"/>
      <c r="G53" s="365"/>
      <c r="H53" s="365"/>
      <c r="I53" s="365"/>
      <c r="J53" s="365"/>
      <c r="K53" s="365"/>
      <c r="L53" s="365"/>
      <c r="M53" s="365"/>
      <c r="N53" s="365"/>
      <c r="O53" s="365"/>
      <c r="P53" s="365"/>
      <c r="Q53" s="365"/>
      <c r="R53" s="365"/>
      <c r="S53" s="365"/>
      <c r="T53" s="365"/>
      <c r="U53" s="365"/>
      <c r="V53" s="365"/>
      <c r="W53" s="365"/>
      <c r="X53" s="365"/>
      <c r="Y53" s="365"/>
      <c r="Z53" s="365"/>
      <c r="AA53" s="366"/>
    </row>
    <row r="54" spans="1:27" ht="17" thickTop="1" thickBot="1">
      <c r="A54" s="50"/>
      <c r="B54" s="50"/>
      <c r="C54" s="50"/>
      <c r="D54" s="65"/>
      <c r="E54" s="65"/>
      <c r="F54" s="65"/>
      <c r="G54" s="65"/>
      <c r="H54" s="65"/>
      <c r="I54" s="65"/>
      <c r="J54" s="65"/>
      <c r="K54" s="65"/>
      <c r="L54" s="65"/>
      <c r="M54" s="65"/>
      <c r="N54" s="65"/>
      <c r="O54" s="65"/>
      <c r="P54" s="123"/>
      <c r="Q54" s="67"/>
      <c r="R54" s="67"/>
      <c r="S54" s="67"/>
      <c r="T54" s="67"/>
      <c r="U54" s="67"/>
      <c r="V54" s="67"/>
      <c r="W54" s="67"/>
      <c r="X54" s="67"/>
      <c r="Y54" s="67"/>
      <c r="Z54" s="67"/>
      <c r="AA54" s="67"/>
    </row>
    <row r="55" spans="1:27" ht="19" thickTop="1">
      <c r="A55" s="370" t="s">
        <v>208</v>
      </c>
      <c r="B55" s="371"/>
      <c r="C55" s="371"/>
      <c r="D55" s="371"/>
      <c r="E55" s="372"/>
      <c r="H55" s="65"/>
      <c r="I55" s="65"/>
      <c r="J55" s="65"/>
      <c r="K55" s="65"/>
      <c r="L55" s="65"/>
      <c r="M55" s="123"/>
      <c r="N55" s="67"/>
      <c r="O55" s="67"/>
      <c r="P55" s="67"/>
      <c r="Q55" s="67"/>
      <c r="R55" s="67"/>
      <c r="S55" s="67"/>
      <c r="T55" s="67"/>
      <c r="U55" s="67"/>
      <c r="V55" s="67"/>
      <c r="W55" s="67"/>
      <c r="X55" s="67"/>
    </row>
    <row r="56" spans="1:27">
      <c r="A56" s="50" t="s">
        <v>145</v>
      </c>
      <c r="B56" s="50" t="s">
        <v>204</v>
      </c>
      <c r="C56" s="50" t="s">
        <v>205</v>
      </c>
      <c r="D56" s="65" t="s">
        <v>206</v>
      </c>
      <c r="E56" s="11" t="s">
        <v>207</v>
      </c>
      <c r="H56" s="65"/>
      <c r="I56" s="65"/>
      <c r="J56" s="65"/>
      <c r="K56" s="65"/>
      <c r="L56" s="65"/>
      <c r="M56" s="123"/>
      <c r="N56" s="67"/>
      <c r="O56" s="67"/>
      <c r="P56" s="67"/>
      <c r="Q56" s="67"/>
      <c r="R56" s="67"/>
      <c r="S56" s="67"/>
      <c r="T56" s="67"/>
      <c r="U56" s="67"/>
      <c r="V56" s="67"/>
      <c r="W56" s="67"/>
      <c r="X56" s="67"/>
    </row>
    <row r="57" spans="1:27">
      <c r="A57" s="50">
        <v>1</v>
      </c>
      <c r="B57" s="52">
        <v>10000</v>
      </c>
      <c r="C57" s="124">
        <v>0</v>
      </c>
      <c r="D57" s="65">
        <v>40000</v>
      </c>
      <c r="E57" s="11">
        <v>0</v>
      </c>
      <c r="H57" s="65"/>
      <c r="I57" s="65"/>
      <c r="J57" s="65"/>
      <c r="K57" s="65"/>
      <c r="L57" s="65"/>
      <c r="M57" s="123"/>
      <c r="N57" s="67"/>
      <c r="O57" s="67"/>
      <c r="P57" s="67"/>
      <c r="Q57" s="67"/>
      <c r="R57" s="67"/>
      <c r="S57" s="67"/>
      <c r="T57" s="67"/>
      <c r="U57" s="67"/>
      <c r="V57" s="67"/>
      <c r="W57" s="67"/>
      <c r="X57" s="67"/>
    </row>
    <row r="58" spans="1:27">
      <c r="A58" s="50">
        <v>2</v>
      </c>
      <c r="B58" s="52">
        <v>12500</v>
      </c>
      <c r="C58" s="124">
        <v>0.5</v>
      </c>
      <c r="D58" s="65">
        <v>22500</v>
      </c>
      <c r="E58" s="11">
        <v>0.5</v>
      </c>
      <c r="H58" s="65"/>
      <c r="I58" s="65"/>
      <c r="J58" s="65"/>
      <c r="K58" s="65"/>
      <c r="L58" s="65"/>
      <c r="M58" s="123"/>
      <c r="N58" s="67"/>
      <c r="O58" s="67"/>
      <c r="P58" s="67"/>
      <c r="Q58" s="67"/>
      <c r="R58" s="67"/>
      <c r="S58" s="67"/>
      <c r="T58" s="67"/>
      <c r="U58" s="67"/>
      <c r="V58" s="67"/>
      <c r="W58" s="67"/>
      <c r="X58" s="67"/>
    </row>
    <row r="59" spans="1:27">
      <c r="A59" s="50">
        <v>3</v>
      </c>
      <c r="B59" s="52">
        <v>15000</v>
      </c>
      <c r="C59" s="124">
        <v>1</v>
      </c>
      <c r="D59" s="65">
        <v>25000</v>
      </c>
      <c r="E59" s="11">
        <v>1</v>
      </c>
      <c r="H59" s="65"/>
      <c r="I59" s="65"/>
      <c r="J59" s="65"/>
      <c r="K59" s="65"/>
      <c r="L59" s="65"/>
      <c r="M59" s="123"/>
      <c r="N59" s="67"/>
      <c r="O59" s="67"/>
      <c r="P59" s="67"/>
      <c r="Q59" s="67"/>
      <c r="R59" s="67"/>
      <c r="S59" s="67"/>
      <c r="T59" s="67"/>
      <c r="U59" s="67"/>
      <c r="V59" s="67"/>
      <c r="W59" s="67"/>
      <c r="X59" s="67"/>
    </row>
    <row r="60" spans="1:27">
      <c r="A60" s="50">
        <v>4</v>
      </c>
      <c r="B60" s="52">
        <v>17500</v>
      </c>
      <c r="C60" s="124">
        <v>1.5</v>
      </c>
      <c r="D60" s="65">
        <v>27500</v>
      </c>
      <c r="E60" s="11">
        <v>1.5</v>
      </c>
      <c r="H60" s="65"/>
      <c r="I60" s="65"/>
      <c r="J60" s="65"/>
      <c r="K60" s="65"/>
      <c r="L60" s="65"/>
      <c r="M60" s="123"/>
      <c r="N60" s="67"/>
      <c r="O60" s="67"/>
      <c r="P60" s="67"/>
      <c r="Q60" s="67"/>
      <c r="R60" s="67"/>
      <c r="S60" s="67"/>
      <c r="T60" s="67"/>
      <c r="U60" s="67"/>
      <c r="V60" s="67"/>
      <c r="W60" s="67"/>
      <c r="X60" s="67"/>
    </row>
    <row r="61" spans="1:27">
      <c r="A61" s="50">
        <v>5</v>
      </c>
      <c r="B61" s="52">
        <v>20000</v>
      </c>
      <c r="C61" s="124">
        <v>2</v>
      </c>
      <c r="D61" s="65">
        <v>30000</v>
      </c>
      <c r="E61" s="11">
        <v>2</v>
      </c>
      <c r="H61" s="65"/>
      <c r="I61" s="65"/>
      <c r="J61" s="65"/>
      <c r="K61" s="65"/>
      <c r="L61" s="65"/>
      <c r="M61" s="123"/>
      <c r="N61" s="67"/>
      <c r="O61" s="67"/>
      <c r="P61" s="67"/>
      <c r="Q61" s="67"/>
      <c r="R61" s="67"/>
      <c r="S61" s="67"/>
      <c r="T61" s="67"/>
      <c r="U61" s="67"/>
      <c r="V61" s="67"/>
      <c r="W61" s="67"/>
      <c r="X61" s="67"/>
    </row>
    <row r="62" spans="1:27">
      <c r="A62" s="50">
        <v>6</v>
      </c>
      <c r="B62" s="52">
        <v>22500</v>
      </c>
      <c r="C62" s="124">
        <v>2.5</v>
      </c>
      <c r="D62" s="65">
        <v>32500</v>
      </c>
      <c r="E62" s="11">
        <v>2.5</v>
      </c>
      <c r="H62" s="65"/>
      <c r="I62" s="65"/>
      <c r="J62" s="65"/>
      <c r="K62" s="65"/>
      <c r="L62" s="65"/>
      <c r="M62" s="123"/>
      <c r="N62" s="67"/>
      <c r="O62" s="67"/>
      <c r="P62" s="67"/>
      <c r="Q62" s="67"/>
      <c r="R62" s="67"/>
      <c r="S62" s="67"/>
      <c r="T62" s="67"/>
      <c r="U62" s="67"/>
      <c r="V62" s="67"/>
      <c r="W62" s="67"/>
      <c r="X62" s="67"/>
    </row>
    <row r="63" spans="1:27">
      <c r="A63" s="50">
        <v>7</v>
      </c>
      <c r="B63" s="52">
        <v>25000</v>
      </c>
      <c r="C63" s="124">
        <v>3</v>
      </c>
      <c r="D63" s="65">
        <v>35000</v>
      </c>
      <c r="E63" s="11">
        <v>3</v>
      </c>
      <c r="H63" s="65"/>
      <c r="I63" s="65"/>
      <c r="J63" s="65"/>
      <c r="K63" s="65"/>
      <c r="L63" s="65"/>
      <c r="M63" s="123"/>
      <c r="N63" s="67"/>
      <c r="O63" s="67"/>
      <c r="P63" s="67"/>
      <c r="Q63" s="67"/>
      <c r="R63" s="67"/>
      <c r="S63" s="67"/>
      <c r="T63" s="67"/>
      <c r="U63" s="67"/>
      <c r="V63" s="67"/>
      <c r="W63" s="67"/>
      <c r="X63" s="67"/>
    </row>
    <row r="64" spans="1:27">
      <c r="A64" s="50">
        <v>8</v>
      </c>
      <c r="B64" s="52">
        <v>30000</v>
      </c>
      <c r="C64" s="124">
        <v>3.5</v>
      </c>
      <c r="D64" s="65">
        <v>40000</v>
      </c>
      <c r="E64" s="11">
        <v>3.5</v>
      </c>
      <c r="H64" s="65"/>
      <c r="I64" s="65"/>
      <c r="J64" s="65"/>
      <c r="K64" s="65"/>
      <c r="L64" s="65"/>
      <c r="M64" s="123"/>
      <c r="N64" s="67"/>
      <c r="O64" s="67"/>
      <c r="P64" s="67"/>
      <c r="Q64" s="67"/>
      <c r="R64" s="67"/>
      <c r="S64" s="67"/>
      <c r="T64" s="67"/>
      <c r="U64" s="67"/>
      <c r="V64" s="67"/>
      <c r="W64" s="67"/>
      <c r="X64" s="67"/>
    </row>
    <row r="65" spans="1:20">
      <c r="A65" s="50">
        <v>9</v>
      </c>
      <c r="B65" s="52">
        <v>35000</v>
      </c>
      <c r="C65" s="124">
        <v>4</v>
      </c>
      <c r="D65" s="65">
        <v>45000</v>
      </c>
      <c r="E65" s="11">
        <v>4</v>
      </c>
      <c r="H65" s="65"/>
      <c r="I65" s="65"/>
      <c r="J65" s="67"/>
      <c r="K65" s="67"/>
      <c r="L65" s="67"/>
      <c r="M65" s="67"/>
      <c r="N65" s="67"/>
      <c r="O65" s="67"/>
      <c r="P65" s="67"/>
      <c r="Q65" s="67"/>
      <c r="R65" s="67"/>
      <c r="S65" s="67"/>
      <c r="T65" s="67"/>
    </row>
    <row r="66" spans="1:20">
      <c r="A66" s="50">
        <v>10</v>
      </c>
      <c r="B66" s="52">
        <v>40000</v>
      </c>
      <c r="C66" s="124">
        <v>4.5</v>
      </c>
      <c r="D66" s="65">
        <v>50000</v>
      </c>
      <c r="E66" s="11">
        <v>4.5</v>
      </c>
      <c r="H66" s="65"/>
      <c r="I66" s="65"/>
      <c r="J66" s="67"/>
      <c r="K66" s="67"/>
      <c r="L66" s="67"/>
      <c r="M66" s="67"/>
      <c r="N66" s="67"/>
      <c r="O66" s="67"/>
      <c r="P66" s="67"/>
      <c r="Q66" s="67"/>
      <c r="R66" s="67"/>
      <c r="S66" s="67"/>
      <c r="T66" s="67"/>
    </row>
    <row r="67" spans="1:20">
      <c r="A67" s="50">
        <v>11</v>
      </c>
      <c r="B67" s="52">
        <v>45000</v>
      </c>
      <c r="C67" s="124">
        <v>5</v>
      </c>
      <c r="D67" s="65">
        <v>55000</v>
      </c>
      <c r="E67" s="11">
        <v>5</v>
      </c>
      <c r="H67" s="65"/>
      <c r="I67" s="65"/>
      <c r="J67" s="67"/>
      <c r="K67" s="67"/>
      <c r="L67" s="67"/>
      <c r="M67" s="67"/>
      <c r="N67" s="67"/>
      <c r="O67" s="67"/>
      <c r="P67" s="67"/>
      <c r="Q67" s="67"/>
      <c r="R67" s="67"/>
      <c r="S67" s="67"/>
      <c r="T67" s="67"/>
    </row>
    <row r="68" spans="1:20">
      <c r="A68" s="50">
        <v>12</v>
      </c>
      <c r="B68" s="52">
        <v>50000</v>
      </c>
      <c r="C68" s="124">
        <v>5.5</v>
      </c>
      <c r="D68" s="65">
        <v>60000</v>
      </c>
      <c r="E68" s="11">
        <v>5.5</v>
      </c>
      <c r="H68" s="65"/>
      <c r="I68" s="65"/>
      <c r="J68" s="67"/>
      <c r="K68" s="67"/>
      <c r="L68" s="67"/>
      <c r="M68" s="67"/>
      <c r="N68" s="67"/>
      <c r="O68" s="67"/>
      <c r="P68" s="67"/>
      <c r="Q68" s="67"/>
      <c r="R68" s="67"/>
      <c r="S68" s="67"/>
      <c r="T68" s="67"/>
    </row>
    <row r="69" spans="1:20">
      <c r="A69" s="50">
        <v>13</v>
      </c>
      <c r="B69" s="52">
        <v>55000</v>
      </c>
      <c r="C69" s="124">
        <v>6</v>
      </c>
      <c r="D69" s="65">
        <v>65000</v>
      </c>
      <c r="E69" s="11">
        <v>6</v>
      </c>
      <c r="H69" s="65"/>
      <c r="I69" s="65"/>
      <c r="J69" s="67"/>
      <c r="K69" s="67"/>
      <c r="L69" s="67"/>
      <c r="M69" s="67"/>
      <c r="N69" s="67"/>
      <c r="O69" s="67"/>
      <c r="P69" s="67"/>
      <c r="Q69" s="67"/>
      <c r="R69" s="67"/>
      <c r="S69" s="67"/>
      <c r="T69" s="67"/>
    </row>
    <row r="70" spans="1:20">
      <c r="A70" s="50">
        <v>14</v>
      </c>
      <c r="B70" s="52">
        <v>60000</v>
      </c>
      <c r="C70" s="124">
        <v>6.5</v>
      </c>
      <c r="D70" s="65">
        <v>70000</v>
      </c>
      <c r="E70" s="11">
        <v>6.5</v>
      </c>
      <c r="H70" s="65"/>
      <c r="I70" s="65"/>
      <c r="J70" s="67"/>
      <c r="K70" s="67"/>
      <c r="L70" s="67"/>
      <c r="M70" s="67"/>
      <c r="N70" s="67"/>
      <c r="O70" s="67"/>
      <c r="P70" s="67"/>
      <c r="Q70" s="67"/>
      <c r="R70" s="67"/>
      <c r="S70" s="67"/>
      <c r="T70" s="67"/>
    </row>
    <row r="71" spans="1:20">
      <c r="A71" s="50">
        <v>15</v>
      </c>
      <c r="B71" s="52">
        <v>65000</v>
      </c>
      <c r="C71" s="124">
        <v>7</v>
      </c>
      <c r="D71" s="65">
        <v>75000</v>
      </c>
      <c r="E71" s="11">
        <v>7</v>
      </c>
      <c r="H71" s="65"/>
      <c r="I71" s="65"/>
      <c r="J71" s="67"/>
      <c r="K71" s="67"/>
      <c r="L71" s="67"/>
      <c r="M71" s="67"/>
      <c r="N71" s="67"/>
      <c r="O71" s="67"/>
      <c r="P71" s="67"/>
      <c r="Q71" s="67"/>
      <c r="R71" s="67"/>
      <c r="S71" s="67"/>
      <c r="T71" s="67"/>
    </row>
    <row r="72" spans="1:20">
      <c r="A72" s="50">
        <v>16</v>
      </c>
      <c r="B72" s="52">
        <v>70000</v>
      </c>
      <c r="C72" s="124">
        <v>7</v>
      </c>
      <c r="D72" s="65">
        <v>80000</v>
      </c>
      <c r="E72" s="11">
        <v>7</v>
      </c>
      <c r="H72" s="65"/>
      <c r="I72" s="65"/>
      <c r="J72" s="67"/>
      <c r="K72" s="67"/>
      <c r="L72" s="67"/>
      <c r="M72" s="67"/>
      <c r="N72" s="67"/>
      <c r="O72" s="67"/>
      <c r="P72" s="67"/>
      <c r="Q72" s="67"/>
      <c r="R72" s="67"/>
      <c r="S72" s="67"/>
      <c r="T72" s="67"/>
    </row>
    <row r="73" spans="1:20">
      <c r="A73" s="50">
        <v>17</v>
      </c>
      <c r="B73" s="52">
        <v>75000</v>
      </c>
      <c r="C73" s="124">
        <v>7</v>
      </c>
      <c r="D73" s="65">
        <v>85000</v>
      </c>
      <c r="E73" s="11">
        <v>7</v>
      </c>
      <c r="H73" s="65"/>
      <c r="I73" s="65"/>
      <c r="J73" s="67"/>
      <c r="K73" s="67"/>
      <c r="L73" s="67"/>
      <c r="M73" s="67"/>
      <c r="N73" s="67"/>
      <c r="O73" s="67"/>
      <c r="P73" s="67"/>
      <c r="Q73" s="67"/>
      <c r="R73" s="67"/>
      <c r="S73" s="67"/>
      <c r="T73" s="67"/>
    </row>
    <row r="74" spans="1:20">
      <c r="A74" s="50">
        <v>18</v>
      </c>
      <c r="B74" s="52">
        <v>80000</v>
      </c>
      <c r="C74" s="124">
        <v>7</v>
      </c>
      <c r="D74" s="65">
        <v>90000</v>
      </c>
      <c r="E74" s="11">
        <v>7</v>
      </c>
      <c r="H74" s="65"/>
      <c r="I74" s="65"/>
      <c r="J74" s="67"/>
      <c r="K74" s="67"/>
      <c r="L74" s="67"/>
      <c r="M74" s="67"/>
      <c r="N74" s="67"/>
      <c r="O74" s="67"/>
      <c r="P74" s="67"/>
      <c r="Q74" s="67"/>
      <c r="R74" s="67"/>
      <c r="S74" s="67"/>
      <c r="T74" s="67"/>
    </row>
    <row r="75" spans="1:20">
      <c r="A75" s="50">
        <v>19</v>
      </c>
      <c r="B75" s="52">
        <v>85000</v>
      </c>
      <c r="C75" s="124">
        <v>7</v>
      </c>
      <c r="D75" s="65">
        <v>95000</v>
      </c>
      <c r="E75" s="11">
        <v>7</v>
      </c>
      <c r="H75" s="65"/>
      <c r="I75" s="65"/>
      <c r="J75" s="67"/>
      <c r="K75" s="67"/>
      <c r="L75" s="67"/>
      <c r="M75" s="67"/>
      <c r="N75" s="67"/>
      <c r="O75" s="67"/>
      <c r="P75" s="67"/>
      <c r="Q75" s="67"/>
      <c r="R75" s="67"/>
      <c r="S75" s="67"/>
      <c r="T75" s="67"/>
    </row>
    <row r="76" spans="1:20">
      <c r="A76" s="50">
        <v>20</v>
      </c>
      <c r="B76" s="52">
        <v>90000</v>
      </c>
      <c r="C76" s="124">
        <v>7</v>
      </c>
      <c r="D76" s="65">
        <v>100000</v>
      </c>
      <c r="E76" s="11">
        <v>7</v>
      </c>
      <c r="H76" s="65"/>
      <c r="I76" s="65"/>
      <c r="J76" s="67"/>
      <c r="K76" s="67"/>
      <c r="L76" s="67"/>
      <c r="M76" s="67"/>
      <c r="N76" s="67"/>
      <c r="O76" s="67"/>
      <c r="P76" s="67"/>
      <c r="Q76" s="67"/>
      <c r="R76" s="67"/>
      <c r="S76" s="67"/>
      <c r="T76" s="67"/>
    </row>
    <row r="77" spans="1:20">
      <c r="A77" s="50">
        <v>21</v>
      </c>
      <c r="B77" s="52">
        <v>95000</v>
      </c>
      <c r="C77" s="124">
        <v>7</v>
      </c>
      <c r="D77" s="65">
        <v>105000</v>
      </c>
      <c r="E77" s="11">
        <v>7</v>
      </c>
      <c r="H77" s="65"/>
      <c r="I77" s="65"/>
      <c r="J77" s="67"/>
      <c r="K77" s="67"/>
      <c r="L77" s="67"/>
      <c r="M77" s="67"/>
      <c r="N77" s="67"/>
      <c r="O77" s="67"/>
      <c r="P77" s="67"/>
      <c r="Q77" s="67"/>
      <c r="R77" s="67"/>
      <c r="S77" s="67"/>
      <c r="T77" s="67"/>
    </row>
    <row r="78" spans="1:20">
      <c r="A78" s="50">
        <v>22</v>
      </c>
      <c r="B78" s="52">
        <v>100000</v>
      </c>
      <c r="C78" s="124">
        <v>7</v>
      </c>
      <c r="D78" s="65">
        <v>110000</v>
      </c>
      <c r="E78" s="11">
        <v>7</v>
      </c>
      <c r="H78" s="65"/>
      <c r="I78" s="65"/>
      <c r="J78" s="67"/>
      <c r="K78" s="67"/>
      <c r="L78" s="67"/>
      <c r="M78" s="67"/>
      <c r="N78" s="67"/>
      <c r="O78" s="67"/>
      <c r="P78" s="67"/>
      <c r="Q78" s="67"/>
      <c r="R78" s="67"/>
      <c r="S78" s="67"/>
      <c r="T78" s="67"/>
    </row>
    <row r="79" spans="1:20">
      <c r="A79" s="50">
        <v>23</v>
      </c>
      <c r="B79" s="52">
        <v>105000</v>
      </c>
      <c r="C79" s="124">
        <v>7</v>
      </c>
      <c r="D79" s="65">
        <v>115000</v>
      </c>
      <c r="E79" s="11">
        <v>7</v>
      </c>
      <c r="H79" s="65"/>
      <c r="I79" s="65"/>
      <c r="J79" s="67"/>
      <c r="K79" s="67"/>
      <c r="L79" s="67"/>
      <c r="M79" s="67"/>
      <c r="N79" s="67"/>
      <c r="O79" s="67"/>
      <c r="P79" s="67"/>
      <c r="Q79" s="67"/>
      <c r="R79" s="67"/>
      <c r="S79" s="67"/>
      <c r="T79" s="67"/>
    </row>
    <row r="80" spans="1:20">
      <c r="A80" s="50">
        <v>24</v>
      </c>
      <c r="B80" s="52">
        <v>110000</v>
      </c>
      <c r="C80" s="124">
        <v>7</v>
      </c>
      <c r="D80" s="65">
        <v>120000</v>
      </c>
      <c r="E80" s="11">
        <v>7</v>
      </c>
      <c r="H80" s="65"/>
      <c r="I80" s="65"/>
      <c r="J80" s="67"/>
      <c r="K80" s="67"/>
      <c r="L80" s="67"/>
      <c r="M80" s="67"/>
      <c r="N80" s="67"/>
      <c r="O80" s="67"/>
      <c r="P80" s="67"/>
      <c r="Q80" s="67"/>
      <c r="R80" s="67"/>
      <c r="S80" s="67"/>
      <c r="T80" s="67"/>
    </row>
    <row r="81" spans="1:20">
      <c r="A81" s="50">
        <v>25</v>
      </c>
      <c r="B81" s="52">
        <v>115000</v>
      </c>
      <c r="C81" s="124">
        <v>7</v>
      </c>
      <c r="D81" s="65">
        <v>125000</v>
      </c>
      <c r="E81" s="11">
        <v>7</v>
      </c>
      <c r="H81" s="65"/>
      <c r="I81" s="65"/>
      <c r="J81" s="67"/>
      <c r="K81" s="67"/>
      <c r="L81" s="67"/>
      <c r="M81" s="67"/>
      <c r="N81" s="67"/>
      <c r="O81" s="67"/>
      <c r="P81" s="67"/>
      <c r="Q81" s="67"/>
      <c r="R81" s="67"/>
      <c r="S81" s="67"/>
      <c r="T81" s="67"/>
    </row>
    <row r="82" spans="1:20">
      <c r="A82" s="50">
        <v>26</v>
      </c>
      <c r="B82" s="52">
        <v>120000</v>
      </c>
      <c r="C82" s="124">
        <v>7</v>
      </c>
      <c r="D82" s="65">
        <v>130000</v>
      </c>
      <c r="E82" s="11">
        <v>7</v>
      </c>
      <c r="H82" s="65"/>
      <c r="I82" s="65"/>
      <c r="J82" s="67"/>
      <c r="K82" s="67"/>
      <c r="L82" s="67"/>
      <c r="M82" s="67"/>
      <c r="N82" s="67"/>
      <c r="O82" s="67"/>
      <c r="P82" s="67"/>
      <c r="Q82" s="67"/>
      <c r="R82" s="67"/>
      <c r="S82" s="67"/>
      <c r="T82" s="67"/>
    </row>
    <row r="83" spans="1:20">
      <c r="A83" s="50">
        <v>27</v>
      </c>
      <c r="B83" s="52">
        <v>125000</v>
      </c>
      <c r="C83" s="124">
        <v>7</v>
      </c>
      <c r="D83" s="65">
        <v>135000</v>
      </c>
      <c r="E83" s="11">
        <v>7</v>
      </c>
      <c r="H83" s="65"/>
      <c r="I83" s="65"/>
      <c r="J83" s="67"/>
      <c r="K83" s="67"/>
      <c r="L83" s="67"/>
      <c r="M83" s="67"/>
      <c r="N83" s="67"/>
      <c r="O83" s="67"/>
      <c r="P83" s="67"/>
      <c r="Q83" s="67"/>
      <c r="R83" s="67"/>
      <c r="S83" s="67"/>
      <c r="T83" s="67"/>
    </row>
    <row r="84" spans="1:20">
      <c r="A84" s="50">
        <v>28</v>
      </c>
      <c r="B84" s="52">
        <v>130000</v>
      </c>
      <c r="C84" s="124">
        <v>7</v>
      </c>
      <c r="D84" s="65">
        <v>140000</v>
      </c>
      <c r="E84" s="11">
        <v>7</v>
      </c>
      <c r="H84" s="65"/>
      <c r="I84" s="65"/>
      <c r="J84" s="67"/>
      <c r="K84" s="67"/>
      <c r="L84" s="67"/>
      <c r="M84" s="67"/>
      <c r="N84" s="67"/>
      <c r="O84" s="67"/>
      <c r="P84" s="67"/>
      <c r="Q84" s="67"/>
      <c r="R84" s="67"/>
      <c r="S84" s="67"/>
      <c r="T84" s="67"/>
    </row>
    <row r="85" spans="1:20">
      <c r="A85" s="50">
        <v>29</v>
      </c>
      <c r="B85" s="52">
        <v>135000</v>
      </c>
      <c r="C85" s="124">
        <v>7</v>
      </c>
      <c r="D85" s="65">
        <v>145000</v>
      </c>
      <c r="E85" s="11">
        <v>7</v>
      </c>
      <c r="H85" s="65"/>
      <c r="I85" s="65"/>
      <c r="J85" s="67"/>
      <c r="K85" s="67"/>
      <c r="L85" s="67"/>
      <c r="M85" s="67"/>
      <c r="N85" s="67"/>
      <c r="O85" s="67"/>
      <c r="P85" s="67"/>
      <c r="Q85" s="67"/>
      <c r="R85" s="67"/>
      <c r="S85" s="67"/>
      <c r="T85" s="67"/>
    </row>
    <row r="86" spans="1:20">
      <c r="A86" s="50">
        <v>30</v>
      </c>
      <c r="B86" s="52">
        <v>140000</v>
      </c>
      <c r="C86" s="124">
        <v>7</v>
      </c>
      <c r="D86" s="65">
        <v>150000</v>
      </c>
      <c r="E86" s="11">
        <v>7</v>
      </c>
      <c r="H86" s="65"/>
      <c r="I86" s="65"/>
      <c r="J86" s="67"/>
      <c r="K86" s="67"/>
      <c r="L86" s="67"/>
      <c r="M86" s="67"/>
      <c r="N86" s="67"/>
      <c r="O86" s="67"/>
      <c r="P86" s="67"/>
      <c r="Q86" s="67"/>
      <c r="R86" s="67"/>
      <c r="S86" s="67"/>
      <c r="T86" s="67"/>
    </row>
    <row r="87" spans="1:20">
      <c r="A87" s="50">
        <v>31</v>
      </c>
      <c r="B87" s="52">
        <v>145000</v>
      </c>
      <c r="C87" s="124">
        <v>7</v>
      </c>
      <c r="D87" s="65">
        <v>155000</v>
      </c>
      <c r="E87" s="11">
        <v>7</v>
      </c>
      <c r="H87" s="65"/>
      <c r="I87" s="65"/>
      <c r="J87" s="67"/>
      <c r="K87" s="67"/>
      <c r="L87" s="67"/>
      <c r="M87" s="67"/>
      <c r="N87" s="67"/>
      <c r="O87" s="67"/>
      <c r="P87" s="67"/>
      <c r="Q87" s="67"/>
      <c r="R87" s="67"/>
      <c r="S87" s="67"/>
      <c r="T87" s="67"/>
    </row>
    <row r="88" spans="1:20">
      <c r="A88" s="50">
        <v>32</v>
      </c>
      <c r="B88" s="52">
        <v>150000</v>
      </c>
      <c r="C88" s="124">
        <v>7</v>
      </c>
      <c r="D88" s="65">
        <v>160000</v>
      </c>
      <c r="E88" s="11">
        <v>7</v>
      </c>
      <c r="H88" s="65"/>
      <c r="I88" s="65"/>
      <c r="J88" s="67"/>
      <c r="K88" s="67"/>
      <c r="L88" s="67"/>
      <c r="M88" s="67"/>
      <c r="N88" s="67"/>
      <c r="O88" s="67"/>
      <c r="P88" s="67"/>
      <c r="Q88" s="67"/>
      <c r="R88" s="67"/>
      <c r="S88" s="67"/>
      <c r="T88" s="67"/>
    </row>
    <row r="89" spans="1:20">
      <c r="A89" s="50">
        <v>33</v>
      </c>
      <c r="B89" s="52">
        <v>155000</v>
      </c>
      <c r="C89" s="124">
        <v>7</v>
      </c>
      <c r="D89" s="65">
        <v>165000</v>
      </c>
      <c r="E89" s="11">
        <v>7</v>
      </c>
      <c r="H89" s="65"/>
      <c r="I89" s="65"/>
      <c r="J89" s="67"/>
      <c r="K89" s="67"/>
      <c r="L89" s="67"/>
      <c r="M89" s="67"/>
      <c r="N89" s="67"/>
      <c r="O89" s="67"/>
      <c r="P89" s="67"/>
      <c r="Q89" s="67"/>
      <c r="R89" s="67"/>
      <c r="S89" s="67"/>
      <c r="T89" s="67"/>
    </row>
    <row r="90" spans="1:20">
      <c r="A90" s="50">
        <v>34</v>
      </c>
      <c r="B90" s="52">
        <v>160000</v>
      </c>
      <c r="C90" s="124">
        <v>7</v>
      </c>
      <c r="D90" s="65">
        <v>170000</v>
      </c>
      <c r="E90" s="11">
        <v>7</v>
      </c>
      <c r="H90" s="65"/>
      <c r="I90" s="65"/>
      <c r="J90" s="67"/>
      <c r="K90" s="67"/>
      <c r="L90" s="67"/>
      <c r="M90" s="67"/>
      <c r="N90" s="67"/>
      <c r="O90" s="67"/>
      <c r="P90" s="67"/>
      <c r="Q90" s="67"/>
      <c r="R90" s="67"/>
      <c r="S90" s="67"/>
      <c r="T90" s="67"/>
    </row>
    <row r="91" spans="1:20">
      <c r="A91" s="50">
        <v>35</v>
      </c>
      <c r="B91" s="52">
        <v>165000</v>
      </c>
      <c r="C91" s="124">
        <v>7</v>
      </c>
      <c r="D91" s="65">
        <v>175000</v>
      </c>
      <c r="E91" s="11">
        <v>7</v>
      </c>
      <c r="H91" s="65"/>
      <c r="I91" s="65"/>
      <c r="J91" s="67"/>
      <c r="K91" s="67"/>
      <c r="L91" s="67"/>
      <c r="M91" s="67"/>
      <c r="N91" s="67"/>
      <c r="O91" s="67"/>
      <c r="P91" s="67"/>
      <c r="Q91" s="67"/>
      <c r="R91" s="67"/>
      <c r="S91" s="67"/>
      <c r="T91" s="67"/>
    </row>
    <row r="92" spans="1:20">
      <c r="A92" s="50">
        <v>36</v>
      </c>
      <c r="B92" s="52">
        <v>170000</v>
      </c>
      <c r="C92" s="124">
        <v>7</v>
      </c>
      <c r="D92" s="65">
        <v>180000</v>
      </c>
      <c r="E92" s="11">
        <v>7</v>
      </c>
      <c r="H92" s="65"/>
      <c r="I92" s="65"/>
      <c r="J92" s="67"/>
      <c r="K92" s="67"/>
      <c r="L92" s="67"/>
      <c r="M92" s="67"/>
      <c r="N92" s="67"/>
      <c r="O92" s="67"/>
      <c r="P92" s="67"/>
      <c r="Q92" s="67"/>
      <c r="R92" s="67"/>
      <c r="S92" s="67"/>
      <c r="T92" s="67"/>
    </row>
    <row r="93" spans="1:20">
      <c r="A93" s="50">
        <v>37</v>
      </c>
      <c r="B93" s="52">
        <v>175000</v>
      </c>
      <c r="C93" s="124">
        <v>7</v>
      </c>
      <c r="D93" s="65">
        <v>185000</v>
      </c>
      <c r="E93" s="11">
        <v>7</v>
      </c>
      <c r="H93" s="65"/>
      <c r="I93" s="65"/>
      <c r="J93" s="67"/>
      <c r="K93" s="67"/>
      <c r="L93" s="67"/>
      <c r="M93" s="67"/>
      <c r="N93" s="67"/>
      <c r="O93" s="67"/>
      <c r="P93" s="67"/>
      <c r="Q93" s="67"/>
      <c r="R93" s="67"/>
      <c r="S93" s="67"/>
      <c r="T93" s="67"/>
    </row>
    <row r="94" spans="1:20">
      <c r="A94" s="50">
        <v>38</v>
      </c>
      <c r="B94" s="52">
        <v>180000</v>
      </c>
      <c r="C94" s="124">
        <v>7</v>
      </c>
      <c r="D94" s="65">
        <v>190000</v>
      </c>
      <c r="E94" s="11">
        <v>7</v>
      </c>
      <c r="H94" s="65"/>
      <c r="I94" s="65"/>
      <c r="J94" s="67"/>
      <c r="K94" s="67"/>
      <c r="L94" s="67"/>
      <c r="M94" s="67"/>
      <c r="N94" s="67"/>
      <c r="O94" s="67"/>
      <c r="P94" s="67"/>
      <c r="Q94" s="67"/>
      <c r="R94" s="67"/>
      <c r="S94" s="67"/>
      <c r="T94" s="67"/>
    </row>
    <row r="95" spans="1:20">
      <c r="A95" s="50">
        <v>39</v>
      </c>
      <c r="B95" s="52">
        <v>185000</v>
      </c>
      <c r="C95" s="124">
        <v>7</v>
      </c>
      <c r="D95" s="65">
        <v>195000</v>
      </c>
      <c r="E95" s="11">
        <v>7</v>
      </c>
      <c r="H95" s="65"/>
      <c r="I95" s="65"/>
      <c r="J95" s="67"/>
      <c r="K95" s="67"/>
      <c r="L95" s="67"/>
      <c r="M95" s="67"/>
      <c r="N95" s="67"/>
      <c r="O95" s="67"/>
      <c r="P95" s="67"/>
      <c r="Q95" s="67"/>
      <c r="R95" s="67"/>
      <c r="S95" s="67"/>
      <c r="T95" s="67"/>
    </row>
    <row r="96" spans="1:20">
      <c r="A96" s="50">
        <v>40</v>
      </c>
      <c r="B96" s="52">
        <v>190000</v>
      </c>
      <c r="C96" s="124">
        <v>7</v>
      </c>
      <c r="D96" s="65">
        <v>200000</v>
      </c>
      <c r="E96" s="11">
        <v>7</v>
      </c>
      <c r="H96" s="65"/>
      <c r="I96" s="65"/>
      <c r="J96" s="67"/>
      <c r="K96" s="67"/>
      <c r="L96" s="67"/>
      <c r="M96" s="67"/>
      <c r="N96" s="67"/>
      <c r="O96" s="67"/>
      <c r="P96" s="67"/>
      <c r="Q96" s="67"/>
      <c r="R96" s="67"/>
      <c r="S96" s="67"/>
      <c r="T96" s="67"/>
    </row>
    <row r="97" spans="1:27" ht="16" thickBot="1"/>
    <row r="98" spans="1:27" ht="32" thickTop="1" thickBot="1">
      <c r="A98" s="364" t="s">
        <v>274</v>
      </c>
      <c r="B98" s="365"/>
      <c r="C98" s="365"/>
      <c r="D98" s="365"/>
      <c r="E98" s="365"/>
      <c r="F98" s="365"/>
      <c r="G98" s="365"/>
      <c r="H98" s="365"/>
      <c r="I98" s="365"/>
      <c r="J98" s="365"/>
      <c r="K98" s="365"/>
      <c r="L98" s="365"/>
      <c r="M98" s="365"/>
      <c r="N98" s="365"/>
      <c r="O98" s="365"/>
      <c r="P98" s="365"/>
      <c r="Q98" s="365"/>
      <c r="R98" s="365"/>
      <c r="S98" s="365"/>
      <c r="T98" s="365"/>
      <c r="U98" s="365"/>
      <c r="V98" s="365"/>
      <c r="W98" s="365"/>
      <c r="X98" s="365"/>
      <c r="Y98" s="365"/>
      <c r="Z98" s="365"/>
      <c r="AA98" s="366"/>
    </row>
    <row r="99" spans="1:27" ht="16" thickTop="1"/>
    <row r="100" spans="1:27">
      <c r="A100" s="32" t="s">
        <v>244</v>
      </c>
      <c r="D100" s="32" t="s">
        <v>2</v>
      </c>
      <c r="G100" s="11" t="s">
        <v>19</v>
      </c>
    </row>
    <row r="101" spans="1:27">
      <c r="A101" s="11" t="s">
        <v>145</v>
      </c>
      <c r="B101" s="11" t="s">
        <v>155</v>
      </c>
      <c r="D101" s="11" t="s">
        <v>145</v>
      </c>
      <c r="E101" s="11" t="s">
        <v>155</v>
      </c>
      <c r="G101" s="11" t="s">
        <v>145</v>
      </c>
      <c r="H101" s="11" t="s">
        <v>155</v>
      </c>
    </row>
    <row r="102" spans="1:27">
      <c r="A102" s="11">
        <v>1</v>
      </c>
      <c r="B102" s="11">
        <v>20</v>
      </c>
      <c r="D102" s="11">
        <v>1</v>
      </c>
      <c r="E102" s="11">
        <v>20</v>
      </c>
      <c r="G102" s="11">
        <v>1</v>
      </c>
      <c r="H102" s="11">
        <v>40</v>
      </c>
    </row>
    <row r="103" spans="1:27">
      <c r="A103" s="11">
        <v>2</v>
      </c>
      <c r="B103" s="11">
        <v>30</v>
      </c>
      <c r="D103" s="11">
        <v>2</v>
      </c>
      <c r="E103" s="11">
        <v>25</v>
      </c>
      <c r="G103" s="11">
        <v>2</v>
      </c>
      <c r="H103" s="11">
        <v>50</v>
      </c>
    </row>
    <row r="104" spans="1:27">
      <c r="A104" s="11">
        <v>3</v>
      </c>
      <c r="B104" s="11">
        <v>35</v>
      </c>
      <c r="D104" s="11">
        <v>3</v>
      </c>
      <c r="E104" s="11">
        <v>30</v>
      </c>
      <c r="G104" s="11">
        <v>3</v>
      </c>
      <c r="H104" s="11">
        <v>60</v>
      </c>
    </row>
    <row r="105" spans="1:27">
      <c r="A105" s="11">
        <v>4</v>
      </c>
      <c r="B105" s="11">
        <v>40</v>
      </c>
      <c r="D105" s="11">
        <v>4</v>
      </c>
      <c r="E105" s="11">
        <v>35</v>
      </c>
      <c r="G105" s="11">
        <v>4</v>
      </c>
      <c r="H105" s="11">
        <v>70</v>
      </c>
    </row>
    <row r="106" spans="1:27">
      <c r="A106" s="11">
        <v>5</v>
      </c>
      <c r="B106" s="11">
        <v>45</v>
      </c>
      <c r="D106" s="11">
        <v>5</v>
      </c>
      <c r="E106" s="11">
        <v>40</v>
      </c>
      <c r="G106" s="11">
        <v>5</v>
      </c>
      <c r="H106" s="11">
        <v>80</v>
      </c>
    </row>
    <row r="107" spans="1:27">
      <c r="A107" s="11">
        <v>6</v>
      </c>
      <c r="B107" s="11">
        <v>50</v>
      </c>
      <c r="D107" s="11">
        <v>6</v>
      </c>
      <c r="E107" s="11">
        <v>45</v>
      </c>
    </row>
    <row r="108" spans="1:27">
      <c r="A108" s="11">
        <v>7</v>
      </c>
      <c r="B108" s="11">
        <v>55</v>
      </c>
      <c r="D108" s="11">
        <v>7</v>
      </c>
      <c r="E108" s="11">
        <v>50</v>
      </c>
    </row>
    <row r="109" spans="1:27">
      <c r="A109" s="11">
        <v>8</v>
      </c>
      <c r="B109" s="11">
        <v>60</v>
      </c>
      <c r="D109" s="11">
        <v>8</v>
      </c>
      <c r="E109" s="11">
        <v>55</v>
      </c>
    </row>
    <row r="110" spans="1:27">
      <c r="D110" s="50">
        <v>9</v>
      </c>
      <c r="E110" s="50">
        <v>60</v>
      </c>
    </row>
    <row r="111" spans="1:27">
      <c r="D111" s="50">
        <v>10</v>
      </c>
      <c r="E111" s="50">
        <v>75</v>
      </c>
    </row>
    <row r="112" spans="1:27" ht="16" thickBot="1"/>
    <row r="113" spans="1:27" ht="32" thickTop="1" thickBot="1">
      <c r="A113" s="367" t="s">
        <v>152</v>
      </c>
      <c r="B113" s="368"/>
      <c r="C113" s="368"/>
      <c r="D113" s="368"/>
      <c r="E113" s="368"/>
      <c r="F113" s="368"/>
      <c r="G113" s="368"/>
      <c r="H113" s="368"/>
      <c r="I113" s="368"/>
      <c r="J113" s="368"/>
      <c r="K113" s="368"/>
      <c r="L113" s="368"/>
      <c r="M113" s="368"/>
      <c r="N113" s="368"/>
      <c r="O113" s="368"/>
      <c r="P113" s="368"/>
      <c r="Q113" s="368"/>
      <c r="R113" s="368"/>
      <c r="S113" s="368"/>
      <c r="T113" s="368"/>
      <c r="U113" s="368"/>
      <c r="V113" s="368"/>
      <c r="W113" s="368"/>
      <c r="X113" s="368"/>
      <c r="Y113" s="368"/>
      <c r="Z113" s="368"/>
      <c r="AA113" s="369"/>
    </row>
    <row r="114" spans="1:27" ht="16" thickTop="1">
      <c r="A114" s="11" t="s">
        <v>146</v>
      </c>
      <c r="B114" s="11" t="s">
        <v>138</v>
      </c>
      <c r="C114" s="11" t="s">
        <v>30</v>
      </c>
      <c r="D114" s="11" t="s">
        <v>147</v>
      </c>
      <c r="E114" s="11" t="s">
        <v>148</v>
      </c>
      <c r="F114" s="11" t="s">
        <v>32</v>
      </c>
      <c r="G114" s="11" t="s">
        <v>33</v>
      </c>
      <c r="H114" s="11" t="s">
        <v>34</v>
      </c>
      <c r="I114" s="11" t="s">
        <v>35</v>
      </c>
      <c r="J114" s="11" t="s">
        <v>36</v>
      </c>
      <c r="K114" s="11" t="s">
        <v>37</v>
      </c>
    </row>
    <row r="115" spans="1:27">
      <c r="A115" s="11" t="s">
        <v>82</v>
      </c>
      <c r="B115" s="11" t="s">
        <v>143</v>
      </c>
      <c r="C115" s="11" t="s">
        <v>1</v>
      </c>
      <c r="D115" s="69">
        <v>0.33333333333333331</v>
      </c>
      <c r="E115" s="11">
        <v>1</v>
      </c>
      <c r="F115" s="47">
        <v>25</v>
      </c>
      <c r="G115" s="47">
        <v>40</v>
      </c>
      <c r="H115" s="47">
        <v>60</v>
      </c>
      <c r="I115" s="47">
        <v>80</v>
      </c>
      <c r="J115" s="47">
        <v>100</v>
      </c>
      <c r="K115" s="47">
        <v>150</v>
      </c>
    </row>
    <row r="116" spans="1:27">
      <c r="A116" s="11" t="s">
        <v>83</v>
      </c>
      <c r="B116" s="11" t="s">
        <v>143</v>
      </c>
      <c r="C116" s="11" t="s">
        <v>1</v>
      </c>
      <c r="D116" s="69">
        <v>0.41666666666666669</v>
      </c>
      <c r="E116" s="11">
        <v>1</v>
      </c>
      <c r="F116" s="47">
        <v>50</v>
      </c>
      <c r="G116" s="47">
        <v>80</v>
      </c>
      <c r="H116" s="47">
        <v>120</v>
      </c>
      <c r="I116" s="47">
        <v>160</v>
      </c>
      <c r="J116" s="47">
        <v>200</v>
      </c>
      <c r="K116" s="47">
        <v>300</v>
      </c>
    </row>
    <row r="117" spans="1:27">
      <c r="A117" s="11" t="s">
        <v>84</v>
      </c>
      <c r="B117" s="11" t="s">
        <v>143</v>
      </c>
      <c r="C117" s="11" t="s">
        <v>1</v>
      </c>
      <c r="D117" s="69">
        <v>0.5</v>
      </c>
      <c r="E117" s="11">
        <v>1</v>
      </c>
      <c r="F117" s="47">
        <v>25</v>
      </c>
      <c r="G117" s="47">
        <v>40</v>
      </c>
      <c r="H117" s="47">
        <v>60</v>
      </c>
      <c r="I117" s="47">
        <v>80</v>
      </c>
      <c r="J117" s="47">
        <v>100</v>
      </c>
      <c r="K117" s="47">
        <v>150</v>
      </c>
    </row>
    <row r="118" spans="1:27">
      <c r="A118" s="11" t="s">
        <v>85</v>
      </c>
      <c r="B118" s="11" t="s">
        <v>143</v>
      </c>
      <c r="C118" s="11" t="s">
        <v>1</v>
      </c>
      <c r="D118" s="69">
        <v>2</v>
      </c>
      <c r="E118" s="11">
        <v>5</v>
      </c>
      <c r="F118" s="47">
        <v>500</v>
      </c>
      <c r="G118" s="47">
        <v>1000</v>
      </c>
      <c r="H118" s="47">
        <v>1500</v>
      </c>
      <c r="I118" s="47">
        <v>2000</v>
      </c>
      <c r="J118" s="47">
        <v>2500</v>
      </c>
      <c r="K118" s="47">
        <v>3000</v>
      </c>
    </row>
    <row r="119" spans="1:27">
      <c r="A119" s="11" t="s">
        <v>86</v>
      </c>
      <c r="B119" s="11" t="s">
        <v>143</v>
      </c>
      <c r="C119" s="11" t="s">
        <v>1</v>
      </c>
      <c r="D119" s="69">
        <v>2</v>
      </c>
      <c r="E119" s="11">
        <v>2</v>
      </c>
      <c r="F119" s="47">
        <v>1000</v>
      </c>
      <c r="G119" s="47">
        <v>1500</v>
      </c>
      <c r="H119" s="47">
        <v>2000</v>
      </c>
      <c r="I119" s="47">
        <v>2500</v>
      </c>
      <c r="J119" s="47">
        <v>3000</v>
      </c>
      <c r="K119" s="47">
        <v>3500</v>
      </c>
    </row>
    <row r="120" spans="1:27">
      <c r="A120" s="11" t="s">
        <v>87</v>
      </c>
      <c r="B120" s="11" t="s">
        <v>143</v>
      </c>
      <c r="C120" s="11" t="s">
        <v>1</v>
      </c>
      <c r="D120" s="69">
        <v>8</v>
      </c>
      <c r="E120" s="11">
        <v>5</v>
      </c>
      <c r="F120" s="47">
        <v>2000</v>
      </c>
      <c r="G120" s="47">
        <v>2500</v>
      </c>
      <c r="H120" s="47">
        <v>3000</v>
      </c>
      <c r="I120" s="47">
        <v>3500</v>
      </c>
      <c r="J120" s="47">
        <v>4000</v>
      </c>
      <c r="K120" s="47">
        <v>4500</v>
      </c>
    </row>
    <row r="121" spans="1:27">
      <c r="A121" s="11" t="s">
        <v>88</v>
      </c>
      <c r="B121" s="11" t="s">
        <v>143</v>
      </c>
      <c r="C121" s="11" t="s">
        <v>1</v>
      </c>
      <c r="D121" s="69">
        <v>8</v>
      </c>
      <c r="E121" s="11">
        <v>4</v>
      </c>
      <c r="F121" s="47">
        <v>1500</v>
      </c>
      <c r="G121" s="47">
        <v>2000</v>
      </c>
      <c r="H121" s="47">
        <v>2500</v>
      </c>
      <c r="I121" s="47">
        <v>3000</v>
      </c>
      <c r="J121" s="47">
        <v>3500</v>
      </c>
      <c r="K121" s="47">
        <v>4000</v>
      </c>
    </row>
    <row r="122" spans="1:27">
      <c r="A122" s="11" t="s">
        <v>89</v>
      </c>
      <c r="B122" s="11" t="s">
        <v>143</v>
      </c>
      <c r="C122" s="11" t="s">
        <v>1</v>
      </c>
      <c r="D122" s="69">
        <v>15</v>
      </c>
      <c r="E122" s="11">
        <v>14</v>
      </c>
      <c r="F122" s="47">
        <v>5000</v>
      </c>
      <c r="G122" s="47">
        <v>6000</v>
      </c>
      <c r="H122" s="47">
        <v>8000</v>
      </c>
      <c r="I122" s="47">
        <v>10000</v>
      </c>
      <c r="J122" s="65" t="e">
        <v>#N/A</v>
      </c>
      <c r="K122" s="65" t="e">
        <v>#N/A</v>
      </c>
    </row>
    <row r="123" spans="1:27">
      <c r="A123" s="11" t="s">
        <v>90</v>
      </c>
      <c r="B123" s="11" t="s">
        <v>143</v>
      </c>
      <c r="C123" s="11" t="s">
        <v>1</v>
      </c>
      <c r="D123" s="69">
        <v>30</v>
      </c>
      <c r="E123" s="11">
        <v>20</v>
      </c>
      <c r="F123" s="47">
        <v>25000</v>
      </c>
      <c r="G123" s="47">
        <v>30000</v>
      </c>
      <c r="H123" s="47">
        <v>36000</v>
      </c>
      <c r="I123" s="47">
        <v>42000</v>
      </c>
      <c r="J123" s="65" t="e">
        <v>#N/A</v>
      </c>
      <c r="K123" s="65" t="e">
        <v>#N/A</v>
      </c>
    </row>
    <row r="124" spans="1:27">
      <c r="A124" s="11" t="s">
        <v>91</v>
      </c>
      <c r="B124" s="11" t="s">
        <v>143</v>
      </c>
      <c r="C124" s="11" t="s">
        <v>1</v>
      </c>
      <c r="D124" s="69">
        <v>45</v>
      </c>
      <c r="E124" s="11">
        <v>25</v>
      </c>
      <c r="F124" s="47">
        <v>30000</v>
      </c>
      <c r="G124" s="47">
        <v>35000</v>
      </c>
      <c r="H124" s="47">
        <v>42000</v>
      </c>
      <c r="I124" s="47">
        <v>45000</v>
      </c>
      <c r="J124" s="65">
        <v>50000</v>
      </c>
      <c r="K124" s="65" t="e">
        <v>#N/A</v>
      </c>
    </row>
    <row r="125" spans="1:27">
      <c r="A125" s="11" t="s">
        <v>92</v>
      </c>
      <c r="B125" s="11" t="s">
        <v>144</v>
      </c>
      <c r="C125" s="11" t="s">
        <v>1</v>
      </c>
      <c r="D125" s="69">
        <v>30</v>
      </c>
      <c r="E125" s="11">
        <v>1</v>
      </c>
      <c r="F125" s="47">
        <v>15000</v>
      </c>
      <c r="G125" s="47">
        <v>16500</v>
      </c>
      <c r="H125" s="47">
        <v>18000</v>
      </c>
      <c r="I125" s="47">
        <v>20000</v>
      </c>
      <c r="J125" s="47">
        <v>22000</v>
      </c>
      <c r="K125" s="47">
        <v>24000</v>
      </c>
    </row>
    <row r="126" spans="1:27">
      <c r="A126" s="11" t="s">
        <v>93</v>
      </c>
      <c r="B126" s="11" t="s">
        <v>144</v>
      </c>
      <c r="C126" s="11" t="s">
        <v>1</v>
      </c>
      <c r="D126" s="69">
        <v>30</v>
      </c>
      <c r="E126" s="11">
        <v>1</v>
      </c>
      <c r="F126" s="47">
        <v>15000</v>
      </c>
      <c r="G126" s="47">
        <v>165000</v>
      </c>
      <c r="H126" s="47">
        <v>18000</v>
      </c>
      <c r="I126" s="47">
        <v>20000</v>
      </c>
      <c r="J126" s="47">
        <v>22000</v>
      </c>
      <c r="K126" s="47">
        <v>24000</v>
      </c>
    </row>
    <row r="127" spans="1:27">
      <c r="A127" s="11" t="s">
        <v>94</v>
      </c>
      <c r="B127" s="11" t="s">
        <v>144</v>
      </c>
      <c r="C127" s="11" t="s">
        <v>1</v>
      </c>
      <c r="D127" s="69">
        <v>45</v>
      </c>
      <c r="E127" s="11">
        <v>1</v>
      </c>
      <c r="F127" s="47">
        <v>23000</v>
      </c>
      <c r="G127" s="47">
        <v>25000</v>
      </c>
      <c r="H127" s="47">
        <v>27000</v>
      </c>
      <c r="I127" s="47">
        <v>30000</v>
      </c>
      <c r="J127" s="47">
        <v>33000</v>
      </c>
      <c r="K127" s="65" t="e">
        <v>#N/A</v>
      </c>
    </row>
    <row r="128" spans="1:27">
      <c r="A128" s="11" t="s">
        <v>95</v>
      </c>
      <c r="B128" s="11" t="s">
        <v>144</v>
      </c>
      <c r="C128" s="11" t="s">
        <v>1</v>
      </c>
      <c r="D128" s="69">
        <v>45</v>
      </c>
      <c r="E128" s="11">
        <v>1</v>
      </c>
      <c r="F128" s="47">
        <v>23000</v>
      </c>
      <c r="G128" s="47">
        <v>27000</v>
      </c>
      <c r="H128" s="65">
        <v>31000</v>
      </c>
      <c r="I128" s="65" t="e">
        <v>#N/A</v>
      </c>
      <c r="J128" s="65" t="e">
        <v>#N/A</v>
      </c>
      <c r="K128" s="65" t="e">
        <v>#N/A</v>
      </c>
    </row>
    <row r="129" spans="1:27">
      <c r="A129" s="11" t="s">
        <v>96</v>
      </c>
      <c r="B129" s="11" t="s">
        <v>144</v>
      </c>
      <c r="C129" s="11" t="s">
        <v>1</v>
      </c>
      <c r="D129" s="69">
        <v>45</v>
      </c>
      <c r="E129" s="11">
        <v>1</v>
      </c>
      <c r="F129" s="47">
        <v>26000</v>
      </c>
      <c r="G129" s="47">
        <v>29000</v>
      </c>
      <c r="H129" s="47">
        <v>31000</v>
      </c>
      <c r="I129" s="47">
        <v>33000</v>
      </c>
      <c r="J129" s="47">
        <v>35000</v>
      </c>
      <c r="K129" s="65" t="e">
        <v>#N/A</v>
      </c>
    </row>
    <row r="130" spans="1:27">
      <c r="A130" s="11" t="s">
        <v>97</v>
      </c>
      <c r="B130" s="11" t="s">
        <v>143</v>
      </c>
      <c r="C130" s="11" t="s">
        <v>102</v>
      </c>
      <c r="D130" s="69">
        <v>0.75</v>
      </c>
      <c r="E130" s="11">
        <v>2</v>
      </c>
      <c r="F130" s="47">
        <v>6</v>
      </c>
      <c r="G130" s="47">
        <v>7</v>
      </c>
      <c r="H130" s="47">
        <v>8</v>
      </c>
      <c r="I130" s="47">
        <v>9</v>
      </c>
      <c r="J130" s="47">
        <v>10</v>
      </c>
      <c r="K130" s="47">
        <v>11</v>
      </c>
    </row>
    <row r="131" spans="1:27">
      <c r="A131" s="11" t="s">
        <v>98</v>
      </c>
      <c r="B131" s="11" t="s">
        <v>143</v>
      </c>
      <c r="C131" s="11" t="s">
        <v>102</v>
      </c>
      <c r="D131" s="69">
        <v>2</v>
      </c>
      <c r="E131" s="11">
        <v>5</v>
      </c>
      <c r="F131" s="47">
        <v>40</v>
      </c>
      <c r="G131" s="47">
        <v>45</v>
      </c>
      <c r="H131" s="47">
        <v>52</v>
      </c>
      <c r="I131" s="47">
        <v>58</v>
      </c>
      <c r="J131" s="47">
        <v>65</v>
      </c>
      <c r="K131" s="65" t="e">
        <v>#N/A</v>
      </c>
    </row>
    <row r="132" spans="1:27">
      <c r="A132" s="11" t="s">
        <v>99</v>
      </c>
      <c r="B132" s="11" t="s">
        <v>143</v>
      </c>
      <c r="C132" s="11" t="s">
        <v>102</v>
      </c>
      <c r="D132" s="69">
        <v>15</v>
      </c>
      <c r="E132" s="11">
        <v>8</v>
      </c>
      <c r="F132" s="47">
        <v>70</v>
      </c>
      <c r="G132" s="47">
        <v>100</v>
      </c>
      <c r="H132" s="47">
        <v>130</v>
      </c>
      <c r="I132" s="47">
        <v>160</v>
      </c>
      <c r="J132" s="65" t="e">
        <v>#N/A</v>
      </c>
      <c r="K132" s="65" t="e">
        <v>#N/A</v>
      </c>
    </row>
    <row r="133" spans="1:27">
      <c r="A133" s="11" t="s">
        <v>100</v>
      </c>
      <c r="B133" s="11" t="s">
        <v>143</v>
      </c>
      <c r="C133" s="11" t="s">
        <v>102</v>
      </c>
      <c r="D133" s="69">
        <v>45</v>
      </c>
      <c r="E133" s="11">
        <v>30</v>
      </c>
      <c r="F133" s="47">
        <v>450</v>
      </c>
      <c r="G133" s="47">
        <v>525</v>
      </c>
      <c r="H133" s="47">
        <v>600</v>
      </c>
      <c r="I133" s="47">
        <v>675</v>
      </c>
      <c r="J133" s="47">
        <v>750</v>
      </c>
      <c r="K133" s="65" t="e">
        <v>#N/A</v>
      </c>
    </row>
    <row r="134" spans="1:27">
      <c r="A134" s="11" t="s">
        <v>101</v>
      </c>
      <c r="B134" s="11" t="s">
        <v>143</v>
      </c>
      <c r="C134" s="11" t="s">
        <v>102</v>
      </c>
      <c r="D134" s="69">
        <v>20</v>
      </c>
      <c r="E134" s="11">
        <v>12</v>
      </c>
      <c r="F134" s="47">
        <v>250</v>
      </c>
      <c r="G134" s="47">
        <v>350</v>
      </c>
      <c r="H134" s="65" t="e">
        <v>#N/A</v>
      </c>
      <c r="I134" s="65" t="e">
        <v>#N/A</v>
      </c>
      <c r="J134" s="65" t="e">
        <v>#N/A</v>
      </c>
      <c r="K134" s="65" t="e">
        <v>#N/A</v>
      </c>
    </row>
    <row r="136" spans="1:27" ht="16" thickBot="1"/>
    <row r="137" spans="1:27" ht="32" thickTop="1" thickBot="1">
      <c r="A137" s="364" t="s">
        <v>103</v>
      </c>
      <c r="B137" s="365"/>
      <c r="C137" s="365"/>
      <c r="D137" s="365"/>
      <c r="E137" s="365"/>
      <c r="F137" s="365"/>
      <c r="G137" s="365"/>
      <c r="H137" s="365"/>
      <c r="I137" s="365"/>
      <c r="J137" s="365"/>
      <c r="K137" s="365"/>
      <c r="L137" s="365"/>
      <c r="M137" s="365"/>
      <c r="N137" s="365"/>
      <c r="O137" s="365"/>
      <c r="P137" s="365"/>
      <c r="Q137" s="365"/>
      <c r="R137" s="365"/>
      <c r="S137" s="365"/>
      <c r="T137" s="365"/>
      <c r="U137" s="365"/>
      <c r="V137" s="365"/>
      <c r="W137" s="365"/>
      <c r="X137" s="365"/>
      <c r="Y137" s="365"/>
      <c r="Z137" s="365"/>
      <c r="AA137" s="366"/>
    </row>
    <row r="138" spans="1:27" ht="16" thickTop="1">
      <c r="A138" s="11" t="s">
        <v>103</v>
      </c>
      <c r="B138" s="11" t="s">
        <v>72</v>
      </c>
      <c r="C138" s="11" t="s">
        <v>73</v>
      </c>
      <c r="D138" s="11" t="s">
        <v>74</v>
      </c>
      <c r="E138" s="11" t="s">
        <v>75</v>
      </c>
      <c r="F138" s="11" t="s">
        <v>76</v>
      </c>
      <c r="G138" s="11" t="s">
        <v>77</v>
      </c>
      <c r="H138" s="11" t="s">
        <v>78</v>
      </c>
      <c r="I138" s="11" t="s">
        <v>79</v>
      </c>
      <c r="J138" s="11" t="s">
        <v>81</v>
      </c>
      <c r="K138" s="11" t="s">
        <v>80</v>
      </c>
    </row>
    <row r="139" spans="1:27">
      <c r="A139" s="11" t="s">
        <v>13</v>
      </c>
      <c r="B139" s="11">
        <v>1</v>
      </c>
      <c r="C139" s="11">
        <v>1</v>
      </c>
      <c r="D139" s="11">
        <v>1</v>
      </c>
      <c r="E139" s="11">
        <v>1</v>
      </c>
      <c r="F139" s="11">
        <v>1</v>
      </c>
      <c r="G139" s="11">
        <v>1</v>
      </c>
      <c r="H139" s="11">
        <v>1</v>
      </c>
      <c r="I139" s="11">
        <v>1</v>
      </c>
      <c r="J139" s="11">
        <v>1</v>
      </c>
      <c r="K139" s="11">
        <v>1</v>
      </c>
    </row>
    <row r="140" spans="1:27">
      <c r="A140" s="11" t="s">
        <v>20</v>
      </c>
      <c r="B140" s="11">
        <v>0</v>
      </c>
      <c r="C140" s="11">
        <v>0</v>
      </c>
      <c r="D140" s="11">
        <v>1</v>
      </c>
      <c r="E140" s="11">
        <v>1</v>
      </c>
      <c r="F140" s="11">
        <v>1</v>
      </c>
      <c r="G140" s="11">
        <v>1</v>
      </c>
      <c r="H140" s="11">
        <v>1</v>
      </c>
      <c r="I140" s="11">
        <v>1</v>
      </c>
      <c r="J140" s="11">
        <v>1</v>
      </c>
      <c r="K140" s="11">
        <v>1</v>
      </c>
    </row>
    <row r="141" spans="1:27">
      <c r="A141" s="11" t="s">
        <v>15</v>
      </c>
      <c r="B141" s="11">
        <v>1</v>
      </c>
      <c r="C141" s="11">
        <v>2</v>
      </c>
      <c r="D141" s="70">
        <v>3</v>
      </c>
      <c r="E141" s="11">
        <v>4</v>
      </c>
      <c r="F141" s="11">
        <v>5</v>
      </c>
      <c r="G141" s="11">
        <v>6</v>
      </c>
      <c r="H141" s="11">
        <v>6</v>
      </c>
      <c r="I141" s="11">
        <v>6</v>
      </c>
      <c r="J141" s="11">
        <v>6</v>
      </c>
      <c r="K141" s="11">
        <v>7</v>
      </c>
    </row>
    <row r="142" spans="1:27">
      <c r="A142" s="11" t="s">
        <v>16</v>
      </c>
      <c r="B142" s="11">
        <v>1</v>
      </c>
      <c r="C142" s="11">
        <v>2</v>
      </c>
      <c r="D142" s="11">
        <v>3</v>
      </c>
      <c r="E142" s="11">
        <v>4</v>
      </c>
      <c r="F142" s="11">
        <v>5</v>
      </c>
      <c r="G142" s="11">
        <v>6</v>
      </c>
      <c r="H142" s="11">
        <v>6</v>
      </c>
      <c r="I142" s="11">
        <v>6</v>
      </c>
      <c r="J142" s="11">
        <v>6</v>
      </c>
      <c r="K142" s="11">
        <v>7</v>
      </c>
    </row>
    <row r="143" spans="1:27">
      <c r="A143" s="11" t="s">
        <v>17</v>
      </c>
      <c r="B143" s="11">
        <v>0</v>
      </c>
      <c r="C143" s="11">
        <v>0</v>
      </c>
      <c r="D143" s="11">
        <v>0</v>
      </c>
      <c r="E143" s="11">
        <v>0</v>
      </c>
      <c r="F143" s="11">
        <v>0</v>
      </c>
      <c r="G143" s="11">
        <v>0</v>
      </c>
      <c r="H143" s="11">
        <v>0</v>
      </c>
      <c r="I143" s="11">
        <v>1</v>
      </c>
      <c r="J143" s="11">
        <v>2</v>
      </c>
      <c r="K143" s="11">
        <v>3</v>
      </c>
    </row>
    <row r="144" spans="1:27">
      <c r="A144" s="11" t="s">
        <v>3</v>
      </c>
      <c r="B144" s="11">
        <v>1</v>
      </c>
      <c r="C144" s="11">
        <v>1</v>
      </c>
      <c r="D144" s="11">
        <v>2</v>
      </c>
      <c r="E144" s="11">
        <v>2</v>
      </c>
      <c r="F144" s="11">
        <v>2</v>
      </c>
      <c r="G144" s="11">
        <v>2</v>
      </c>
      <c r="H144" s="11">
        <v>2</v>
      </c>
      <c r="I144" s="11">
        <v>3</v>
      </c>
      <c r="J144" s="11">
        <v>4</v>
      </c>
      <c r="K144" s="11">
        <v>4</v>
      </c>
    </row>
    <row r="145" spans="1:11">
      <c r="A145" s="11" t="s">
        <v>4</v>
      </c>
      <c r="B145" s="11">
        <v>1</v>
      </c>
      <c r="C145" s="11">
        <v>1</v>
      </c>
      <c r="D145" s="11">
        <v>2</v>
      </c>
      <c r="E145" s="11">
        <v>2</v>
      </c>
      <c r="F145" s="11">
        <v>2</v>
      </c>
      <c r="G145" s="11">
        <v>2</v>
      </c>
      <c r="H145" s="11">
        <v>2</v>
      </c>
      <c r="I145" s="11">
        <v>3</v>
      </c>
      <c r="J145" s="11">
        <v>4</v>
      </c>
      <c r="K145" s="11">
        <v>4</v>
      </c>
    </row>
    <row r="146" spans="1:11">
      <c r="A146" s="11" t="s">
        <v>18</v>
      </c>
      <c r="B146" s="11">
        <v>0</v>
      </c>
      <c r="C146" s="11">
        <v>0</v>
      </c>
      <c r="D146" s="11">
        <v>0</v>
      </c>
      <c r="E146" s="11">
        <v>0</v>
      </c>
      <c r="F146" s="11">
        <v>0</v>
      </c>
      <c r="G146" s="11">
        <v>0</v>
      </c>
      <c r="H146" s="11">
        <v>1</v>
      </c>
      <c r="I146" s="11">
        <v>1</v>
      </c>
      <c r="J146" s="11">
        <v>1</v>
      </c>
      <c r="K146" s="11">
        <v>1</v>
      </c>
    </row>
    <row r="147" spans="1:11">
      <c r="A147" s="11" t="s">
        <v>19</v>
      </c>
      <c r="B147" s="11">
        <v>0</v>
      </c>
      <c r="C147" s="11">
        <v>0</v>
      </c>
      <c r="D147" s="11">
        <v>0</v>
      </c>
      <c r="E147" s="11">
        <v>0</v>
      </c>
      <c r="F147" s="11">
        <v>0</v>
      </c>
      <c r="G147" s="11">
        <v>0</v>
      </c>
      <c r="H147" s="11">
        <v>1</v>
      </c>
      <c r="I147" s="11">
        <v>2</v>
      </c>
      <c r="J147" s="11">
        <v>2</v>
      </c>
      <c r="K147" s="11">
        <v>2</v>
      </c>
    </row>
    <row r="148" spans="1:11">
      <c r="A148" s="11" t="s">
        <v>2</v>
      </c>
      <c r="B148" s="11">
        <v>1</v>
      </c>
      <c r="C148" s="11">
        <v>2</v>
      </c>
      <c r="D148" s="11">
        <v>2</v>
      </c>
      <c r="E148" s="11">
        <v>3</v>
      </c>
      <c r="F148" s="11">
        <v>3</v>
      </c>
      <c r="G148" s="11">
        <v>3</v>
      </c>
      <c r="H148" s="11">
        <v>4</v>
      </c>
      <c r="I148" s="11">
        <v>4</v>
      </c>
      <c r="J148" s="11">
        <v>4</v>
      </c>
      <c r="K148" s="11">
        <v>4</v>
      </c>
    </row>
    <row r="149" spans="1:11">
      <c r="A149" s="11" t="s">
        <v>244</v>
      </c>
      <c r="B149" s="11">
        <v>1</v>
      </c>
      <c r="C149" s="11">
        <v>1</v>
      </c>
      <c r="D149" s="11">
        <v>2</v>
      </c>
      <c r="E149" s="11">
        <v>2</v>
      </c>
      <c r="F149" s="11">
        <v>3</v>
      </c>
      <c r="G149" s="11">
        <v>3</v>
      </c>
      <c r="H149" s="11">
        <v>4</v>
      </c>
      <c r="I149" s="11">
        <v>4</v>
      </c>
      <c r="J149" s="11">
        <v>4</v>
      </c>
      <c r="K149" s="11">
        <v>4</v>
      </c>
    </row>
    <row r="150" spans="1:11">
      <c r="A150" s="11" t="s">
        <v>5</v>
      </c>
      <c r="B150" s="11">
        <v>0</v>
      </c>
      <c r="C150" s="11">
        <v>0</v>
      </c>
      <c r="D150" s="11">
        <v>1</v>
      </c>
      <c r="E150" s="11">
        <v>1</v>
      </c>
      <c r="F150" s="11">
        <v>1</v>
      </c>
      <c r="G150" s="11">
        <v>1</v>
      </c>
      <c r="H150" s="11">
        <v>1</v>
      </c>
      <c r="I150" s="11">
        <v>1</v>
      </c>
      <c r="J150" s="11">
        <v>1</v>
      </c>
      <c r="K150" s="11">
        <v>1</v>
      </c>
    </row>
    <row r="151" spans="1:11">
      <c r="A151" s="11" t="s">
        <v>21</v>
      </c>
      <c r="B151" s="11">
        <v>0</v>
      </c>
      <c r="C151" s="11">
        <v>0</v>
      </c>
      <c r="D151" s="11">
        <v>0</v>
      </c>
      <c r="E151" s="11">
        <v>0</v>
      </c>
      <c r="F151" s="11">
        <v>1</v>
      </c>
      <c r="G151" s="11">
        <v>1</v>
      </c>
      <c r="H151" s="11">
        <v>1</v>
      </c>
      <c r="I151" s="11">
        <v>1</v>
      </c>
      <c r="J151" s="11">
        <v>1</v>
      </c>
      <c r="K151" s="11">
        <v>1</v>
      </c>
    </row>
    <row r="152" spans="1:11">
      <c r="A152" s="11" t="s">
        <v>6</v>
      </c>
      <c r="B152" s="11">
        <v>2</v>
      </c>
      <c r="C152" s="11">
        <v>2</v>
      </c>
      <c r="D152" s="11">
        <v>2</v>
      </c>
      <c r="E152" s="11">
        <v>2</v>
      </c>
      <c r="F152" s="11">
        <v>3</v>
      </c>
      <c r="G152" s="11">
        <v>3</v>
      </c>
      <c r="H152" s="11">
        <v>5</v>
      </c>
      <c r="I152" s="11">
        <v>5</v>
      </c>
      <c r="J152" s="11">
        <v>5</v>
      </c>
      <c r="K152" s="11">
        <v>6</v>
      </c>
    </row>
    <row r="153" spans="1:11">
      <c r="A153" s="11" t="s">
        <v>22</v>
      </c>
      <c r="B153" s="11">
        <v>0</v>
      </c>
      <c r="C153" s="11">
        <v>1</v>
      </c>
      <c r="D153" s="11">
        <v>1</v>
      </c>
      <c r="E153" s="11">
        <v>2</v>
      </c>
      <c r="F153" s="11">
        <v>3</v>
      </c>
      <c r="G153" s="11">
        <v>3</v>
      </c>
      <c r="H153" s="11">
        <v>4</v>
      </c>
      <c r="I153" s="11">
        <v>5</v>
      </c>
      <c r="J153" s="11">
        <v>6</v>
      </c>
      <c r="K153" s="11">
        <v>7</v>
      </c>
    </row>
    <row r="154" spans="1:11">
      <c r="A154" s="11" t="s">
        <v>23</v>
      </c>
      <c r="B154" s="11">
        <v>0</v>
      </c>
      <c r="C154" s="11">
        <v>25</v>
      </c>
      <c r="D154" s="11">
        <v>50</v>
      </c>
      <c r="E154" s="11">
        <v>75</v>
      </c>
      <c r="F154" s="11">
        <v>100</v>
      </c>
      <c r="G154" s="11">
        <v>125</v>
      </c>
      <c r="H154" s="11">
        <v>175</v>
      </c>
      <c r="I154" s="11">
        <v>225</v>
      </c>
      <c r="J154" s="11">
        <v>250</v>
      </c>
      <c r="K154" s="11">
        <v>250</v>
      </c>
    </row>
    <row r="155" spans="1:11">
      <c r="A155" s="11" t="s">
        <v>7</v>
      </c>
      <c r="B155" s="11">
        <v>0</v>
      </c>
      <c r="C155" s="11">
        <v>0</v>
      </c>
      <c r="D155" s="11">
        <v>1</v>
      </c>
      <c r="E155" s="11">
        <v>1</v>
      </c>
      <c r="F155" s="11">
        <v>1</v>
      </c>
      <c r="G155" s="11">
        <v>2</v>
      </c>
      <c r="H155" s="11">
        <v>3</v>
      </c>
      <c r="I155" s="11">
        <v>3</v>
      </c>
      <c r="J155" s="11">
        <v>3</v>
      </c>
      <c r="K155" s="11">
        <v>3</v>
      </c>
    </row>
    <row r="156" spans="1:11">
      <c r="A156" s="11" t="s">
        <v>8</v>
      </c>
      <c r="B156" s="11">
        <v>0</v>
      </c>
      <c r="C156" s="11">
        <v>0</v>
      </c>
      <c r="D156" s="11">
        <v>2</v>
      </c>
      <c r="E156" s="11">
        <v>2</v>
      </c>
      <c r="F156" s="11">
        <v>4</v>
      </c>
      <c r="G156" s="11">
        <v>4</v>
      </c>
      <c r="H156" s="11">
        <v>6</v>
      </c>
      <c r="I156" s="11">
        <v>6</v>
      </c>
      <c r="J156" s="11">
        <v>6</v>
      </c>
      <c r="K156" s="11">
        <v>6</v>
      </c>
    </row>
    <row r="157" spans="1:11">
      <c r="A157" s="11" t="s">
        <v>24</v>
      </c>
      <c r="B157" s="11">
        <v>0</v>
      </c>
      <c r="C157" s="11">
        <v>0</v>
      </c>
      <c r="D157" s="11">
        <v>0</v>
      </c>
      <c r="E157" s="11">
        <v>1</v>
      </c>
      <c r="F157" s="11">
        <v>1</v>
      </c>
      <c r="G157" s="11">
        <v>1</v>
      </c>
      <c r="H157" s="11">
        <v>2</v>
      </c>
      <c r="I157" s="11">
        <v>3</v>
      </c>
      <c r="J157" s="11">
        <v>4</v>
      </c>
      <c r="K157" s="11">
        <v>4</v>
      </c>
    </row>
    <row r="158" spans="1:11">
      <c r="A158" s="11" t="s">
        <v>25</v>
      </c>
      <c r="B158" s="11">
        <v>0</v>
      </c>
      <c r="C158" s="11">
        <v>0</v>
      </c>
      <c r="D158" s="11">
        <v>0</v>
      </c>
      <c r="E158" s="11">
        <v>2</v>
      </c>
      <c r="F158" s="11">
        <v>2</v>
      </c>
      <c r="G158" s="11">
        <v>4</v>
      </c>
      <c r="H158" s="11">
        <v>4</v>
      </c>
      <c r="I158" s="11">
        <v>6</v>
      </c>
      <c r="J158" s="11">
        <v>6</v>
      </c>
      <c r="K158" s="11">
        <v>6</v>
      </c>
    </row>
    <row r="159" spans="1:11">
      <c r="A159" s="11" t="s">
        <v>26</v>
      </c>
      <c r="B159" s="11">
        <v>0</v>
      </c>
      <c r="C159" s="11">
        <v>0</v>
      </c>
      <c r="D159" s="11">
        <v>0</v>
      </c>
      <c r="E159" s="11">
        <v>0</v>
      </c>
      <c r="F159" s="11">
        <v>1</v>
      </c>
      <c r="G159" s="11">
        <v>2</v>
      </c>
      <c r="H159" s="11">
        <v>2</v>
      </c>
      <c r="I159" s="11">
        <v>3</v>
      </c>
      <c r="J159" s="11">
        <v>4</v>
      </c>
      <c r="K159" s="11">
        <v>4</v>
      </c>
    </row>
    <row r="160" spans="1:11">
      <c r="A160" s="11" t="s">
        <v>9</v>
      </c>
      <c r="B160" s="11">
        <v>0</v>
      </c>
      <c r="C160" s="11">
        <v>0</v>
      </c>
      <c r="D160" s="11">
        <v>0</v>
      </c>
      <c r="E160" s="11">
        <v>0</v>
      </c>
      <c r="F160" s="11">
        <v>0</v>
      </c>
      <c r="G160" s="11">
        <v>1</v>
      </c>
      <c r="H160" s="11">
        <v>2</v>
      </c>
      <c r="I160" s="11">
        <v>3</v>
      </c>
      <c r="J160" s="11">
        <v>4</v>
      </c>
      <c r="K160" s="11">
        <v>5</v>
      </c>
    </row>
    <row r="161" spans="1:11">
      <c r="A161" s="11" t="s">
        <v>10</v>
      </c>
      <c r="B161" s="11">
        <v>0</v>
      </c>
      <c r="C161" s="11">
        <v>0</v>
      </c>
      <c r="D161" s="11">
        <v>0</v>
      </c>
      <c r="E161" s="11">
        <v>0</v>
      </c>
      <c r="F161" s="11">
        <v>2</v>
      </c>
      <c r="G161" s="11">
        <v>2</v>
      </c>
      <c r="H161" s="11">
        <v>2</v>
      </c>
      <c r="I161" s="11">
        <v>4</v>
      </c>
      <c r="J161" s="11">
        <v>4</v>
      </c>
      <c r="K161" s="11">
        <v>5</v>
      </c>
    </row>
    <row r="162" spans="1:11">
      <c r="A162" s="11" t="s">
        <v>27</v>
      </c>
      <c r="B162" s="11">
        <v>0</v>
      </c>
      <c r="C162" s="11">
        <v>0</v>
      </c>
      <c r="D162" s="11">
        <v>0</v>
      </c>
      <c r="E162" s="11">
        <v>0</v>
      </c>
      <c r="F162" s="11">
        <v>0</v>
      </c>
      <c r="G162" s="11">
        <v>0</v>
      </c>
      <c r="H162" s="11">
        <v>1</v>
      </c>
      <c r="I162" s="11">
        <v>2</v>
      </c>
      <c r="J162" s="11">
        <v>4</v>
      </c>
      <c r="K162" s="11">
        <v>5</v>
      </c>
    </row>
    <row r="163" spans="1:11">
      <c r="A163" s="11" t="s">
        <v>11</v>
      </c>
      <c r="B163" s="11">
        <v>0</v>
      </c>
      <c r="C163" s="11">
        <v>0</v>
      </c>
      <c r="D163" s="11">
        <v>0</v>
      </c>
      <c r="E163" s="11">
        <v>0</v>
      </c>
      <c r="F163" s="11">
        <v>0</v>
      </c>
      <c r="G163" s="11">
        <v>0</v>
      </c>
      <c r="H163" s="11">
        <v>2</v>
      </c>
      <c r="I163" s="11">
        <v>3</v>
      </c>
      <c r="J163" s="11">
        <v>4</v>
      </c>
      <c r="K163" s="11">
        <v>4</v>
      </c>
    </row>
    <row r="164" spans="1:11">
      <c r="A164" s="11" t="s">
        <v>12</v>
      </c>
      <c r="B164" s="11">
        <v>0</v>
      </c>
      <c r="C164" s="11">
        <v>0</v>
      </c>
      <c r="D164" s="11">
        <v>0</v>
      </c>
      <c r="E164" s="11">
        <v>0</v>
      </c>
      <c r="F164" s="11">
        <v>0</v>
      </c>
      <c r="G164" s="11">
        <v>0</v>
      </c>
      <c r="H164" s="11">
        <v>0</v>
      </c>
      <c r="I164" s="11">
        <v>0</v>
      </c>
      <c r="J164" s="11">
        <v>2</v>
      </c>
      <c r="K164" s="11">
        <v>3</v>
      </c>
    </row>
    <row r="165" spans="1:11">
      <c r="A165" s="11" t="s">
        <v>28</v>
      </c>
      <c r="B165" s="11">
        <v>0</v>
      </c>
      <c r="C165" s="11">
        <v>0</v>
      </c>
      <c r="D165" s="11">
        <v>0</v>
      </c>
      <c r="E165" s="11">
        <v>0</v>
      </c>
      <c r="F165" s="11">
        <v>0</v>
      </c>
      <c r="G165" s="11">
        <v>0</v>
      </c>
      <c r="H165" s="11">
        <v>0</v>
      </c>
      <c r="I165" s="11">
        <v>0</v>
      </c>
      <c r="J165" s="11">
        <v>0</v>
      </c>
      <c r="K165" s="11">
        <v>2</v>
      </c>
    </row>
    <row r="166" spans="1:11">
      <c r="A166" s="11" t="s">
        <v>105</v>
      </c>
      <c r="B166" s="11">
        <v>0</v>
      </c>
      <c r="C166" s="11">
        <v>0</v>
      </c>
      <c r="D166" s="11">
        <v>0</v>
      </c>
      <c r="E166" s="11">
        <v>0</v>
      </c>
      <c r="F166" s="11">
        <v>0</v>
      </c>
      <c r="G166" s="11">
        <v>0</v>
      </c>
      <c r="H166" s="11">
        <v>1</v>
      </c>
      <c r="I166" s="11">
        <v>1</v>
      </c>
      <c r="J166" s="11">
        <v>1</v>
      </c>
      <c r="K166" s="11">
        <v>1</v>
      </c>
    </row>
    <row r="167" spans="1:11">
      <c r="A167" s="11" t="s">
        <v>106</v>
      </c>
      <c r="B167" s="11">
        <v>0</v>
      </c>
      <c r="C167" s="11">
        <v>0</v>
      </c>
      <c r="D167" s="11">
        <v>0</v>
      </c>
      <c r="E167" s="11">
        <v>0</v>
      </c>
      <c r="F167" s="11">
        <v>0</v>
      </c>
      <c r="G167" s="11">
        <v>0</v>
      </c>
      <c r="H167" s="11">
        <v>0</v>
      </c>
      <c r="I167" s="11">
        <v>0</v>
      </c>
      <c r="J167" s="11">
        <v>1</v>
      </c>
      <c r="K167" s="11">
        <v>1</v>
      </c>
    </row>
    <row r="168" spans="1:11">
      <c r="A168" s="11" t="s">
        <v>189</v>
      </c>
      <c r="B168" s="11">
        <v>0</v>
      </c>
      <c r="C168" s="11">
        <v>0</v>
      </c>
      <c r="D168" s="11">
        <v>0</v>
      </c>
      <c r="E168" s="11">
        <v>0</v>
      </c>
      <c r="F168" s="11">
        <v>0</v>
      </c>
      <c r="G168" s="11">
        <v>0</v>
      </c>
      <c r="H168" s="11">
        <v>1</v>
      </c>
      <c r="I168" s="11">
        <v>1</v>
      </c>
      <c r="J168" s="11">
        <v>1</v>
      </c>
      <c r="K168" s="11">
        <v>1</v>
      </c>
    </row>
    <row r="169" spans="1:11">
      <c r="A169" s="11" t="s">
        <v>193</v>
      </c>
      <c r="B169" s="11">
        <v>0</v>
      </c>
      <c r="C169" s="11">
        <v>0</v>
      </c>
      <c r="D169" s="11">
        <v>0</v>
      </c>
      <c r="E169" s="11">
        <v>0</v>
      </c>
      <c r="F169" s="11">
        <v>0</v>
      </c>
      <c r="G169" s="11">
        <v>0</v>
      </c>
      <c r="H169" s="11">
        <v>0</v>
      </c>
      <c r="I169" s="11">
        <v>0</v>
      </c>
      <c r="J169" s="11">
        <v>1</v>
      </c>
      <c r="K169" s="11">
        <v>1</v>
      </c>
    </row>
    <row r="170" spans="1:11">
      <c r="A170" s="11" t="s">
        <v>82</v>
      </c>
      <c r="B170" s="11">
        <v>1</v>
      </c>
      <c r="C170" s="11">
        <v>1</v>
      </c>
      <c r="D170" s="11">
        <v>1</v>
      </c>
      <c r="E170" s="11">
        <v>1</v>
      </c>
      <c r="F170" s="11">
        <v>1</v>
      </c>
      <c r="G170" s="11">
        <v>1</v>
      </c>
      <c r="H170" s="11">
        <v>1</v>
      </c>
      <c r="I170" s="11">
        <v>1</v>
      </c>
      <c r="J170" s="11">
        <v>0</v>
      </c>
      <c r="K170" s="11">
        <v>0</v>
      </c>
    </row>
    <row r="171" spans="1:11">
      <c r="A171" s="11" t="s">
        <v>83</v>
      </c>
      <c r="B171" s="11">
        <v>1</v>
      </c>
      <c r="C171" s="11">
        <v>1</v>
      </c>
      <c r="D171" s="11">
        <v>1</v>
      </c>
      <c r="E171" s="11">
        <v>1</v>
      </c>
      <c r="F171" s="11">
        <v>1</v>
      </c>
      <c r="G171" s="11">
        <v>1</v>
      </c>
      <c r="H171" s="11">
        <v>1</v>
      </c>
      <c r="I171" s="11">
        <v>1</v>
      </c>
      <c r="J171" s="11">
        <v>0</v>
      </c>
      <c r="K171" s="11">
        <v>0</v>
      </c>
    </row>
    <row r="172" spans="1:11">
      <c r="A172" s="11" t="s">
        <v>84</v>
      </c>
      <c r="B172" s="11">
        <v>1</v>
      </c>
      <c r="C172" s="11">
        <v>1</v>
      </c>
      <c r="D172" s="11">
        <v>1</v>
      </c>
      <c r="E172" s="11">
        <v>1</v>
      </c>
      <c r="F172" s="11">
        <v>1</v>
      </c>
      <c r="G172" s="11">
        <v>1</v>
      </c>
      <c r="H172" s="11">
        <v>1</v>
      </c>
      <c r="I172" s="11">
        <v>1</v>
      </c>
      <c r="J172" s="11">
        <v>0</v>
      </c>
      <c r="K172" s="11">
        <v>0</v>
      </c>
    </row>
    <row r="173" spans="1:11">
      <c r="A173" s="11" t="s">
        <v>85</v>
      </c>
      <c r="B173" s="11">
        <v>0</v>
      </c>
      <c r="C173" s="11">
        <v>1</v>
      </c>
      <c r="D173" s="11">
        <v>1</v>
      </c>
      <c r="E173" s="11">
        <v>1</v>
      </c>
      <c r="F173" s="11">
        <v>1</v>
      </c>
      <c r="G173" s="11">
        <v>1</v>
      </c>
      <c r="H173" s="11">
        <v>1</v>
      </c>
      <c r="I173" s="11">
        <v>1</v>
      </c>
      <c r="J173" s="11">
        <v>0</v>
      </c>
      <c r="K173" s="11">
        <v>0</v>
      </c>
    </row>
    <row r="174" spans="1:11">
      <c r="A174" s="11" t="s">
        <v>86</v>
      </c>
      <c r="B174" s="11">
        <v>0</v>
      </c>
      <c r="C174" s="11">
        <v>1</v>
      </c>
      <c r="D174" s="11">
        <v>1</v>
      </c>
      <c r="E174" s="11">
        <v>1</v>
      </c>
      <c r="F174" s="11">
        <v>1</v>
      </c>
      <c r="G174" s="11">
        <v>1</v>
      </c>
      <c r="H174" s="11">
        <v>1</v>
      </c>
      <c r="I174" s="11">
        <v>1</v>
      </c>
      <c r="J174" s="11">
        <v>0</v>
      </c>
      <c r="K174" s="11">
        <v>0</v>
      </c>
    </row>
    <row r="175" spans="1:11">
      <c r="A175" s="11" t="s">
        <v>87</v>
      </c>
      <c r="B175" s="11">
        <v>0</v>
      </c>
      <c r="C175" s="11">
        <v>1</v>
      </c>
      <c r="D175" s="11">
        <v>1</v>
      </c>
      <c r="E175" s="11">
        <v>1</v>
      </c>
      <c r="F175" s="11">
        <v>1</v>
      </c>
      <c r="G175" s="11">
        <v>1</v>
      </c>
      <c r="H175" s="11">
        <v>1</v>
      </c>
      <c r="I175" s="11">
        <v>1</v>
      </c>
      <c r="J175" s="11">
        <v>0</v>
      </c>
      <c r="K175" s="11">
        <v>0</v>
      </c>
    </row>
    <row r="176" spans="1:11">
      <c r="A176" s="11" t="s">
        <v>88</v>
      </c>
      <c r="B176" s="11">
        <v>0</v>
      </c>
      <c r="C176" s="11">
        <v>0</v>
      </c>
      <c r="D176" s="11">
        <v>1</v>
      </c>
      <c r="E176" s="11">
        <v>1</v>
      </c>
      <c r="F176" s="11">
        <v>1</v>
      </c>
      <c r="G176" s="11">
        <v>1</v>
      </c>
      <c r="H176" s="11">
        <v>1</v>
      </c>
      <c r="I176" s="11">
        <v>1</v>
      </c>
      <c r="J176" s="11">
        <v>0</v>
      </c>
      <c r="K176" s="11">
        <v>0</v>
      </c>
    </row>
    <row r="177" spans="1:27">
      <c r="A177" s="11" t="s">
        <v>89</v>
      </c>
      <c r="B177" s="11">
        <v>0</v>
      </c>
      <c r="C177" s="11">
        <v>0</v>
      </c>
      <c r="D177" s="11">
        <v>0</v>
      </c>
      <c r="E177" s="11">
        <v>0</v>
      </c>
      <c r="F177" s="11">
        <v>1</v>
      </c>
      <c r="G177" s="11">
        <v>1</v>
      </c>
      <c r="H177" s="11">
        <v>1</v>
      </c>
      <c r="I177" s="11">
        <v>1</v>
      </c>
      <c r="J177" s="11">
        <v>0</v>
      </c>
      <c r="K177" s="11">
        <v>0</v>
      </c>
    </row>
    <row r="178" spans="1:27">
      <c r="A178" s="11" t="s">
        <v>90</v>
      </c>
      <c r="B178" s="11">
        <v>0</v>
      </c>
      <c r="C178" s="11">
        <v>0</v>
      </c>
      <c r="D178" s="11">
        <v>0</v>
      </c>
      <c r="E178" s="11">
        <v>0</v>
      </c>
      <c r="F178" s="11">
        <v>1</v>
      </c>
      <c r="G178" s="11">
        <v>1</v>
      </c>
      <c r="H178" s="11">
        <v>1</v>
      </c>
      <c r="I178" s="11">
        <v>1</v>
      </c>
      <c r="J178" s="11">
        <v>0</v>
      </c>
      <c r="K178" s="11">
        <v>0</v>
      </c>
    </row>
    <row r="179" spans="1:27">
      <c r="A179" s="11" t="s">
        <v>91</v>
      </c>
      <c r="B179" s="11">
        <v>0</v>
      </c>
      <c r="C179" s="11">
        <v>0</v>
      </c>
      <c r="D179" s="11">
        <v>0</v>
      </c>
      <c r="E179" s="11">
        <v>0</v>
      </c>
      <c r="F179" s="11">
        <v>0</v>
      </c>
      <c r="G179" s="11">
        <v>1</v>
      </c>
      <c r="H179" s="11">
        <v>1</v>
      </c>
      <c r="I179" s="11">
        <v>1</v>
      </c>
      <c r="J179" s="11">
        <v>0</v>
      </c>
      <c r="K179" s="11">
        <v>0</v>
      </c>
    </row>
    <row r="180" spans="1:27">
      <c r="A180" s="11" t="s">
        <v>92</v>
      </c>
      <c r="B180" s="11">
        <v>1</v>
      </c>
      <c r="C180" s="11">
        <v>1</v>
      </c>
      <c r="D180" s="11">
        <v>1</v>
      </c>
      <c r="E180" s="11">
        <v>1</v>
      </c>
      <c r="F180" s="11">
        <v>1</v>
      </c>
      <c r="G180" s="11">
        <v>1</v>
      </c>
      <c r="H180" s="11">
        <v>1</v>
      </c>
      <c r="I180" s="11">
        <v>1</v>
      </c>
      <c r="J180" s="11">
        <v>0</v>
      </c>
      <c r="K180" s="11">
        <v>0</v>
      </c>
    </row>
    <row r="181" spans="1:27">
      <c r="A181" s="11" t="s">
        <v>93</v>
      </c>
      <c r="B181" s="11">
        <v>0</v>
      </c>
      <c r="C181" s="11">
        <v>1</v>
      </c>
      <c r="D181" s="11">
        <v>1</v>
      </c>
      <c r="E181" s="11">
        <v>1</v>
      </c>
      <c r="F181" s="11">
        <v>1</v>
      </c>
      <c r="G181" s="11">
        <v>1</v>
      </c>
      <c r="H181" s="11">
        <v>1</v>
      </c>
      <c r="I181" s="11">
        <v>1</v>
      </c>
      <c r="J181" s="11">
        <v>0</v>
      </c>
      <c r="K181" s="11">
        <v>0</v>
      </c>
    </row>
    <row r="182" spans="1:27">
      <c r="A182" s="11" t="s">
        <v>94</v>
      </c>
      <c r="B182" s="11">
        <v>0</v>
      </c>
      <c r="C182" s="11">
        <v>0</v>
      </c>
      <c r="D182" s="11">
        <v>1</v>
      </c>
      <c r="E182" s="11">
        <v>1</v>
      </c>
      <c r="F182" s="11">
        <v>1</v>
      </c>
      <c r="G182" s="11">
        <v>1</v>
      </c>
      <c r="H182" s="11">
        <v>1</v>
      </c>
      <c r="I182" s="11">
        <v>1</v>
      </c>
      <c r="J182" s="11">
        <v>0</v>
      </c>
      <c r="K182" s="11">
        <v>0</v>
      </c>
    </row>
    <row r="183" spans="1:27">
      <c r="A183" s="11" t="s">
        <v>95</v>
      </c>
      <c r="B183" s="11">
        <v>0</v>
      </c>
      <c r="C183" s="11">
        <v>0</v>
      </c>
      <c r="D183" s="11">
        <v>0</v>
      </c>
      <c r="E183" s="11">
        <v>0</v>
      </c>
      <c r="F183" s="11">
        <v>0</v>
      </c>
      <c r="G183" s="11">
        <v>0</v>
      </c>
      <c r="H183" s="11">
        <v>1</v>
      </c>
      <c r="I183" s="11">
        <v>1</v>
      </c>
      <c r="J183" s="11">
        <v>0</v>
      </c>
      <c r="K183" s="11">
        <v>0</v>
      </c>
    </row>
    <row r="184" spans="1:27">
      <c r="A184" s="11" t="s">
        <v>96</v>
      </c>
      <c r="B184" s="11">
        <v>0</v>
      </c>
      <c r="C184" s="11">
        <v>0</v>
      </c>
      <c r="D184" s="11">
        <v>0</v>
      </c>
      <c r="E184" s="11">
        <v>0</v>
      </c>
      <c r="F184" s="11">
        <v>0</v>
      </c>
      <c r="G184" s="11">
        <v>0</v>
      </c>
      <c r="H184" s="11">
        <v>0</v>
      </c>
      <c r="I184" s="11">
        <v>1</v>
      </c>
      <c r="J184" s="11">
        <v>0</v>
      </c>
      <c r="K184" s="11">
        <v>0</v>
      </c>
    </row>
    <row r="185" spans="1:27">
      <c r="A185" s="11" t="s">
        <v>97</v>
      </c>
      <c r="B185" s="11">
        <v>0</v>
      </c>
      <c r="C185" s="11">
        <v>0</v>
      </c>
      <c r="D185" s="11">
        <v>0</v>
      </c>
      <c r="E185" s="11">
        <v>0</v>
      </c>
      <c r="F185" s="11">
        <v>1</v>
      </c>
      <c r="G185" s="11">
        <v>1</v>
      </c>
      <c r="H185" s="11">
        <v>1</v>
      </c>
      <c r="I185" s="11">
        <v>1</v>
      </c>
      <c r="J185" s="11">
        <v>0</v>
      </c>
      <c r="K185" s="11">
        <v>0</v>
      </c>
    </row>
    <row r="186" spans="1:27">
      <c r="A186" s="11" t="s">
        <v>98</v>
      </c>
      <c r="B186" s="11">
        <v>0</v>
      </c>
      <c r="C186" s="11">
        <v>0</v>
      </c>
      <c r="D186" s="11">
        <v>0</v>
      </c>
      <c r="E186" s="11">
        <v>0</v>
      </c>
      <c r="F186" s="11">
        <v>1</v>
      </c>
      <c r="G186" s="11">
        <v>1</v>
      </c>
      <c r="H186" s="11">
        <v>1</v>
      </c>
      <c r="I186" s="11">
        <v>1</v>
      </c>
      <c r="J186" s="11">
        <v>0</v>
      </c>
      <c r="K186" s="11">
        <v>0</v>
      </c>
    </row>
    <row r="187" spans="1:27">
      <c r="A187" s="11" t="s">
        <v>99</v>
      </c>
      <c r="B187" s="11">
        <v>0</v>
      </c>
      <c r="C187" s="11">
        <v>0</v>
      </c>
      <c r="D187" s="11">
        <v>0</v>
      </c>
      <c r="E187" s="11">
        <v>0</v>
      </c>
      <c r="F187" s="11">
        <v>0</v>
      </c>
      <c r="G187" s="11">
        <v>1</v>
      </c>
      <c r="H187" s="11">
        <v>1</v>
      </c>
      <c r="I187" s="11">
        <v>1</v>
      </c>
      <c r="J187" s="11">
        <v>0</v>
      </c>
      <c r="K187" s="11">
        <v>0</v>
      </c>
    </row>
    <row r="188" spans="1:27">
      <c r="A188" s="11" t="s">
        <v>100</v>
      </c>
      <c r="B188" s="11">
        <v>0</v>
      </c>
      <c r="C188" s="11">
        <v>0</v>
      </c>
      <c r="D188" s="11">
        <v>0</v>
      </c>
      <c r="E188" s="11">
        <v>0</v>
      </c>
      <c r="F188" s="11">
        <v>0</v>
      </c>
      <c r="G188" s="11">
        <v>1</v>
      </c>
      <c r="H188" s="11">
        <v>1</v>
      </c>
      <c r="I188" s="11">
        <v>1</v>
      </c>
      <c r="J188" s="11">
        <v>0</v>
      </c>
      <c r="K188" s="11">
        <v>0</v>
      </c>
    </row>
    <row r="189" spans="1:27">
      <c r="A189" s="50" t="s">
        <v>101</v>
      </c>
      <c r="B189" s="50">
        <v>0</v>
      </c>
      <c r="C189" s="50">
        <v>0</v>
      </c>
      <c r="D189" s="50">
        <v>0</v>
      </c>
      <c r="E189" s="50">
        <v>0</v>
      </c>
      <c r="F189" s="50">
        <v>0</v>
      </c>
      <c r="G189" s="50">
        <v>0</v>
      </c>
      <c r="H189" s="50">
        <v>1</v>
      </c>
      <c r="I189" s="50">
        <v>1</v>
      </c>
      <c r="J189" s="50">
        <v>0</v>
      </c>
      <c r="K189" s="50">
        <v>0</v>
      </c>
    </row>
    <row r="190" spans="1:27" ht="16" thickBot="1"/>
    <row r="191" spans="1:27" ht="32" thickTop="1" thickBot="1">
      <c r="A191" s="364" t="s">
        <v>127</v>
      </c>
      <c r="B191" s="365"/>
      <c r="C191" s="365"/>
      <c r="D191" s="365"/>
      <c r="E191" s="365"/>
      <c r="F191" s="365"/>
      <c r="G191" s="365"/>
      <c r="H191" s="365"/>
      <c r="I191" s="365"/>
      <c r="J191" s="365"/>
      <c r="K191" s="365"/>
      <c r="L191" s="365"/>
      <c r="M191" s="365"/>
      <c r="N191" s="365"/>
      <c r="O191" s="365"/>
      <c r="P191" s="365"/>
      <c r="Q191" s="365"/>
      <c r="R191" s="365"/>
      <c r="S191" s="365"/>
      <c r="T191" s="365"/>
      <c r="U191" s="365"/>
      <c r="V191" s="365"/>
      <c r="W191" s="365"/>
      <c r="X191" s="365"/>
      <c r="Y191" s="365"/>
      <c r="Z191" s="365"/>
      <c r="AA191" s="366"/>
    </row>
    <row r="192" spans="1:27" ht="16" thickTop="1">
      <c r="A192" s="11" t="s">
        <v>31</v>
      </c>
      <c r="B192" s="11" t="s">
        <v>72</v>
      </c>
      <c r="C192" s="11" t="s">
        <v>73</v>
      </c>
      <c r="D192" s="11" t="s">
        <v>74</v>
      </c>
      <c r="E192" s="11" t="s">
        <v>75</v>
      </c>
      <c r="F192" s="11" t="s">
        <v>76</v>
      </c>
      <c r="G192" s="11" t="s">
        <v>77</v>
      </c>
      <c r="H192" s="11" t="s">
        <v>78</v>
      </c>
      <c r="I192" s="11" t="s">
        <v>79</v>
      </c>
      <c r="J192" s="11" t="s">
        <v>81</v>
      </c>
      <c r="K192" s="11" t="s">
        <v>80</v>
      </c>
    </row>
    <row r="193" spans="1:11">
      <c r="A193" s="11" t="s">
        <v>13</v>
      </c>
      <c r="B193" s="11">
        <v>2</v>
      </c>
      <c r="C193" s="11">
        <v>3</v>
      </c>
      <c r="D193" s="11">
        <v>4</v>
      </c>
      <c r="E193" s="11">
        <v>5</v>
      </c>
      <c r="F193" s="11">
        <v>6</v>
      </c>
      <c r="G193" s="11">
        <v>7</v>
      </c>
      <c r="H193" s="11">
        <v>8</v>
      </c>
      <c r="I193" s="11">
        <v>9</v>
      </c>
      <c r="J193" s="11">
        <v>10</v>
      </c>
      <c r="K193" s="11">
        <v>10</v>
      </c>
    </row>
    <row r="194" spans="1:11">
      <c r="A194" s="11" t="s">
        <v>15</v>
      </c>
      <c r="B194" s="11">
        <v>2</v>
      </c>
      <c r="C194" s="11">
        <v>4</v>
      </c>
      <c r="D194" s="11">
        <v>6</v>
      </c>
      <c r="E194" s="11">
        <v>8</v>
      </c>
      <c r="F194" s="11">
        <v>10</v>
      </c>
      <c r="G194" s="11">
        <v>10</v>
      </c>
      <c r="H194" s="11">
        <v>11</v>
      </c>
      <c r="I194" s="11">
        <v>11</v>
      </c>
      <c r="J194" s="11">
        <v>11</v>
      </c>
      <c r="K194" s="11">
        <v>11</v>
      </c>
    </row>
    <row r="195" spans="1:11">
      <c r="A195" s="11" t="s">
        <v>16</v>
      </c>
      <c r="B195" s="11">
        <v>2</v>
      </c>
      <c r="C195" s="11">
        <v>4</v>
      </c>
      <c r="D195" s="11">
        <v>6</v>
      </c>
      <c r="E195" s="11">
        <v>8</v>
      </c>
      <c r="F195" s="11">
        <v>10</v>
      </c>
      <c r="G195" s="11">
        <v>10</v>
      </c>
      <c r="H195" s="11">
        <v>11</v>
      </c>
      <c r="I195" s="11">
        <v>11</v>
      </c>
      <c r="J195" s="11">
        <v>11</v>
      </c>
      <c r="K195" s="11">
        <v>11</v>
      </c>
    </row>
    <row r="196" spans="1:11">
      <c r="A196" s="11" t="s">
        <v>17</v>
      </c>
      <c r="B196" s="11">
        <v>0</v>
      </c>
      <c r="C196" s="11">
        <v>0</v>
      </c>
      <c r="D196" s="11">
        <v>0</v>
      </c>
      <c r="E196" s="11">
        <v>0</v>
      </c>
      <c r="F196" s="11">
        <v>0</v>
      </c>
      <c r="G196" s="11">
        <v>0</v>
      </c>
      <c r="H196" s="11">
        <v>0</v>
      </c>
      <c r="I196" s="11">
        <v>3</v>
      </c>
      <c r="J196" s="11">
        <v>6</v>
      </c>
      <c r="K196" s="11">
        <v>6</v>
      </c>
    </row>
    <row r="197" spans="1:11">
      <c r="A197" s="11" t="s">
        <v>3</v>
      </c>
      <c r="B197" s="11">
        <v>1</v>
      </c>
      <c r="C197" s="11">
        <v>3</v>
      </c>
      <c r="D197" s="11">
        <v>6</v>
      </c>
      <c r="E197" s="11">
        <v>8</v>
      </c>
      <c r="F197" s="11">
        <v>9</v>
      </c>
      <c r="G197" s="11">
        <v>10</v>
      </c>
      <c r="H197" s="11">
        <v>11</v>
      </c>
      <c r="I197" s="11">
        <v>11</v>
      </c>
      <c r="J197" s="11">
        <v>11</v>
      </c>
      <c r="K197" s="11">
        <v>11</v>
      </c>
    </row>
    <row r="198" spans="1:11">
      <c r="A198" s="11" t="s">
        <v>4</v>
      </c>
      <c r="B198" s="11">
        <v>1</v>
      </c>
      <c r="C198" s="11">
        <v>3</v>
      </c>
      <c r="D198" s="11">
        <v>6</v>
      </c>
      <c r="E198" s="11">
        <v>8</v>
      </c>
      <c r="F198" s="11">
        <v>9</v>
      </c>
      <c r="G198" s="11">
        <v>10</v>
      </c>
      <c r="H198" s="11">
        <v>11</v>
      </c>
      <c r="I198" s="11">
        <v>11</v>
      </c>
      <c r="J198" s="11">
        <v>11</v>
      </c>
      <c r="K198" s="11">
        <v>11</v>
      </c>
    </row>
    <row r="199" spans="1:11">
      <c r="A199" s="11" t="s">
        <v>18</v>
      </c>
      <c r="B199" s="11">
        <v>0</v>
      </c>
      <c r="C199" s="11">
        <v>0</v>
      </c>
      <c r="D199" s="11">
        <v>0</v>
      </c>
      <c r="E199" s="11">
        <v>0</v>
      </c>
      <c r="F199" s="11">
        <v>0</v>
      </c>
      <c r="G199" s="11">
        <v>0</v>
      </c>
      <c r="H199" s="11">
        <v>2</v>
      </c>
      <c r="I199" s="11">
        <v>4</v>
      </c>
      <c r="J199" s="11">
        <v>6</v>
      </c>
      <c r="K199" s="11">
        <v>6</v>
      </c>
    </row>
    <row r="200" spans="1:11">
      <c r="A200" s="11" t="s">
        <v>19</v>
      </c>
      <c r="B200" s="11">
        <v>0</v>
      </c>
      <c r="C200" s="11">
        <v>0</v>
      </c>
      <c r="D200" s="11">
        <v>0</v>
      </c>
      <c r="E200" s="11">
        <v>0</v>
      </c>
      <c r="F200" s="11">
        <v>0</v>
      </c>
      <c r="G200" s="11">
        <v>0</v>
      </c>
      <c r="H200" s="11">
        <v>2</v>
      </c>
      <c r="I200" s="11">
        <v>4</v>
      </c>
      <c r="J200" s="11">
        <v>5</v>
      </c>
      <c r="K200" s="11">
        <v>5</v>
      </c>
    </row>
    <row r="201" spans="1:11">
      <c r="A201" s="11" t="s">
        <v>2</v>
      </c>
      <c r="B201" s="11">
        <v>3</v>
      </c>
      <c r="C201" s="11">
        <v>4</v>
      </c>
      <c r="D201" s="11">
        <v>5</v>
      </c>
      <c r="E201" s="11">
        <v>6</v>
      </c>
      <c r="F201" s="11">
        <v>7</v>
      </c>
      <c r="G201" s="11">
        <v>8</v>
      </c>
      <c r="H201" s="11">
        <v>9</v>
      </c>
      <c r="I201" s="11">
        <v>10</v>
      </c>
      <c r="J201" s="11">
        <v>10</v>
      </c>
      <c r="K201" s="11">
        <v>10</v>
      </c>
    </row>
    <row r="202" spans="1:11">
      <c r="A202" s="11" t="s">
        <v>244</v>
      </c>
      <c r="B202" s="11">
        <v>1</v>
      </c>
      <c r="C202" s="11">
        <v>2</v>
      </c>
      <c r="D202" s="11">
        <v>3</v>
      </c>
      <c r="E202" s="11">
        <v>4</v>
      </c>
      <c r="F202" s="11">
        <v>5</v>
      </c>
      <c r="G202" s="11">
        <v>6</v>
      </c>
      <c r="H202" s="11">
        <v>6</v>
      </c>
      <c r="I202" s="11">
        <v>6</v>
      </c>
      <c r="J202" s="11">
        <v>7</v>
      </c>
      <c r="K202" s="11">
        <v>8</v>
      </c>
    </row>
    <row r="203" spans="1:11">
      <c r="A203" s="11" t="s">
        <v>20</v>
      </c>
      <c r="B203" s="11">
        <v>0</v>
      </c>
      <c r="C203" s="11">
        <v>0</v>
      </c>
      <c r="D203" s="11">
        <v>1</v>
      </c>
      <c r="E203" s="11">
        <v>2</v>
      </c>
      <c r="F203" s="11">
        <v>3</v>
      </c>
      <c r="G203" s="11">
        <v>4</v>
      </c>
      <c r="H203" s="11">
        <v>5</v>
      </c>
      <c r="I203" s="11">
        <v>6</v>
      </c>
      <c r="J203" s="11">
        <v>7</v>
      </c>
      <c r="K203" s="11">
        <v>8</v>
      </c>
    </row>
    <row r="204" spans="1:11">
      <c r="A204" s="11" t="s">
        <v>21</v>
      </c>
      <c r="B204" s="11">
        <v>0</v>
      </c>
      <c r="C204" s="11">
        <v>0</v>
      </c>
      <c r="D204" s="11">
        <v>0</v>
      </c>
      <c r="E204" s="11">
        <v>0</v>
      </c>
      <c r="F204" s="11">
        <v>1</v>
      </c>
      <c r="G204" s="11">
        <v>2</v>
      </c>
      <c r="H204" s="11">
        <v>3</v>
      </c>
      <c r="I204" s="11">
        <v>3</v>
      </c>
      <c r="J204" s="11">
        <v>4</v>
      </c>
      <c r="K204" s="11">
        <v>5</v>
      </c>
    </row>
    <row r="205" spans="1:11">
      <c r="A205" s="11" t="s">
        <v>5</v>
      </c>
      <c r="B205" s="11">
        <v>0</v>
      </c>
      <c r="C205" s="11">
        <v>0</v>
      </c>
      <c r="D205" s="11">
        <v>1</v>
      </c>
      <c r="E205" s="11">
        <v>2</v>
      </c>
      <c r="F205" s="11">
        <v>2</v>
      </c>
      <c r="G205" s="11">
        <v>3</v>
      </c>
      <c r="H205" s="11">
        <v>3</v>
      </c>
      <c r="I205" s="11">
        <v>4</v>
      </c>
      <c r="J205" s="11">
        <v>5</v>
      </c>
      <c r="K205" s="11">
        <v>6</v>
      </c>
    </row>
    <row r="206" spans="1:11">
      <c r="A206" s="11" t="s">
        <v>6</v>
      </c>
      <c r="B206" s="11">
        <v>2</v>
      </c>
      <c r="C206" s="11">
        <v>3</v>
      </c>
      <c r="D206" s="11">
        <v>4</v>
      </c>
      <c r="E206" s="11">
        <v>5</v>
      </c>
      <c r="F206" s="11">
        <v>6</v>
      </c>
      <c r="G206" s="11">
        <v>7</v>
      </c>
      <c r="H206" s="11">
        <v>8</v>
      </c>
      <c r="I206" s="11">
        <v>10</v>
      </c>
      <c r="J206" s="11">
        <v>11</v>
      </c>
      <c r="K206" s="11">
        <v>12</v>
      </c>
    </row>
    <row r="207" spans="1:11">
      <c r="A207" s="11" t="s">
        <v>22</v>
      </c>
      <c r="B207" s="11">
        <v>0</v>
      </c>
      <c r="C207" s="11">
        <v>2</v>
      </c>
      <c r="D207" s="11">
        <v>3</v>
      </c>
      <c r="E207" s="11">
        <v>4</v>
      </c>
      <c r="F207" s="11">
        <v>6</v>
      </c>
      <c r="G207" s="11">
        <v>7</v>
      </c>
      <c r="H207" s="11">
        <v>8</v>
      </c>
      <c r="I207" s="11">
        <v>10</v>
      </c>
      <c r="J207" s="11">
        <v>11</v>
      </c>
      <c r="K207" s="11">
        <v>12</v>
      </c>
    </row>
    <row r="208" spans="1:11">
      <c r="A208" s="11" t="s">
        <v>23</v>
      </c>
      <c r="B208" s="11">
        <v>0</v>
      </c>
      <c r="C208" s="11">
        <v>2</v>
      </c>
      <c r="D208" s="11">
        <v>3</v>
      </c>
      <c r="E208" s="11">
        <v>4</v>
      </c>
      <c r="F208" s="11">
        <v>5</v>
      </c>
      <c r="G208" s="11">
        <v>6</v>
      </c>
      <c r="H208" s="11">
        <v>7</v>
      </c>
      <c r="I208" s="11">
        <v>8</v>
      </c>
      <c r="J208" s="11">
        <v>10</v>
      </c>
      <c r="K208" s="11">
        <v>11</v>
      </c>
    </row>
    <row r="209" spans="1:11">
      <c r="A209" s="11" t="s">
        <v>7</v>
      </c>
      <c r="B209" s="11">
        <v>0</v>
      </c>
      <c r="C209" s="11">
        <v>0</v>
      </c>
      <c r="D209" s="11">
        <v>1</v>
      </c>
      <c r="E209" s="11">
        <v>2</v>
      </c>
      <c r="F209" s="11">
        <v>3</v>
      </c>
      <c r="G209" s="11">
        <v>4</v>
      </c>
      <c r="H209" s="11">
        <v>5</v>
      </c>
      <c r="I209" s="11">
        <v>6</v>
      </c>
      <c r="J209" s="11">
        <v>7</v>
      </c>
      <c r="K209" s="11">
        <v>8</v>
      </c>
    </row>
    <row r="210" spans="1:11">
      <c r="A210" s="11" t="s">
        <v>8</v>
      </c>
      <c r="B210" s="11">
        <v>0</v>
      </c>
      <c r="C210" s="11">
        <v>0</v>
      </c>
      <c r="D210" s="11">
        <v>2</v>
      </c>
      <c r="E210" s="11">
        <v>2</v>
      </c>
      <c r="F210" s="11">
        <v>3</v>
      </c>
      <c r="G210" s="11">
        <v>3</v>
      </c>
      <c r="H210" s="11">
        <v>4</v>
      </c>
      <c r="I210" s="11">
        <v>5</v>
      </c>
      <c r="J210" s="11">
        <v>6</v>
      </c>
      <c r="K210" s="11">
        <v>6</v>
      </c>
    </row>
    <row r="211" spans="1:11">
      <c r="A211" s="11" t="s">
        <v>24</v>
      </c>
      <c r="B211" s="11">
        <v>0</v>
      </c>
      <c r="C211" s="11">
        <v>0</v>
      </c>
      <c r="D211" s="11">
        <v>0</v>
      </c>
      <c r="E211" s="11">
        <v>2</v>
      </c>
      <c r="F211" s="11">
        <v>3</v>
      </c>
      <c r="G211" s="11">
        <v>4</v>
      </c>
      <c r="H211" s="11">
        <v>5</v>
      </c>
      <c r="I211" s="11">
        <v>6</v>
      </c>
      <c r="J211" s="11">
        <v>7</v>
      </c>
      <c r="K211" s="11">
        <v>8</v>
      </c>
    </row>
    <row r="212" spans="1:11">
      <c r="A212" s="11" t="s">
        <v>25</v>
      </c>
      <c r="B212" s="11">
        <v>1</v>
      </c>
      <c r="C212" s="11">
        <v>1</v>
      </c>
      <c r="D212" s="11">
        <v>1</v>
      </c>
      <c r="E212" s="11">
        <v>1</v>
      </c>
      <c r="F212" s="11">
        <v>1</v>
      </c>
      <c r="G212" s="11">
        <v>1</v>
      </c>
      <c r="H212" s="11">
        <v>1</v>
      </c>
      <c r="I212" s="11">
        <v>1</v>
      </c>
      <c r="J212" s="11">
        <v>1</v>
      </c>
      <c r="K212" s="11">
        <v>1</v>
      </c>
    </row>
    <row r="213" spans="1:11">
      <c r="A213" s="11" t="s">
        <v>26</v>
      </c>
      <c r="B213" s="11">
        <v>0</v>
      </c>
      <c r="C213" s="11">
        <v>0</v>
      </c>
      <c r="D213" s="11">
        <v>0</v>
      </c>
      <c r="E213" s="11">
        <v>0</v>
      </c>
      <c r="F213" s="11">
        <v>2</v>
      </c>
      <c r="G213" s="11">
        <v>3</v>
      </c>
      <c r="H213" s="11">
        <v>4</v>
      </c>
      <c r="I213" s="11">
        <v>6</v>
      </c>
      <c r="J213" s="11">
        <v>7</v>
      </c>
      <c r="K213" s="11">
        <v>8</v>
      </c>
    </row>
    <row r="214" spans="1:11">
      <c r="A214" s="11" t="s">
        <v>9</v>
      </c>
      <c r="B214" s="11">
        <v>0</v>
      </c>
      <c r="C214" s="11">
        <v>0</v>
      </c>
      <c r="D214" s="11">
        <v>0</v>
      </c>
      <c r="E214" s="11">
        <v>0</v>
      </c>
      <c r="F214" s="11">
        <v>0</v>
      </c>
      <c r="G214" s="11">
        <v>2</v>
      </c>
      <c r="H214" s="11">
        <v>2</v>
      </c>
      <c r="I214" s="11">
        <v>3</v>
      </c>
      <c r="J214" s="11">
        <v>3</v>
      </c>
      <c r="K214" s="11">
        <v>4</v>
      </c>
    </row>
    <row r="215" spans="1:11">
      <c r="A215" s="11" t="s">
        <v>10</v>
      </c>
      <c r="B215" s="11">
        <v>0</v>
      </c>
      <c r="C215" s="11">
        <v>0</v>
      </c>
      <c r="D215" s="11">
        <v>0</v>
      </c>
      <c r="E215" s="11">
        <v>0</v>
      </c>
      <c r="F215" s="11">
        <v>2</v>
      </c>
      <c r="G215" s="11">
        <v>2</v>
      </c>
      <c r="H215" s="11">
        <v>3</v>
      </c>
      <c r="I215" s="11">
        <v>3</v>
      </c>
      <c r="J215" s="11">
        <v>4</v>
      </c>
      <c r="K215" s="11">
        <v>4</v>
      </c>
    </row>
    <row r="216" spans="1:11">
      <c r="A216" s="11" t="s">
        <v>27</v>
      </c>
      <c r="B216" s="11">
        <v>0</v>
      </c>
      <c r="C216" s="11">
        <v>0</v>
      </c>
      <c r="D216" s="11">
        <v>0</v>
      </c>
      <c r="E216" s="11">
        <v>0</v>
      </c>
      <c r="F216" s="11">
        <v>0</v>
      </c>
      <c r="G216" s="11">
        <v>0</v>
      </c>
      <c r="H216" s="11">
        <v>1</v>
      </c>
      <c r="I216" s="11">
        <v>1</v>
      </c>
      <c r="J216" s="11">
        <v>2</v>
      </c>
      <c r="K216" s="11">
        <v>3</v>
      </c>
    </row>
    <row r="217" spans="1:11">
      <c r="A217" s="11" t="s">
        <v>11</v>
      </c>
      <c r="B217" s="11">
        <v>0</v>
      </c>
      <c r="C217" s="11">
        <v>0</v>
      </c>
      <c r="D217" s="11">
        <v>0</v>
      </c>
      <c r="E217" s="11">
        <v>0</v>
      </c>
      <c r="F217" s="11">
        <v>0</v>
      </c>
      <c r="G217" s="11">
        <v>0</v>
      </c>
      <c r="H217" s="11">
        <v>3</v>
      </c>
      <c r="I217" s="11">
        <v>6</v>
      </c>
      <c r="J217" s="11">
        <v>7</v>
      </c>
      <c r="K217" s="11">
        <v>8</v>
      </c>
    </row>
    <row r="218" spans="1:11">
      <c r="A218" s="11" t="s">
        <v>12</v>
      </c>
      <c r="B218" s="11">
        <v>0</v>
      </c>
      <c r="C218" s="11">
        <v>0</v>
      </c>
      <c r="D218" s="11">
        <v>0</v>
      </c>
      <c r="E218" s="11">
        <v>0</v>
      </c>
      <c r="F218" s="11">
        <v>0</v>
      </c>
      <c r="G218" s="11">
        <v>0</v>
      </c>
      <c r="H218" s="11">
        <v>0</v>
      </c>
      <c r="I218" s="11">
        <v>0</v>
      </c>
      <c r="J218" s="11">
        <v>3</v>
      </c>
      <c r="K218" s="11">
        <v>4</v>
      </c>
    </row>
    <row r="219" spans="1:11">
      <c r="A219" s="11" t="s">
        <v>28</v>
      </c>
      <c r="B219" s="11">
        <v>0</v>
      </c>
      <c r="C219" s="11">
        <v>0</v>
      </c>
      <c r="D219" s="11">
        <v>0</v>
      </c>
      <c r="E219" s="11">
        <v>0</v>
      </c>
      <c r="F219" s="11">
        <v>0</v>
      </c>
      <c r="G219" s="11">
        <v>0</v>
      </c>
      <c r="H219" s="11">
        <v>0</v>
      </c>
      <c r="I219" s="11">
        <v>0</v>
      </c>
      <c r="J219" s="11">
        <v>0</v>
      </c>
      <c r="K219" s="11">
        <v>3</v>
      </c>
    </row>
    <row r="220" spans="1:11">
      <c r="A220" s="11" t="s">
        <v>105</v>
      </c>
      <c r="B220" s="11">
        <v>0</v>
      </c>
      <c r="C220" s="11">
        <v>0</v>
      </c>
      <c r="D220" s="11">
        <v>0</v>
      </c>
      <c r="E220" s="11">
        <v>0</v>
      </c>
      <c r="F220" s="11">
        <v>0</v>
      </c>
      <c r="G220" s="11">
        <v>0</v>
      </c>
      <c r="H220" s="11">
        <v>1</v>
      </c>
      <c r="I220" s="11">
        <v>1</v>
      </c>
      <c r="J220" s="11">
        <v>1</v>
      </c>
      <c r="K220" s="11">
        <v>1</v>
      </c>
    </row>
    <row r="221" spans="1:11">
      <c r="A221" s="11" t="s">
        <v>106</v>
      </c>
      <c r="B221" s="11">
        <v>0</v>
      </c>
      <c r="C221" s="11">
        <v>0</v>
      </c>
      <c r="D221" s="11">
        <v>0</v>
      </c>
      <c r="E221" s="11">
        <v>0</v>
      </c>
      <c r="F221" s="11">
        <v>0</v>
      </c>
      <c r="G221" s="11">
        <v>0</v>
      </c>
      <c r="H221" s="11">
        <v>0</v>
      </c>
      <c r="I221" s="11">
        <v>0</v>
      </c>
      <c r="J221" s="11">
        <v>1</v>
      </c>
      <c r="K221" s="11">
        <v>1</v>
      </c>
    </row>
    <row r="222" spans="1:11">
      <c r="A222" s="11" t="s">
        <v>189</v>
      </c>
      <c r="B222" s="11">
        <v>0</v>
      </c>
      <c r="C222" s="11">
        <v>0</v>
      </c>
      <c r="D222" s="11">
        <v>0</v>
      </c>
      <c r="E222" s="11">
        <v>0</v>
      </c>
      <c r="F222" s="11">
        <v>0</v>
      </c>
      <c r="G222" s="11">
        <v>0</v>
      </c>
      <c r="H222" s="11">
        <v>5</v>
      </c>
      <c r="I222" s="11">
        <v>10</v>
      </c>
      <c r="J222" s="11">
        <v>30</v>
      </c>
      <c r="K222" s="11">
        <v>40</v>
      </c>
    </row>
    <row r="223" spans="1:11">
      <c r="A223" s="11" t="s">
        <v>193</v>
      </c>
      <c r="B223" s="11">
        <v>0</v>
      </c>
      <c r="C223" s="11">
        <v>0</v>
      </c>
      <c r="D223" s="11">
        <v>0</v>
      </c>
      <c r="E223" s="11">
        <v>0</v>
      </c>
      <c r="F223" s="11">
        <v>0</v>
      </c>
      <c r="G223" s="11">
        <v>0</v>
      </c>
      <c r="H223" s="11">
        <v>0</v>
      </c>
      <c r="I223" s="11">
        <v>0</v>
      </c>
      <c r="J223" s="11">
        <v>30</v>
      </c>
      <c r="K223" s="11">
        <v>40</v>
      </c>
    </row>
    <row r="224" spans="1:11">
      <c r="A224" s="11" t="s">
        <v>82</v>
      </c>
      <c r="B224" s="11">
        <v>2</v>
      </c>
      <c r="C224" s="11">
        <v>2</v>
      </c>
      <c r="D224" s="11">
        <v>3</v>
      </c>
      <c r="E224" s="11">
        <v>3</v>
      </c>
      <c r="F224" s="11">
        <v>4</v>
      </c>
      <c r="G224" s="11">
        <v>5</v>
      </c>
      <c r="H224" s="11">
        <v>6</v>
      </c>
      <c r="I224" s="11">
        <v>6</v>
      </c>
      <c r="J224" s="11">
        <v>0</v>
      </c>
      <c r="K224" s="11">
        <v>0</v>
      </c>
    </row>
    <row r="225" spans="1:11">
      <c r="A225" s="11" t="s">
        <v>83</v>
      </c>
      <c r="B225" s="11">
        <v>2</v>
      </c>
      <c r="C225" s="11">
        <v>2</v>
      </c>
      <c r="D225" s="11">
        <v>3</v>
      </c>
      <c r="E225" s="11">
        <v>3</v>
      </c>
      <c r="F225" s="11">
        <v>4</v>
      </c>
      <c r="G225" s="11">
        <v>5</v>
      </c>
      <c r="H225" s="11">
        <v>6</v>
      </c>
      <c r="I225" s="11">
        <v>6</v>
      </c>
      <c r="J225" s="11">
        <v>0</v>
      </c>
      <c r="K225" s="11">
        <v>0</v>
      </c>
    </row>
    <row r="226" spans="1:11">
      <c r="A226" s="11" t="s">
        <v>84</v>
      </c>
      <c r="B226" s="11">
        <v>2</v>
      </c>
      <c r="C226" s="11">
        <v>2</v>
      </c>
      <c r="D226" s="11">
        <v>3</v>
      </c>
      <c r="E226" s="11">
        <v>3</v>
      </c>
      <c r="F226" s="11">
        <v>4</v>
      </c>
      <c r="G226" s="11">
        <v>5</v>
      </c>
      <c r="H226" s="11">
        <v>5</v>
      </c>
      <c r="I226" s="11">
        <v>6</v>
      </c>
      <c r="J226" s="11">
        <v>0</v>
      </c>
      <c r="K226" s="11">
        <v>0</v>
      </c>
    </row>
    <row r="227" spans="1:11">
      <c r="A227" s="11" t="s">
        <v>85</v>
      </c>
      <c r="B227" s="11">
        <v>0</v>
      </c>
      <c r="C227" s="11">
        <v>2</v>
      </c>
      <c r="D227" s="11">
        <v>2</v>
      </c>
      <c r="E227" s="11">
        <v>3</v>
      </c>
      <c r="F227" s="11">
        <v>4</v>
      </c>
      <c r="G227" s="11">
        <v>5</v>
      </c>
      <c r="H227" s="11">
        <v>6</v>
      </c>
      <c r="I227" s="11">
        <v>6</v>
      </c>
      <c r="J227" s="11">
        <v>0</v>
      </c>
      <c r="K227" s="11">
        <v>0</v>
      </c>
    </row>
    <row r="228" spans="1:11">
      <c r="A228" s="11" t="s">
        <v>86</v>
      </c>
      <c r="B228" s="11">
        <v>0</v>
      </c>
      <c r="C228" s="11">
        <v>2</v>
      </c>
      <c r="D228" s="11">
        <v>2</v>
      </c>
      <c r="E228" s="11">
        <v>3</v>
      </c>
      <c r="F228" s="11">
        <v>4</v>
      </c>
      <c r="G228" s="11">
        <v>5</v>
      </c>
      <c r="H228" s="11">
        <v>5</v>
      </c>
      <c r="I228" s="11">
        <v>6</v>
      </c>
      <c r="J228" s="11">
        <v>0</v>
      </c>
      <c r="K228" s="11">
        <v>0</v>
      </c>
    </row>
    <row r="229" spans="1:11">
      <c r="A229" s="11" t="s">
        <v>87</v>
      </c>
      <c r="B229" s="11">
        <v>0</v>
      </c>
      <c r="C229" s="11">
        <v>2</v>
      </c>
      <c r="D229" s="11">
        <v>2</v>
      </c>
      <c r="E229" s="11">
        <v>3</v>
      </c>
      <c r="F229" s="11">
        <v>4</v>
      </c>
      <c r="G229" s="11">
        <v>5</v>
      </c>
      <c r="H229" s="11">
        <v>6</v>
      </c>
      <c r="I229" s="11">
        <v>6</v>
      </c>
      <c r="J229" s="11">
        <v>0</v>
      </c>
      <c r="K229" s="11">
        <v>0</v>
      </c>
    </row>
    <row r="230" spans="1:11">
      <c r="A230" s="11" t="s">
        <v>88</v>
      </c>
      <c r="B230" s="11">
        <v>0</v>
      </c>
      <c r="C230" s="11">
        <v>0</v>
      </c>
      <c r="D230" s="11">
        <v>2</v>
      </c>
      <c r="E230" s="11">
        <v>3</v>
      </c>
      <c r="F230" s="11">
        <v>4</v>
      </c>
      <c r="G230" s="11">
        <v>5</v>
      </c>
      <c r="H230" s="11">
        <v>5</v>
      </c>
      <c r="I230" s="11">
        <v>6</v>
      </c>
      <c r="J230" s="11">
        <v>0</v>
      </c>
      <c r="K230" s="11">
        <v>0</v>
      </c>
    </row>
    <row r="231" spans="1:11">
      <c r="A231" s="11" t="s">
        <v>89</v>
      </c>
      <c r="B231" s="11">
        <v>0</v>
      </c>
      <c r="C231" s="11">
        <v>0</v>
      </c>
      <c r="D231" s="11">
        <v>0</v>
      </c>
      <c r="E231" s="11">
        <v>0</v>
      </c>
      <c r="F231" s="11">
        <v>2</v>
      </c>
      <c r="G231" s="11">
        <v>3</v>
      </c>
      <c r="H231" s="11">
        <v>4</v>
      </c>
      <c r="I231" s="11">
        <v>4</v>
      </c>
      <c r="J231" s="11">
        <v>0</v>
      </c>
      <c r="K231" s="11">
        <v>0</v>
      </c>
    </row>
    <row r="232" spans="1:11">
      <c r="A232" s="11" t="s">
        <v>90</v>
      </c>
      <c r="B232" s="11">
        <v>0</v>
      </c>
      <c r="C232" s="11">
        <v>0</v>
      </c>
      <c r="D232" s="11">
        <v>0</v>
      </c>
      <c r="E232" s="11">
        <v>0</v>
      </c>
      <c r="F232" s="11">
        <v>2</v>
      </c>
      <c r="G232" s="11">
        <v>3</v>
      </c>
      <c r="H232" s="11">
        <v>3</v>
      </c>
      <c r="I232" s="11">
        <v>4</v>
      </c>
      <c r="J232" s="11">
        <v>0</v>
      </c>
      <c r="K232" s="11">
        <v>0</v>
      </c>
    </row>
    <row r="233" spans="1:11">
      <c r="A233" s="11" t="s">
        <v>91</v>
      </c>
      <c r="B233" s="11">
        <v>0</v>
      </c>
      <c r="C233" s="11">
        <v>0</v>
      </c>
      <c r="D233" s="11">
        <v>0</v>
      </c>
      <c r="E233" s="11">
        <v>0</v>
      </c>
      <c r="F233" s="11">
        <v>0</v>
      </c>
      <c r="G233" s="11">
        <v>3</v>
      </c>
      <c r="H233" s="11">
        <v>3</v>
      </c>
      <c r="I233" s="11">
        <v>5</v>
      </c>
      <c r="J233" s="11">
        <v>0</v>
      </c>
      <c r="K233" s="11">
        <v>0</v>
      </c>
    </row>
    <row r="234" spans="1:11">
      <c r="A234" s="11" t="s">
        <v>92</v>
      </c>
      <c r="B234" s="11">
        <v>2</v>
      </c>
      <c r="C234" s="11">
        <v>3</v>
      </c>
      <c r="D234" s="11">
        <v>4</v>
      </c>
      <c r="E234" s="11">
        <v>4</v>
      </c>
      <c r="F234" s="11">
        <v>4</v>
      </c>
      <c r="G234" s="11">
        <v>5</v>
      </c>
      <c r="H234" s="11">
        <v>5</v>
      </c>
      <c r="I234" s="11">
        <v>6</v>
      </c>
      <c r="J234" s="11">
        <v>0</v>
      </c>
      <c r="K234" s="11">
        <v>0</v>
      </c>
    </row>
    <row r="235" spans="1:11">
      <c r="A235" s="11" t="s">
        <v>93</v>
      </c>
      <c r="B235" s="11">
        <v>0</v>
      </c>
      <c r="C235" s="11">
        <v>2</v>
      </c>
      <c r="D235" s="11">
        <v>2</v>
      </c>
      <c r="E235" s="11">
        <v>3</v>
      </c>
      <c r="F235" s="11">
        <v>4</v>
      </c>
      <c r="G235" s="11">
        <v>5</v>
      </c>
      <c r="H235" s="11">
        <v>6</v>
      </c>
      <c r="I235" s="11">
        <v>6</v>
      </c>
      <c r="J235" s="11">
        <v>0</v>
      </c>
      <c r="K235" s="11">
        <v>0</v>
      </c>
    </row>
    <row r="236" spans="1:11">
      <c r="A236" s="11" t="s">
        <v>94</v>
      </c>
      <c r="B236" s="11">
        <v>0</v>
      </c>
      <c r="C236" s="11">
        <v>0</v>
      </c>
      <c r="D236" s="11">
        <v>2</v>
      </c>
      <c r="E236" s="11">
        <v>3</v>
      </c>
      <c r="F236" s="11">
        <v>4</v>
      </c>
      <c r="G236" s="11">
        <v>5</v>
      </c>
      <c r="H236" s="11">
        <v>5</v>
      </c>
      <c r="I236" s="11">
        <v>5</v>
      </c>
      <c r="J236" s="11">
        <v>0</v>
      </c>
      <c r="K236" s="11">
        <v>0</v>
      </c>
    </row>
    <row r="237" spans="1:11">
      <c r="A237" s="11" t="s">
        <v>95</v>
      </c>
      <c r="B237" s="11">
        <v>0</v>
      </c>
      <c r="C237" s="11">
        <v>0</v>
      </c>
      <c r="D237" s="11">
        <v>0</v>
      </c>
      <c r="E237" s="11">
        <v>0</v>
      </c>
      <c r="F237" s="11">
        <v>0</v>
      </c>
      <c r="G237" s="11">
        <v>2</v>
      </c>
      <c r="H237" s="11">
        <v>2</v>
      </c>
      <c r="I237" s="11">
        <v>3</v>
      </c>
      <c r="J237" s="11">
        <v>0</v>
      </c>
      <c r="K237" s="11">
        <v>0</v>
      </c>
    </row>
    <row r="238" spans="1:11">
      <c r="A238" s="11" t="s">
        <v>96</v>
      </c>
      <c r="B238" s="11">
        <v>0</v>
      </c>
      <c r="C238" s="11">
        <v>0</v>
      </c>
      <c r="D238" s="11">
        <v>0</v>
      </c>
      <c r="E238" s="11">
        <v>0</v>
      </c>
      <c r="F238" s="11">
        <v>0</v>
      </c>
      <c r="G238" s="11">
        <v>0</v>
      </c>
      <c r="H238" s="11">
        <v>0</v>
      </c>
      <c r="I238" s="11">
        <v>5</v>
      </c>
      <c r="J238" s="11">
        <v>0</v>
      </c>
      <c r="K238" s="11">
        <v>0</v>
      </c>
    </row>
    <row r="239" spans="1:11">
      <c r="A239" s="11" t="s">
        <v>97</v>
      </c>
      <c r="B239" s="11">
        <v>0</v>
      </c>
      <c r="C239" s="11">
        <v>0</v>
      </c>
      <c r="D239" s="11">
        <v>0</v>
      </c>
      <c r="E239" s="11">
        <v>0</v>
      </c>
      <c r="F239" s="11">
        <v>2</v>
      </c>
      <c r="G239" s="11">
        <v>4</v>
      </c>
      <c r="H239" s="11">
        <v>5</v>
      </c>
      <c r="I239" s="11">
        <v>6</v>
      </c>
      <c r="J239" s="11">
        <v>0</v>
      </c>
      <c r="K239" s="11">
        <v>0</v>
      </c>
    </row>
    <row r="240" spans="1:11">
      <c r="A240" s="11" t="s">
        <v>98</v>
      </c>
      <c r="B240" s="11">
        <v>0</v>
      </c>
      <c r="C240" s="11">
        <v>0</v>
      </c>
      <c r="D240" s="11">
        <v>0</v>
      </c>
      <c r="E240" s="11">
        <v>0</v>
      </c>
      <c r="F240" s="11">
        <v>2</v>
      </c>
      <c r="G240" s="11">
        <v>4</v>
      </c>
      <c r="H240" s="11">
        <v>5</v>
      </c>
      <c r="I240" s="11">
        <v>5</v>
      </c>
      <c r="J240" s="11">
        <v>0</v>
      </c>
      <c r="K240" s="11">
        <v>0</v>
      </c>
    </row>
    <row r="241" spans="1:27">
      <c r="A241" s="11" t="s">
        <v>99</v>
      </c>
      <c r="B241" s="11">
        <v>0</v>
      </c>
      <c r="C241" s="11">
        <v>0</v>
      </c>
      <c r="D241" s="11">
        <v>0</v>
      </c>
      <c r="E241" s="11">
        <v>0</v>
      </c>
      <c r="F241" s="11">
        <v>0</v>
      </c>
      <c r="G241" s="11">
        <v>2</v>
      </c>
      <c r="H241" s="11">
        <v>4</v>
      </c>
      <c r="I241" s="11">
        <v>4</v>
      </c>
      <c r="J241" s="11">
        <v>0</v>
      </c>
      <c r="K241" s="11">
        <v>0</v>
      </c>
    </row>
    <row r="242" spans="1:27">
      <c r="A242" s="11" t="s">
        <v>100</v>
      </c>
      <c r="B242" s="11">
        <v>0</v>
      </c>
      <c r="C242" s="11">
        <v>0</v>
      </c>
      <c r="D242" s="11">
        <v>0</v>
      </c>
      <c r="E242" s="11">
        <v>0</v>
      </c>
      <c r="F242" s="11">
        <v>0</v>
      </c>
      <c r="G242" s="11">
        <v>2</v>
      </c>
      <c r="H242" s="11">
        <v>4</v>
      </c>
      <c r="I242" s="11">
        <v>5</v>
      </c>
      <c r="J242" s="11">
        <v>0</v>
      </c>
      <c r="K242" s="11">
        <v>0</v>
      </c>
    </row>
    <row r="243" spans="1:27">
      <c r="A243" s="50" t="s">
        <v>101</v>
      </c>
      <c r="B243" s="50">
        <v>0</v>
      </c>
      <c r="C243" s="50">
        <v>0</v>
      </c>
      <c r="D243" s="50">
        <v>0</v>
      </c>
      <c r="E243" s="50">
        <v>0</v>
      </c>
      <c r="F243" s="50">
        <v>0</v>
      </c>
      <c r="G243" s="50">
        <v>0</v>
      </c>
      <c r="H243" s="50">
        <v>2</v>
      </c>
      <c r="I243" s="50">
        <v>2</v>
      </c>
      <c r="J243" s="50">
        <v>0</v>
      </c>
      <c r="K243" s="50">
        <v>0</v>
      </c>
    </row>
    <row r="245" spans="1:27" ht="16" thickBot="1"/>
    <row r="246" spans="1:27" ht="32" thickTop="1" thickBot="1">
      <c r="A246" s="364" t="s">
        <v>209</v>
      </c>
      <c r="B246" s="365"/>
      <c r="C246" s="365"/>
      <c r="D246" s="365"/>
      <c r="E246" s="365"/>
      <c r="F246" s="365"/>
      <c r="G246" s="365"/>
      <c r="H246" s="365"/>
      <c r="I246" s="365"/>
      <c r="J246" s="365"/>
      <c r="K246" s="365"/>
      <c r="L246" s="365"/>
      <c r="M246" s="365"/>
      <c r="N246" s="365"/>
      <c r="O246" s="365"/>
      <c r="P246" s="365"/>
      <c r="Q246" s="365"/>
      <c r="R246" s="365"/>
      <c r="S246" s="365"/>
      <c r="T246" s="365"/>
      <c r="U246" s="365"/>
      <c r="V246" s="365"/>
      <c r="W246" s="365"/>
      <c r="X246" s="365"/>
      <c r="Y246" s="365"/>
      <c r="Z246" s="365"/>
      <c r="AA246" s="366"/>
    </row>
    <row r="247" spans="1:27" ht="20" thickTop="1" thickBot="1">
      <c r="A247" s="83" t="s">
        <v>174</v>
      </c>
      <c r="C247" s="86" t="s">
        <v>175</v>
      </c>
    </row>
    <row r="248" spans="1:27" ht="16" thickTop="1">
      <c r="A248" s="88" t="s">
        <v>172</v>
      </c>
      <c r="C248" s="84" t="b">
        <f>TRUE</f>
        <v>1</v>
      </c>
    </row>
    <row r="249" spans="1:27" ht="16" thickBot="1">
      <c r="A249" s="84" t="s">
        <v>10</v>
      </c>
      <c r="C249" s="85" t="b">
        <f>FALSE</f>
        <v>0</v>
      </c>
    </row>
    <row r="250" spans="1:27" ht="16" thickTop="1">
      <c r="A250" s="84" t="s">
        <v>24</v>
      </c>
    </row>
    <row r="251" spans="1:27">
      <c r="A251" s="84" t="s">
        <v>106</v>
      </c>
    </row>
    <row r="252" spans="1:27">
      <c r="A252" s="84" t="s">
        <v>22</v>
      </c>
    </row>
    <row r="253" spans="1:27">
      <c r="A253" s="84" t="s">
        <v>244</v>
      </c>
    </row>
    <row r="254" spans="1:27">
      <c r="A254" s="84" t="s">
        <v>105</v>
      </c>
    </row>
    <row r="255" spans="1:27">
      <c r="A255" s="84" t="s">
        <v>2</v>
      </c>
    </row>
    <row r="256" spans="1:27">
      <c r="A256" s="84" t="s">
        <v>8</v>
      </c>
    </row>
    <row r="257" spans="1:1">
      <c r="A257" s="84" t="s">
        <v>6</v>
      </c>
    </row>
    <row r="258" spans="1:1">
      <c r="A258" s="84" t="s">
        <v>5</v>
      </c>
    </row>
    <row r="259" spans="1:1">
      <c r="A259" s="84" t="s">
        <v>19</v>
      </c>
    </row>
    <row r="260" spans="1:1">
      <c r="A260" s="84" t="s">
        <v>17</v>
      </c>
    </row>
    <row r="261" spans="1:1">
      <c r="A261" s="84" t="s">
        <v>18</v>
      </c>
    </row>
    <row r="262" spans="1:1">
      <c r="A262" s="84" t="s">
        <v>16</v>
      </c>
    </row>
    <row r="263" spans="1:1">
      <c r="A263" s="84" t="s">
        <v>4</v>
      </c>
    </row>
    <row r="264" spans="1:1">
      <c r="A264" s="84" t="s">
        <v>9</v>
      </c>
    </row>
    <row r="265" spans="1:1">
      <c r="A265" s="84" t="s">
        <v>15</v>
      </c>
    </row>
    <row r="266" spans="1:1">
      <c r="A266" s="84" t="s">
        <v>3</v>
      </c>
    </row>
    <row r="267" spans="1:1">
      <c r="A267" s="84" t="s">
        <v>11</v>
      </c>
    </row>
    <row r="268" spans="1:1">
      <c r="A268" s="84" t="s">
        <v>28</v>
      </c>
    </row>
    <row r="269" spans="1:1">
      <c r="A269" s="84" t="s">
        <v>20</v>
      </c>
    </row>
    <row r="270" spans="1:1">
      <c r="A270" s="84" t="s">
        <v>7</v>
      </c>
    </row>
    <row r="271" spans="1:1">
      <c r="A271" s="84" t="s">
        <v>27</v>
      </c>
    </row>
    <row r="272" spans="1:1">
      <c r="A272" s="84" t="s">
        <v>21</v>
      </c>
    </row>
    <row r="273" spans="1:1">
      <c r="A273" s="84" t="s">
        <v>25</v>
      </c>
    </row>
    <row r="274" spans="1:1">
      <c r="A274" s="84" t="s">
        <v>13</v>
      </c>
    </row>
    <row r="275" spans="1:1">
      <c r="A275" s="84" t="s">
        <v>26</v>
      </c>
    </row>
    <row r="276" spans="1:1">
      <c r="A276" s="84" t="s">
        <v>12</v>
      </c>
    </row>
    <row r="277" spans="1:1">
      <c r="A277" s="84" t="s">
        <v>23</v>
      </c>
    </row>
    <row r="278" spans="1:1">
      <c r="A278" s="87" t="s">
        <v>194</v>
      </c>
    </row>
    <row r="279" spans="1:1">
      <c r="A279" s="84" t="s">
        <v>189</v>
      </c>
    </row>
    <row r="280" spans="1:1">
      <c r="A280" s="84" t="s">
        <v>193</v>
      </c>
    </row>
    <row r="281" spans="1:1">
      <c r="A281" s="87" t="s">
        <v>173</v>
      </c>
    </row>
    <row r="282" spans="1:1">
      <c r="A282" s="84" t="s">
        <v>83</v>
      </c>
    </row>
    <row r="283" spans="1:1">
      <c r="A283" s="84" t="s">
        <v>87</v>
      </c>
    </row>
    <row r="284" spans="1:1">
      <c r="A284" s="84" t="s">
        <v>82</v>
      </c>
    </row>
    <row r="285" spans="1:1">
      <c r="A285" s="84" t="s">
        <v>90</v>
      </c>
    </row>
    <row r="286" spans="1:1">
      <c r="A286" s="84" t="s">
        <v>96</v>
      </c>
    </row>
    <row r="287" spans="1:1">
      <c r="A287" s="84" t="s">
        <v>85</v>
      </c>
    </row>
    <row r="288" spans="1:1">
      <c r="A288" s="84" t="s">
        <v>84</v>
      </c>
    </row>
    <row r="289" spans="1:1">
      <c r="A289" s="84" t="s">
        <v>100</v>
      </c>
    </row>
    <row r="290" spans="1:1">
      <c r="A290" s="84" t="s">
        <v>89</v>
      </c>
    </row>
    <row r="291" spans="1:1">
      <c r="A291" s="84" t="s">
        <v>93</v>
      </c>
    </row>
    <row r="292" spans="1:1">
      <c r="A292" s="84" t="s">
        <v>98</v>
      </c>
    </row>
    <row r="293" spans="1:1">
      <c r="A293" s="84" t="s">
        <v>95</v>
      </c>
    </row>
    <row r="294" spans="1:1">
      <c r="A294" s="84" t="s">
        <v>92</v>
      </c>
    </row>
    <row r="295" spans="1:1">
      <c r="A295" s="84" t="s">
        <v>97</v>
      </c>
    </row>
    <row r="296" spans="1:1">
      <c r="A296" s="84" t="s">
        <v>91</v>
      </c>
    </row>
    <row r="297" spans="1:1">
      <c r="A297" s="84" t="s">
        <v>94</v>
      </c>
    </row>
    <row r="298" spans="1:1">
      <c r="A298" s="84" t="s">
        <v>99</v>
      </c>
    </row>
    <row r="299" spans="1:1">
      <c r="A299" s="84" t="s">
        <v>86</v>
      </c>
    </row>
    <row r="300" spans="1:1">
      <c r="A300" s="84" t="s">
        <v>101</v>
      </c>
    </row>
    <row r="301" spans="1:1" ht="16" thickBot="1">
      <c r="A301" s="85" t="s">
        <v>88</v>
      </c>
    </row>
    <row r="302" spans="1:1" ht="16" thickTop="1"/>
  </sheetData>
  <sheetProtection selectLockedCells="1" sort="0" autoFilter="0" pivotTables="0"/>
  <mergeCells count="8">
    <mergeCell ref="A246:AA246"/>
    <mergeCell ref="A1:AA1"/>
    <mergeCell ref="A113:AA113"/>
    <mergeCell ref="A137:AA137"/>
    <mergeCell ref="A191:AA191"/>
    <mergeCell ref="A98:AA98"/>
    <mergeCell ref="A53:AA53"/>
    <mergeCell ref="A55:E55"/>
  </mergeCells>
  <phoneticPr fontId="8" type="noConversion"/>
  <conditionalFormatting sqref="D3:AA52 J65:T96 D56:D96 H55:I96 D54:AA54 J55:X64">
    <cfRule type="containsErrors" dxfId="204" priority="61">
      <formula>ISERROR(D3)</formula>
    </cfRule>
  </conditionalFormatting>
  <conditionalFormatting sqref="P23:W23 P22:Q22 T22 P27:W27 P24:T26 P28:T29 P21:W21 P20:U20 P16:AA17 P15:V15 P19:X19 P18:Z18 P32:T52 P30:P31">
    <cfRule type="containsErrors" dxfId="203" priority="60">
      <formula>ISERROR(P15)</formula>
    </cfRule>
  </conditionalFormatting>
  <conditionalFormatting sqref="P11:T11 P10:U10 P8:Z8 P7:U7">
    <cfRule type="containsErrors" dxfId="202" priority="59">
      <formula>ISERROR(P7)</formula>
    </cfRule>
  </conditionalFormatting>
  <conditionalFormatting sqref="P6:AA6">
    <cfRule type="containsErrors" dxfId="201" priority="56">
      <formula>ISERROR(P6)</formula>
    </cfRule>
  </conditionalFormatting>
  <conditionalFormatting sqref="D9:N9">
    <cfRule type="containsErrors" dxfId="200" priority="55">
      <formula>ISERROR(D9)</formula>
    </cfRule>
  </conditionalFormatting>
  <conditionalFormatting sqref="P9:Z9">
    <cfRule type="containsErrors" dxfId="199" priority="54">
      <formula>ISERROR(P9)</formula>
    </cfRule>
  </conditionalFormatting>
  <conditionalFormatting sqref="E41">
    <cfRule type="containsErrors" dxfId="198" priority="53">
      <formula>ISERROR(E41)</formula>
    </cfRule>
  </conditionalFormatting>
  <conditionalFormatting sqref="J33">
    <cfRule type="containsErrors" dxfId="197" priority="52">
      <formula>ISERROR(J33)</formula>
    </cfRule>
  </conditionalFormatting>
  <conditionalFormatting sqref="I39:I41">
    <cfRule type="containsErrors" dxfId="196" priority="51">
      <formula>ISERROR(I39)</formula>
    </cfRule>
  </conditionalFormatting>
  <conditionalFormatting sqref="J39:J41">
    <cfRule type="containsErrors" dxfId="195" priority="50">
      <formula>ISERROR(J39)</formula>
    </cfRule>
  </conditionalFormatting>
  <conditionalFormatting sqref="K34:K38 K42:K46">
    <cfRule type="containsErrors" dxfId="194" priority="49">
      <formula>ISERROR(K34)</formula>
    </cfRule>
  </conditionalFormatting>
  <conditionalFormatting sqref="K33">
    <cfRule type="containsErrors" dxfId="193" priority="48">
      <formula>ISERROR(K33)</formula>
    </cfRule>
  </conditionalFormatting>
  <conditionalFormatting sqref="K39:K41">
    <cfRule type="containsErrors" dxfId="192" priority="47">
      <formula>ISERROR(K39)</formula>
    </cfRule>
  </conditionalFormatting>
  <conditionalFormatting sqref="L34:L38 L42:L46">
    <cfRule type="containsErrors" dxfId="191" priority="46">
      <formula>ISERROR(L34)</formula>
    </cfRule>
  </conditionalFormatting>
  <conditionalFormatting sqref="L33">
    <cfRule type="containsErrors" dxfId="190" priority="45">
      <formula>ISERROR(L33)</formula>
    </cfRule>
  </conditionalFormatting>
  <conditionalFormatting sqref="L39:L41">
    <cfRule type="containsErrors" dxfId="189" priority="44">
      <formula>ISERROR(L39)</formula>
    </cfRule>
  </conditionalFormatting>
  <conditionalFormatting sqref="M34:M38 M42:M46">
    <cfRule type="containsErrors" dxfId="188" priority="43">
      <formula>ISERROR(M34)</formula>
    </cfRule>
  </conditionalFormatting>
  <conditionalFormatting sqref="M33">
    <cfRule type="containsErrors" dxfId="187" priority="42">
      <formula>ISERROR(M33)</formula>
    </cfRule>
  </conditionalFormatting>
  <conditionalFormatting sqref="M39:M41">
    <cfRule type="containsErrors" dxfId="186" priority="41">
      <formula>ISERROR(M39)</formula>
    </cfRule>
  </conditionalFormatting>
  <conditionalFormatting sqref="N34:N38 N42:N46">
    <cfRule type="containsErrors" dxfId="185" priority="40">
      <formula>ISERROR(N34)</formula>
    </cfRule>
  </conditionalFormatting>
  <conditionalFormatting sqref="N33">
    <cfRule type="containsErrors" dxfId="184" priority="39">
      <formula>ISERROR(N33)</formula>
    </cfRule>
  </conditionalFormatting>
  <conditionalFormatting sqref="N39:N41">
    <cfRule type="containsErrors" dxfId="183" priority="38">
      <formula>ISERROR(N39)</formula>
    </cfRule>
  </conditionalFormatting>
  <conditionalFormatting sqref="O34:O38 O42:O46">
    <cfRule type="containsErrors" dxfId="182" priority="37">
      <formula>ISERROR(O34)</formula>
    </cfRule>
  </conditionalFormatting>
  <conditionalFormatting sqref="O33">
    <cfRule type="containsErrors" dxfId="181" priority="36">
      <formula>ISERROR(O33)</formula>
    </cfRule>
  </conditionalFormatting>
  <conditionalFormatting sqref="O39:O41">
    <cfRule type="containsErrors" dxfId="180" priority="35">
      <formula>ISERROR(O39)</formula>
    </cfRule>
  </conditionalFormatting>
  <conditionalFormatting sqref="W33:W52">
    <cfRule type="containsErrors" dxfId="179" priority="34">
      <formula>ISERROR(W33)</formula>
    </cfRule>
  </conditionalFormatting>
  <conditionalFormatting sqref="X33:X52">
    <cfRule type="containsErrors" dxfId="178" priority="33">
      <formula>ISERROR(X33)</formula>
    </cfRule>
  </conditionalFormatting>
  <conditionalFormatting sqref="Y33:Y52">
    <cfRule type="containsErrors" dxfId="177" priority="32">
      <formula>ISERROR(Y33)</formula>
    </cfRule>
  </conditionalFormatting>
  <conditionalFormatting sqref="Z33:Z52">
    <cfRule type="containsErrors" dxfId="176" priority="31">
      <formula>ISERROR(Z33)</formula>
    </cfRule>
  </conditionalFormatting>
  <conditionalFormatting sqref="AA33:AA52">
    <cfRule type="containsErrors" dxfId="175" priority="30">
      <formula>ISERROR(AA33)</formula>
    </cfRule>
  </conditionalFormatting>
  <conditionalFormatting sqref="D41">
    <cfRule type="containsErrors" dxfId="174" priority="28">
      <formula>ISERROR(D41)</formula>
    </cfRule>
  </conditionalFormatting>
  <conditionalFormatting sqref="D32:D40 D42:D52 D54 D56:D96">
    <cfRule type="containsErrors" dxfId="173" priority="29">
      <formula>ISERROR(D32)</formula>
    </cfRule>
  </conditionalFormatting>
  <conditionalFormatting sqref="Q30:R31">
    <cfRule type="containsErrors" dxfId="172" priority="27">
      <formula>ISERROR(Q30)</formula>
    </cfRule>
  </conditionalFormatting>
  <conditionalFormatting sqref="J123">
    <cfRule type="containsErrors" dxfId="171" priority="26">
      <formula>ISERROR(J123)</formula>
    </cfRule>
  </conditionalFormatting>
  <conditionalFormatting sqref="J123">
    <cfRule type="containsErrors" dxfId="170" priority="25">
      <formula>ISERROR(J123)</formula>
    </cfRule>
  </conditionalFormatting>
  <conditionalFormatting sqref="H134">
    <cfRule type="containsErrors" dxfId="169" priority="4">
      <formula>ISERROR(H134)</formula>
    </cfRule>
  </conditionalFormatting>
  <conditionalFormatting sqref="K129">
    <cfRule type="containsErrors" dxfId="168" priority="3">
      <formula>ISERROR(K129)</formula>
    </cfRule>
  </conditionalFormatting>
  <conditionalFormatting sqref="J122">
    <cfRule type="containsErrors" dxfId="167" priority="22">
      <formula>ISERROR(J122)</formula>
    </cfRule>
  </conditionalFormatting>
  <conditionalFormatting sqref="K122">
    <cfRule type="containsErrors" dxfId="166" priority="20">
      <formula>ISERROR(K122)</formula>
    </cfRule>
  </conditionalFormatting>
  <conditionalFormatting sqref="K123">
    <cfRule type="containsErrors" dxfId="165" priority="19">
      <formula>ISERROR(K123)</formula>
    </cfRule>
  </conditionalFormatting>
  <conditionalFormatting sqref="K124">
    <cfRule type="containsErrors" dxfId="164" priority="18">
      <formula>ISERROR(K124)</formula>
    </cfRule>
  </conditionalFormatting>
  <conditionalFormatting sqref="J124">
    <cfRule type="containsErrors" dxfId="163" priority="17">
      <formula>ISERROR(J124)</formula>
    </cfRule>
  </conditionalFormatting>
  <conditionalFormatting sqref="K127">
    <cfRule type="containsErrors" dxfId="162" priority="16">
      <formula>ISERROR(K127)</formula>
    </cfRule>
  </conditionalFormatting>
  <conditionalFormatting sqref="K128">
    <cfRule type="containsErrors" dxfId="161" priority="15">
      <formula>ISERROR(K128)</formula>
    </cfRule>
  </conditionalFormatting>
  <conditionalFormatting sqref="J128">
    <cfRule type="containsErrors" dxfId="160" priority="14">
      <formula>ISERROR(J128)</formula>
    </cfRule>
  </conditionalFormatting>
  <conditionalFormatting sqref="I128">
    <cfRule type="containsErrors" dxfId="159" priority="13">
      <formula>ISERROR(I128)</formula>
    </cfRule>
  </conditionalFormatting>
  <conditionalFormatting sqref="H128">
    <cfRule type="containsErrors" dxfId="158" priority="12">
      <formula>ISERROR(H128)</formula>
    </cfRule>
  </conditionalFormatting>
  <conditionalFormatting sqref="K131">
    <cfRule type="containsErrors" dxfId="157" priority="11">
      <formula>ISERROR(K131)</formula>
    </cfRule>
  </conditionalFormatting>
  <conditionalFormatting sqref="K132">
    <cfRule type="containsErrors" dxfId="156" priority="10">
      <formula>ISERROR(K132)</formula>
    </cfRule>
  </conditionalFormatting>
  <conditionalFormatting sqref="J132">
    <cfRule type="containsErrors" dxfId="155" priority="9">
      <formula>ISERROR(J132)</formula>
    </cfRule>
  </conditionalFormatting>
  <conditionalFormatting sqref="K133">
    <cfRule type="containsErrors" dxfId="154" priority="8">
      <formula>ISERROR(K133)</formula>
    </cfRule>
  </conditionalFormatting>
  <conditionalFormatting sqref="K134">
    <cfRule type="containsErrors" dxfId="153" priority="7">
      <formula>ISERROR(K134)</formula>
    </cfRule>
  </conditionalFormatting>
  <conditionalFormatting sqref="J134">
    <cfRule type="containsErrors" dxfId="152" priority="6">
      <formula>ISERROR(J134)</formula>
    </cfRule>
  </conditionalFormatting>
  <conditionalFormatting sqref="I134">
    <cfRule type="containsErrors" dxfId="151" priority="5">
      <formula>ISERROR(I134)</formula>
    </cfRule>
  </conditionalFormatting>
  <conditionalFormatting sqref="B193:K243 B139:K189">
    <cfRule type="cellIs" dxfId="150" priority="2" operator="equal">
      <formula>0</formula>
    </cfRule>
  </conditionalFormatting>
  <pageMargins left="0.75" right="0.75" top="1" bottom="1" header="0.5" footer="0.5"/>
  <pageSetup scale="29" orientation="landscape" horizontalDpi="4294967292" verticalDpi="4294967292"/>
  <rowBreaks count="1" manualBreakCount="1">
    <brk id="96" max="16383" man="1"/>
  </rowBreaks>
  <colBreaks count="1" manualBreakCount="1">
    <brk id="27" max="1048575" man="1"/>
  </colBreaks>
  <tableParts count="8">
    <tablePart r:id="rId1"/>
    <tablePart r:id="rId2"/>
    <tablePart r:id="rId3"/>
    <tablePart r:id="rId4"/>
    <tablePart r:id="rId5"/>
    <tablePart r:id="rId6"/>
    <tablePart r:id="rId7"/>
    <tablePart r:id="rId8"/>
  </tableParts>
  <extLst>
    <ext xmlns:mx="http://schemas.microsoft.com/office/mac/excel/2008/main" uri="{64002731-A6B0-56B0-2670-7721B7C09600}">
      <mx:PLV Mode="0" OnePage="0" WScale="29"/>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AA122"/>
  <sheetViews>
    <sheetView workbookViewId="0">
      <selection activeCell="G31" sqref="G31"/>
    </sheetView>
  </sheetViews>
  <sheetFormatPr baseColWidth="10" defaultRowHeight="15" x14ac:dyDescent="0"/>
  <cols>
    <col min="1" max="1" width="17.5" bestFit="1" customWidth="1"/>
    <col min="2" max="2" width="14.1640625" customWidth="1"/>
    <col min="3" max="3" width="11.5" customWidth="1"/>
    <col min="4" max="4" width="17" style="118" bestFit="1" customWidth="1"/>
  </cols>
  <sheetData>
    <row r="1" spans="1:27" ht="32" thickTop="1" thickBot="1">
      <c r="A1" s="364" t="s">
        <v>232</v>
      </c>
      <c r="B1" s="365"/>
      <c r="C1" s="365"/>
      <c r="D1" s="365"/>
      <c r="E1" s="365"/>
      <c r="F1" s="365"/>
      <c r="G1" s="365"/>
      <c r="H1" s="365"/>
      <c r="I1" s="365"/>
      <c r="J1" s="365"/>
      <c r="K1" s="365"/>
      <c r="L1" s="365"/>
      <c r="M1" s="365"/>
      <c r="N1" s="365"/>
      <c r="O1" s="365"/>
      <c r="P1" s="365"/>
      <c r="Q1" s="365"/>
      <c r="R1" s="365"/>
      <c r="S1" s="365"/>
      <c r="T1" s="365"/>
      <c r="U1" s="365"/>
      <c r="V1" s="365"/>
      <c r="W1" s="365"/>
      <c r="X1" s="365"/>
      <c r="Y1" s="365"/>
      <c r="Z1" s="365"/>
      <c r="AA1" s="366"/>
    </row>
    <row r="2" spans="1:27" ht="17" thickTop="1" thickBot="1"/>
    <row r="3" spans="1:27" ht="17" thickTop="1" thickBot="1">
      <c r="A3" s="168" t="s">
        <v>241</v>
      </c>
      <c r="B3" s="167" t="s">
        <v>242</v>
      </c>
      <c r="D3" s="168" t="s">
        <v>14</v>
      </c>
      <c r="E3" s="167" t="s">
        <v>242</v>
      </c>
      <c r="G3" s="206" t="s">
        <v>264</v>
      </c>
      <c r="H3" s="207"/>
      <c r="I3" s="196" t="s">
        <v>262</v>
      </c>
      <c r="J3" s="196" t="s">
        <v>260</v>
      </c>
      <c r="K3" s="196" t="s">
        <v>263</v>
      </c>
      <c r="L3" s="196" t="s">
        <v>265</v>
      </c>
      <c r="M3" s="196" t="s">
        <v>266</v>
      </c>
      <c r="N3" s="196" t="s">
        <v>267</v>
      </c>
      <c r="O3" s="196" t="s">
        <v>268</v>
      </c>
      <c r="P3" s="196" t="s">
        <v>269</v>
      </c>
      <c r="Q3" s="196" t="s">
        <v>270</v>
      </c>
      <c r="R3" s="196" t="s">
        <v>271</v>
      </c>
      <c r="S3" s="196" t="s">
        <v>272</v>
      </c>
      <c r="T3" s="197" t="s">
        <v>273</v>
      </c>
    </row>
    <row r="4" spans="1:27" ht="17" thickTop="1" thickBot="1">
      <c r="A4" s="174" t="s">
        <v>243</v>
      </c>
      <c r="B4" s="175">
        <f>MATCH("1",ConstructionState[#Headers],0)-1</f>
        <v>7</v>
      </c>
      <c r="D4" s="201" t="s">
        <v>251</v>
      </c>
      <c r="E4" s="175">
        <f ca="1">IFERROR(COLUMN(INDIRECT(MID($H$5,ROW()-3,1)&amp;"1")),0)</f>
        <v>9</v>
      </c>
      <c r="G4" s="198" t="s">
        <v>14</v>
      </c>
      <c r="H4" s="199" t="s">
        <v>261</v>
      </c>
      <c r="I4" s="199">
        <v>1</v>
      </c>
      <c r="J4" s="199">
        <v>2</v>
      </c>
      <c r="K4" s="199">
        <v>3</v>
      </c>
      <c r="L4" s="199">
        <v>4</v>
      </c>
      <c r="M4" s="199">
        <v>5</v>
      </c>
      <c r="N4" s="199">
        <v>6</v>
      </c>
      <c r="O4" s="199">
        <v>7</v>
      </c>
      <c r="P4" s="199">
        <v>8</v>
      </c>
      <c r="Q4" s="199">
        <v>9</v>
      </c>
      <c r="R4" s="199">
        <v>10</v>
      </c>
      <c r="S4" s="199">
        <v>11</v>
      </c>
      <c r="T4" s="200">
        <v>12</v>
      </c>
    </row>
    <row r="5" spans="1:27" ht="16" thickTop="1">
      <c r="A5" s="61" t="s">
        <v>154</v>
      </c>
      <c r="B5" s="176">
        <f ca="1">IF(SetToMax,10,IFERROR(MATCH(TRUE,INDEX(OFFSET(ConstructionState[],MATCH("Town Hall",ConstructionState[Building or Upgrade],0)-1,L1Offset,1,12)&lt;&gt;"",),0),1))</f>
        <v>7</v>
      </c>
      <c r="D5" s="202" t="s">
        <v>252</v>
      </c>
      <c r="E5" s="176">
        <f ca="1">IFERROR(COLUMN(INDIRECT(MID($H$5,ROW()-3,1)&amp;"1")),0)</f>
        <v>8</v>
      </c>
      <c r="G5" s="204" t="s">
        <v>2</v>
      </c>
      <c r="H5" s="208" t="str">
        <f>CONCATENATE(T5,S5,R5,Q5,P5,O5,N5,M5,L5,K5,J5,I5)</f>
        <v>IHHH</v>
      </c>
      <c r="I5" s="208" t="str">
        <f>REPT(I$3,INDEX(ConstructionState[],MATCH($G5,ConstructionState[Building or Upgrade],0),MATCH(TEXT(I$4,"0"),ConstructionState[#Headers],0)))</f>
        <v/>
      </c>
      <c r="J5" s="208" t="str">
        <f>REPT(J$3,INDEX(ConstructionState[],MATCH($G5,ConstructionState[Building or Upgrade],0),MATCH(TEXT(J$4,"0"),ConstructionState[#Headers],0)))</f>
        <v/>
      </c>
      <c r="K5" s="208" t="str">
        <f>REPT(K$3,INDEX(ConstructionState[],MATCH($G5,ConstructionState[Building or Upgrade],0),MATCH(TEXT(K$4,"0"),ConstructionState[#Headers],0)))</f>
        <v/>
      </c>
      <c r="L5" s="208" t="str">
        <f>REPT(L$3,INDEX(ConstructionState[],MATCH($G5,ConstructionState[Building or Upgrade],0),MATCH(TEXT(L$4,"0"),ConstructionState[#Headers],0)))</f>
        <v/>
      </c>
      <c r="M5" s="208" t="str">
        <f>REPT(M$3,INDEX(ConstructionState[],MATCH($G5,ConstructionState[Building or Upgrade],0),MATCH(TEXT(M$4,"0"),ConstructionState[#Headers],0)))</f>
        <v/>
      </c>
      <c r="N5" s="208" t="str">
        <f>REPT(N$3,INDEX(ConstructionState[],MATCH($G5,ConstructionState[Building or Upgrade],0),MATCH(TEXT(N$4,"0"),ConstructionState[#Headers],0)))</f>
        <v/>
      </c>
      <c r="O5" s="208" t="str">
        <f>REPT(O$3,INDEX(ConstructionState[],MATCH($G5,ConstructionState[Building or Upgrade],0),MATCH(TEXT(O$4,"0"),ConstructionState[#Headers],0)))</f>
        <v/>
      </c>
      <c r="P5" s="208" t="str">
        <f>REPT(P$3,INDEX(ConstructionState[],MATCH($G5,ConstructionState[Building or Upgrade],0),MATCH(TEXT(P$4,"0"),ConstructionState[#Headers],0)))</f>
        <v>HHH</v>
      </c>
      <c r="Q5" s="208" t="str">
        <f>REPT(Q$3,INDEX(ConstructionState[],MATCH($G5,ConstructionState[Building or Upgrade],0),MATCH(TEXT(Q$4,"0"),ConstructionState[#Headers],0)))</f>
        <v>I</v>
      </c>
      <c r="R5" s="208" t="str">
        <f>REPT(R$3,INDEX(ConstructionState[],MATCH($G5,ConstructionState[Building or Upgrade],0),MATCH(TEXT(R$4,"0"),ConstructionState[#Headers],0)))</f>
        <v/>
      </c>
      <c r="S5" s="208" t="str">
        <f>REPT(S$3,INDEX(ConstructionState[],MATCH($G5,ConstructionState[Building or Upgrade],0),MATCH(TEXT(S$4,"0"),ConstructionState[#Headers],0)))</f>
        <v/>
      </c>
      <c r="T5" s="209" t="str">
        <f>REPT(T$3,INDEX(ConstructionState[],MATCH($G5,ConstructionState[Building or Upgrade],0),MATCH(TEXT(T$4,"0"),ConstructionState[#Headers],0)))</f>
        <v/>
      </c>
    </row>
    <row r="6" spans="1:27" ht="16" thickBot="1">
      <c r="A6" s="61" t="s">
        <v>233</v>
      </c>
      <c r="B6" s="176">
        <f ca="1">IF(SetToMax,8,IFERROR(MATCH(TRUE,INDEX(OFFSET(ConstructionState[],MATCH("Laboratory",ConstructionState[Building or Upgrade],0)-1,L1Offset,1,12)&lt;&gt;"",),0),0))</f>
        <v>5</v>
      </c>
      <c r="D6" s="202" t="s">
        <v>253</v>
      </c>
      <c r="E6" s="176">
        <f ca="1">IFERROR(COLUMN(INDIRECT(MID($H$5,ROW()-3,1)&amp;"1")),0)</f>
        <v>8</v>
      </c>
      <c r="G6" s="205" t="s">
        <v>19</v>
      </c>
      <c r="H6" s="210" t="str">
        <f>CONCATENATE(T6,S6,R6,Q6,P6,O6,N6,M6,L6,K6,J6,I6)</f>
        <v>B</v>
      </c>
      <c r="I6" s="210" t="str">
        <f>REPT(I$3,INDEX(ConstructionState[],MATCH($G6,ConstructionState[Building or Upgrade],0),MATCH(TEXT(I$4,"0"),ConstructionState[#Headers],0)))</f>
        <v/>
      </c>
      <c r="J6" s="210" t="str">
        <f>REPT(J$3,INDEX(ConstructionState[],MATCH($G6,ConstructionState[Building or Upgrade],0),MATCH(TEXT(J$4,"0"),ConstructionState[#Headers],0)))</f>
        <v>B</v>
      </c>
      <c r="K6" s="210" t="str">
        <f>REPT(K$3,INDEX(ConstructionState[],MATCH($G6,ConstructionState[Building or Upgrade],0),MATCH(TEXT(K$4,"0"),ConstructionState[#Headers],0)))</f>
        <v/>
      </c>
      <c r="L6" s="210" t="str">
        <f>REPT(L$3,INDEX(ConstructionState[],MATCH($G6,ConstructionState[Building or Upgrade],0),MATCH(TEXT(L$4,"0"),ConstructionState[#Headers],0)))</f>
        <v/>
      </c>
      <c r="M6" s="210" t="str">
        <f>REPT(M$3,INDEX(ConstructionState[],MATCH($G6,ConstructionState[Building or Upgrade],0),MATCH(TEXT(M$4,"0"),ConstructionState[#Headers],0)))</f>
        <v/>
      </c>
      <c r="N6" s="210" t="str">
        <f>REPT(N$3,INDEX(ConstructionState[],MATCH($G6,ConstructionState[Building or Upgrade],0),MATCH(TEXT(N$4,"0"),ConstructionState[#Headers],0)))</f>
        <v/>
      </c>
      <c r="O6" s="210" t="str">
        <f>REPT(O$3,INDEX(ConstructionState[],MATCH($G6,ConstructionState[Building or Upgrade],0),MATCH(TEXT(O$4,"0"),ConstructionState[#Headers],0)))</f>
        <v/>
      </c>
      <c r="P6" s="210" t="str">
        <f>REPT(P$3,INDEX(ConstructionState[],MATCH($G6,ConstructionState[Building or Upgrade],0),MATCH(TEXT(P$4,"0"),ConstructionState[#Headers],0)))</f>
        <v/>
      </c>
      <c r="Q6" s="210" t="str">
        <f>REPT(Q$3,INDEX(ConstructionState[],MATCH($G6,ConstructionState[Building or Upgrade],0),MATCH(TEXT(Q$4,"0"),ConstructionState[#Headers],0)))</f>
        <v/>
      </c>
      <c r="R6" s="210" t="str">
        <f>REPT(R$3,INDEX(ConstructionState[],MATCH($G6,ConstructionState[Building or Upgrade],0),MATCH(TEXT(R$4,"0"),ConstructionState[#Headers],0)))</f>
        <v/>
      </c>
      <c r="S6" s="210" t="str">
        <f>REPT(S$3,INDEX(ConstructionState[],MATCH($G6,ConstructionState[Building or Upgrade],0),MATCH(TEXT(S$4,"0"),ConstructionState[#Headers],0)))</f>
        <v/>
      </c>
      <c r="T6" s="211" t="str">
        <f>REPT(T$3,INDEX(ConstructionState[],MATCH($G6,ConstructionState[Building or Upgrade],0),MATCH(TEXT(T$4,"0"),ConstructionState[#Headers],0)))</f>
        <v/>
      </c>
    </row>
    <row r="7" spans="1:27" ht="16" thickTop="1">
      <c r="A7" s="61" t="s">
        <v>234</v>
      </c>
      <c r="B7" s="176">
        <f ca="1">SUM(OFFSET(ConstructionState[],MATCH("Barracks",ConstructionState[Building or Upgrade],0)-1,L1Offset,1,12))</f>
        <v>4</v>
      </c>
      <c r="D7" s="202" t="s">
        <v>254</v>
      </c>
      <c r="E7" s="176">
        <f ca="1">IFERROR(COLUMN(INDIRECT(MID($H$5,ROW()-3,1)&amp;"1")),0)</f>
        <v>8</v>
      </c>
    </row>
    <row r="8" spans="1:27">
      <c r="A8" s="61" t="s">
        <v>235</v>
      </c>
      <c r="B8" s="176">
        <f ca="1">SUM(OFFSET(ConstructionState[],MATCH("Dark Barracks",ConstructionState[Building or Upgrade],0)-1,L1Offset,1,12))</f>
        <v>1</v>
      </c>
      <c r="D8" s="202" t="s">
        <v>256</v>
      </c>
      <c r="E8" s="176">
        <f ca="1">IFERROR(COLUMN(INDIRECT(MID($H$6,ROW()-7,1)&amp;"1")),0)</f>
        <v>2</v>
      </c>
    </row>
    <row r="9" spans="1:27" ht="16" thickBot="1">
      <c r="A9" s="72" t="s">
        <v>166</v>
      </c>
      <c r="B9" s="177">
        <f ca="1">IFERROR(MATCH(TRUE,INDEX(OFFSET(ConstructionState[],MATCH("Spell Factory",ConstructionState[Building or Upgrade],0)-1,L1Offset,1,12)&lt;&gt;"",),0),1)</f>
        <v>3</v>
      </c>
      <c r="D9" s="203" t="s">
        <v>257</v>
      </c>
      <c r="E9" s="177">
        <f ca="1">IFERROR(COLUMN(INDIRECT(MID($H$6,ROW()-7,1)&amp;"1")),0)</f>
        <v>0</v>
      </c>
    </row>
    <row r="10" spans="1:27" ht="17" thickTop="1" thickBot="1"/>
    <row r="11" spans="1:27" ht="32" thickTop="1" thickBot="1">
      <c r="A11" s="364" t="s">
        <v>197</v>
      </c>
      <c r="B11" s="365"/>
      <c r="C11" s="365"/>
      <c r="D11" s="365"/>
      <c r="E11" s="365"/>
      <c r="F11" s="365"/>
      <c r="G11" s="365"/>
      <c r="H11" s="365"/>
      <c r="I11" s="365"/>
      <c r="J11" s="365"/>
      <c r="K11" s="365"/>
      <c r="L11" s="365"/>
      <c r="M11" s="365"/>
      <c r="N11" s="365"/>
      <c r="O11" s="365"/>
      <c r="P11" s="365"/>
      <c r="Q11" s="365"/>
      <c r="R11" s="365"/>
      <c r="S11" s="365"/>
      <c r="T11" s="365"/>
      <c r="U11" s="365"/>
      <c r="V11" s="365"/>
      <c r="W11" s="365"/>
      <c r="X11" s="365"/>
      <c r="Y11" s="365"/>
      <c r="Z11" s="365"/>
      <c r="AA11" s="366"/>
    </row>
    <row r="12" spans="1:27" ht="16" thickTop="1"/>
    <row r="13" spans="1:27">
      <c r="A13" t="s">
        <v>198</v>
      </c>
      <c r="B13" t="s">
        <v>203</v>
      </c>
      <c r="C13" t="s">
        <v>145</v>
      </c>
      <c r="D13" t="s">
        <v>199</v>
      </c>
      <c r="E13" t="s">
        <v>200</v>
      </c>
      <c r="F13" t="s">
        <v>210</v>
      </c>
      <c r="G13" s="118" t="s">
        <v>214</v>
      </c>
      <c r="H13" t="s">
        <v>215</v>
      </c>
      <c r="I13" t="s">
        <v>216</v>
      </c>
      <c r="J13" t="s">
        <v>217</v>
      </c>
    </row>
    <row r="14" spans="1:27">
      <c r="A14" t="s">
        <v>189</v>
      </c>
      <c r="B14" t="s">
        <v>201</v>
      </c>
      <c r="C14">
        <f>BKLevel</f>
        <v>1</v>
      </c>
      <c r="D14">
        <f ca="1">VLOOKUP(HeroNextUpgrade[[#This Row],[Hero]],MaxLevel[],MATCH("L"&amp;THLevel,MaxLevel[#Headers],0),FALSE)</f>
        <v>5</v>
      </c>
      <c r="E14" t="b">
        <f ca="1">AND(HeroNextUpgrade[[#This Row],[Level]]&lt;HeroNextUpgrade[[#This Row],[MaxLevel]],COUNTIF(Skips,HeroNextUpgrade[[#This Row],[Hero]])=0)</f>
        <v>1</v>
      </c>
      <c r="F14">
        <f>HeroNextUpgrade[[#This Row],[Level]]+1</f>
        <v>2</v>
      </c>
      <c r="G14" s="125">
        <f>VLOOKUP(HeroNextUpgrade[[#This Row],[Next Level]],HeroUpgrades[],MATCH(HeroNextUpgrade[[#This Row],[Lookup Key]]&amp;"-Cost",HeroUpgrades[#Headers],0),FALSE)</f>
        <v>12500</v>
      </c>
      <c r="H14" s="126">
        <f>VLOOKUP(HeroNextUpgrade[[#This Row],[Next Level]],HeroUpgrades[],MATCH(HeroNextUpgrade[[#This Row],[Lookup Key]]&amp;"-Time",HeroUpgrades[#Headers],0),FALSE)</f>
        <v>0.5</v>
      </c>
      <c r="I14" s="128">
        <f ca="1">IF(HeroNextUpgrade[[#This Row],[Upgradeable]],SUM(OFFSET(HeroUpgrades[],HeroNextUpgrade[[#This Row],[Level]],MATCH(HeroNextUpgrade[[#This Row],[Lookup Key]]&amp;"-Cost",HeroUpgrades[#Headers],0)-1,HeroNextUpgrade[[#This Row],[MaxLevel]]-HeroNextUpgrade[[#This Row],[Level]],1)),0)</f>
        <v>65000</v>
      </c>
      <c r="J14" s="127">
        <f ca="1">IF(HeroNextUpgrade[[#This Row],[Upgradeable]],SUM(OFFSET(HeroUpgrades[],HeroNextUpgrade[[#This Row],[Level]],MATCH(HeroNextUpgrade[[#This Row],[Lookup Key]]&amp;"-Time",HeroUpgrades[#Headers],0)-1,HeroNextUpgrade[[#This Row],[MaxLevel]]-HeroNextUpgrade[[#This Row],[Level]],1)),0)</f>
        <v>5</v>
      </c>
    </row>
    <row r="15" spans="1:27">
      <c r="A15" t="s">
        <v>193</v>
      </c>
      <c r="B15" t="s">
        <v>202</v>
      </c>
      <c r="C15">
        <f>AQLevel</f>
        <v>0</v>
      </c>
      <c r="D15">
        <f ca="1">VLOOKUP(HeroNextUpgrade[[#This Row],[Hero]],MaxLevel[],MATCH("L"&amp;THLevel,MaxLevel[#Headers],0),FALSE)</f>
        <v>0</v>
      </c>
      <c r="E15" t="b">
        <f ca="1">AND(HeroNextUpgrade[[#This Row],[Level]]&lt;HeroNextUpgrade[[#This Row],[MaxLevel]],COUNTIF(Skips,HeroNextUpgrade[[#This Row],[Hero]])=0)</f>
        <v>0</v>
      </c>
      <c r="F15">
        <f>HeroNextUpgrade[[#This Row],[Level]]+1</f>
        <v>1</v>
      </c>
      <c r="G15" s="125">
        <f>VLOOKUP(HeroNextUpgrade[[#This Row],[Next Level]],HeroUpgrades[],MATCH(HeroNextUpgrade[[#This Row],[Lookup Key]]&amp;"-Cost",HeroUpgrades[#Headers],0),FALSE)</f>
        <v>40000</v>
      </c>
      <c r="H15" s="127">
        <f>VLOOKUP(HeroNextUpgrade[[#This Row],[Next Level]],HeroUpgrades[],MATCH(HeroNextUpgrade[[#This Row],[Lookup Key]]&amp;"-Time",HeroUpgrades[#Headers],0),FALSE)</f>
        <v>0</v>
      </c>
      <c r="I15" s="128">
        <f ca="1">IF(HeroNextUpgrade[[#This Row],[Upgradeable]],SUM(OFFSET(HeroUpgrades[],HeroNextUpgrade[[#This Row],[Level]],MATCH(HeroNextUpgrade[[#This Row],[Lookup Key]]&amp;"-Cost",HeroUpgrades[#Headers],0)-1,HeroNextUpgrade[[#This Row],[MaxLevel]]-HeroNextUpgrade[[#This Row],[Level]],1)),0)</f>
        <v>0</v>
      </c>
      <c r="J15" s="127">
        <f ca="1">IF(HeroNextUpgrade[[#This Row],[Upgradeable]],SUM(OFFSET(HeroUpgrades[],HeroNextUpgrade[[#This Row],[Level]],MATCH(HeroNextUpgrade[[#This Row],[Lookup Key]]&amp;"-Time",HeroUpgrades[#Headers],0)-1,HeroNextUpgrade[[#This Row],[MaxLevel]]-HeroNextUpgrade[[#This Row],[Level]],1)),0)</f>
        <v>0</v>
      </c>
    </row>
    <row r="16" spans="1:27" ht="16" thickBot="1"/>
    <row r="17" spans="1:27" ht="32" thickTop="1" thickBot="1">
      <c r="A17" s="364" t="s">
        <v>196</v>
      </c>
      <c r="B17" s="365"/>
      <c r="C17" s="365"/>
      <c r="D17" s="365"/>
      <c r="E17" s="365"/>
      <c r="F17" s="365"/>
      <c r="G17" s="365"/>
      <c r="H17" s="365"/>
      <c r="I17" s="365"/>
      <c r="J17" s="365"/>
      <c r="K17" s="365"/>
      <c r="L17" s="365"/>
      <c r="M17" s="365"/>
      <c r="N17" s="365"/>
      <c r="O17" s="365"/>
      <c r="P17" s="365"/>
      <c r="Q17" s="365"/>
      <c r="R17" s="365"/>
      <c r="S17" s="365"/>
      <c r="T17" s="365"/>
      <c r="U17" s="365"/>
      <c r="V17" s="365"/>
      <c r="W17" s="365"/>
      <c r="X17" s="365"/>
      <c r="Y17" s="365"/>
      <c r="Z17" s="365"/>
      <c r="AA17" s="366"/>
    </row>
    <row r="18" spans="1:27" ht="16" thickTop="1">
      <c r="A18" s="11"/>
      <c r="B18" s="11"/>
      <c r="C18" s="11"/>
      <c r="D18" s="115"/>
      <c r="E18" s="46"/>
      <c r="F18" s="11"/>
      <c r="G18" s="11"/>
      <c r="H18" s="11"/>
      <c r="I18" s="11"/>
      <c r="J18" s="11"/>
      <c r="K18" s="11"/>
      <c r="L18" s="11"/>
      <c r="M18" s="11"/>
      <c r="N18" s="11"/>
      <c r="O18" s="11"/>
      <c r="P18" s="11"/>
      <c r="Q18" s="11"/>
      <c r="R18" s="11"/>
    </row>
    <row r="19" spans="1:27">
      <c r="A19" s="11" t="s">
        <v>104</v>
      </c>
      <c r="B19" s="11" t="s">
        <v>70</v>
      </c>
      <c r="C19" s="11" t="s">
        <v>30</v>
      </c>
      <c r="D19" s="115" t="s">
        <v>136</v>
      </c>
      <c r="E19" s="11" t="s">
        <v>69</v>
      </c>
      <c r="F19" s="11" t="s">
        <v>32</v>
      </c>
      <c r="G19" s="11" t="s">
        <v>33</v>
      </c>
      <c r="H19" s="11" t="s">
        <v>34</v>
      </c>
      <c r="I19" s="11" t="s">
        <v>35</v>
      </c>
      <c r="J19" s="11" t="s">
        <v>36</v>
      </c>
      <c r="K19" s="11" t="s">
        <v>37</v>
      </c>
      <c r="L19" s="11" t="s">
        <v>38</v>
      </c>
      <c r="M19" s="11" t="s">
        <v>39</v>
      </c>
      <c r="N19" s="11" t="s">
        <v>40</v>
      </c>
      <c r="O19" s="11" t="s">
        <v>41</v>
      </c>
      <c r="P19" s="11" t="s">
        <v>42</v>
      </c>
      <c r="Q19" s="11" t="s">
        <v>43</v>
      </c>
      <c r="R19" s="11" t="s">
        <v>68</v>
      </c>
    </row>
    <row r="20" spans="1:27">
      <c r="A20" s="11" t="s">
        <v>13</v>
      </c>
      <c r="B20" s="11" t="str">
        <f>VLOOKUP(Remaining_Cost[[#This Row],[Cost]],Upgrades[],2,FALSE)</f>
        <v>Building</v>
      </c>
      <c r="C20" s="11" t="str">
        <f>VLOOKUP(Remaining_Cost[[#This Row],[Cost]],Upgrades[],3,FALSE)</f>
        <v>Gold</v>
      </c>
      <c r="D20" s="115" t="str">
        <f>IF(COUNTIF(Skips,Remaining_Cost[[#This Row],[Cost]])&gt;0,"IGNORE",Remaining_Cost[Kind]&amp;"-"&amp;Remaining_Cost[Resource])</f>
        <v>Building-Gold</v>
      </c>
      <c r="E20" s="47">
        <f ca="1">IFERROR(VLOOKUP(Remaining_Cost[[#This Row],[Cost]],Upgrades[],MATCH("C"&amp;MATCH(TRUE,INDEX(Remaining_Cost[[#This Row],[1]:[12]]&lt;&gt;0,),0),Upgrades[#Headers],0),FALSE),"")</f>
        <v>2000000</v>
      </c>
      <c r="F20" s="48">
        <f ca="1">IF(VALUE(Remaining_Cost[#Headers])&lt;='Construction Dashboard'!$F24,IFERROR(VLOOKUP(Remaining_Cost[[#This Row],[Cost]],Upgrades[],MATCH("C"&amp;Remaining_Cost[#Headers],Upgrades[#Headers],0),FALSE),0)*MAX(0,SUM('Construction Dashboard'!$G24:G24)),0)</f>
        <v>0</v>
      </c>
      <c r="G20" s="48">
        <f ca="1">IF(VALUE(Remaining_Cost[#Headers])&lt;='Construction Dashboard'!$F24,IFERROR(VLOOKUP(Remaining_Cost[[#This Row],[Cost]],Upgrades[],MATCH("C"&amp;Remaining_Cost[#Headers],Upgrades[#Headers],0),FALSE),0)*MAX(0,SUM('Construction Dashboard'!$G24:H24)),0)</f>
        <v>0</v>
      </c>
      <c r="H20" s="48">
        <f ca="1">IF(VALUE(Remaining_Cost[#Headers])&lt;='Construction Dashboard'!$F24,IFERROR(VLOOKUP(Remaining_Cost[[#This Row],[Cost]],Upgrades[],MATCH("C"&amp;Remaining_Cost[#Headers],Upgrades[#Headers],0),FALSE),0)*MAX(0,SUM('Construction Dashboard'!$G24:I24)),0)</f>
        <v>0</v>
      </c>
      <c r="I20" s="48">
        <f ca="1">IF(VALUE(Remaining_Cost[#Headers])&lt;='Construction Dashboard'!$F24,IFERROR(VLOOKUP(Remaining_Cost[[#This Row],[Cost]],Upgrades[],MATCH("C"&amp;Remaining_Cost[#Headers],Upgrades[#Headers],0),FALSE),0)*MAX(0,SUM('Construction Dashboard'!$G24:J24)),0)</f>
        <v>0</v>
      </c>
      <c r="J20" s="48">
        <f ca="1">IF(VALUE(Remaining_Cost[#Headers])&lt;='Construction Dashboard'!$F24,IFERROR(VLOOKUP(Remaining_Cost[[#This Row],[Cost]],Upgrades[],MATCH("C"&amp;Remaining_Cost[#Headers],Upgrades[#Headers],0),FALSE),0)*MAX(0,SUM('Construction Dashboard'!$G24:K24)),0)</f>
        <v>0</v>
      </c>
      <c r="K20" s="48">
        <f ca="1">IF(VALUE(Remaining_Cost[#Headers])&lt;='Construction Dashboard'!$F24,IFERROR(VLOOKUP(Remaining_Cost[[#This Row],[Cost]],Upgrades[],MATCH("C"&amp;Remaining_Cost[#Headers],Upgrades[#Headers],0),FALSE),0)*MAX(0,SUM('Construction Dashboard'!$G24:L24)),0)</f>
        <v>0</v>
      </c>
      <c r="L20" s="48">
        <f ca="1">IF(VALUE(Remaining_Cost[#Headers])&lt;='Construction Dashboard'!$F24,IFERROR(VLOOKUP(Remaining_Cost[[#This Row],[Cost]],Upgrades[],MATCH("C"&amp;Remaining_Cost[#Headers],Upgrades[#Headers],0),FALSE),0)*MAX(0,SUM('Construction Dashboard'!$G24:M24)),0)</f>
        <v>0</v>
      </c>
      <c r="M20" s="48">
        <f ca="1">IF(VALUE(Remaining_Cost[#Headers])&lt;='Construction Dashboard'!$F24,IFERROR(VLOOKUP(Remaining_Cost[[#This Row],[Cost]],Upgrades[],MATCH("C"&amp;Remaining_Cost[#Headers],Upgrades[#Headers],0),FALSE),0)*MAX(0,SUM('Construction Dashboard'!$G24:N24)),0)</f>
        <v>2000000</v>
      </c>
      <c r="N20" s="48">
        <f ca="1">IF(VALUE(Remaining_Cost[#Headers])&lt;='Construction Dashboard'!$F24,IFERROR(VLOOKUP(Remaining_Cost[[#This Row],[Cost]],Upgrades[],MATCH("C"&amp;Remaining_Cost[#Headers],Upgrades[#Headers],0),FALSE),0)*MAX(0,SUM('Construction Dashboard'!$G24:O24)),0)</f>
        <v>0</v>
      </c>
      <c r="O20" s="48">
        <f ca="1">IF(VALUE(Remaining_Cost[#Headers])&lt;='Construction Dashboard'!$F24,IFERROR(VLOOKUP(Remaining_Cost[[#This Row],[Cost]],Upgrades[],MATCH("C"&amp;Remaining_Cost[#Headers],Upgrades[#Headers],0),FALSE),0)*MAX(0,SUM('Construction Dashboard'!$G24:P24)),0)</f>
        <v>0</v>
      </c>
      <c r="P20" s="48">
        <f ca="1">IF(VALUE(Remaining_Cost[#Headers])&lt;='Construction Dashboard'!$F24,IFERROR(VLOOKUP(Remaining_Cost[[#This Row],[Cost]],Upgrades[],MATCH("C"&amp;Remaining_Cost[#Headers],Upgrades[#Headers],0),FALSE),0)*MAX(0,SUM('Construction Dashboard'!$G24:Q24)),0)</f>
        <v>0</v>
      </c>
      <c r="Q20" s="48">
        <f ca="1">IF(VALUE(Remaining_Cost[#Headers])&lt;='Construction Dashboard'!$F24,IFERROR(VLOOKUP(Remaining_Cost[[#This Row],[Cost]],Upgrades[],MATCH("C"&amp;Remaining_Cost[#Headers],Upgrades[#Headers],0),FALSE),0)*MAX(0,SUM('Construction Dashboard'!$G24:R24)),0)</f>
        <v>0</v>
      </c>
      <c r="R20" s="48">
        <f ca="1">IF(Remaining_Cost[[#This Row],[MatchStr]]="IGNORE",0,SUM(Remaining_Cost[[#This Row],[1]:[12]]))</f>
        <v>2000000</v>
      </c>
    </row>
    <row r="21" spans="1:27">
      <c r="A21" s="11" t="s">
        <v>20</v>
      </c>
      <c r="B21" s="11" t="str">
        <f>VLOOKUP(Remaining_Cost[[#This Row],[Cost]],Upgrades[],2,FALSE)</f>
        <v>Building</v>
      </c>
      <c r="C21" s="11" t="str">
        <f>VLOOKUP(Remaining_Cost[[#This Row],[Cost]],Upgrades[],3,FALSE)</f>
        <v>Elixir</v>
      </c>
      <c r="D21" s="115" t="str">
        <f>IF(COUNTIF(Skips,Remaining_Cost[[#This Row],[Cost]])&gt;0,"IGNORE",Remaining_Cost[Kind]&amp;"-"&amp;Remaining_Cost[Resource])</f>
        <v>Building-Elixir</v>
      </c>
      <c r="E21" s="47" t="str">
        <f ca="1">IFERROR(VLOOKUP(Remaining_Cost[[#This Row],[Cost]],Upgrades[],MATCH("C"&amp;MATCH(TRUE,INDEX(Remaining_Cost[[#This Row],[1]:[12]]&lt;&gt;0,),0),Upgrades[#Headers],0),FALSE),"")</f>
        <v/>
      </c>
      <c r="F21" s="48">
        <f ca="1">IF(VALUE(Remaining_Cost[#Headers])&lt;='Construction Dashboard'!$F25,IFERROR(VLOOKUP(Remaining_Cost[[#This Row],[Cost]],Upgrades[],MATCH("C"&amp;Remaining_Cost[#Headers],Upgrades[#Headers],0),FALSE),0)*MAX(0,SUM('Construction Dashboard'!$G25:G25)),0)</f>
        <v>0</v>
      </c>
      <c r="G21" s="48">
        <f ca="1">IF(VALUE(Remaining_Cost[#Headers])&lt;='Construction Dashboard'!$F25,IFERROR(VLOOKUP(Remaining_Cost[[#This Row],[Cost]],Upgrades[],MATCH("C"&amp;Remaining_Cost[#Headers],Upgrades[#Headers],0),FALSE),0)*MAX(0,SUM('Construction Dashboard'!$G25:H25)),0)</f>
        <v>0</v>
      </c>
      <c r="H21" s="48">
        <f ca="1">IF(VALUE(Remaining_Cost[#Headers])&lt;='Construction Dashboard'!$F25,IFERROR(VLOOKUP(Remaining_Cost[[#This Row],[Cost]],Upgrades[],MATCH("C"&amp;Remaining_Cost[#Headers],Upgrades[#Headers],0),FALSE),0)*MAX(0,SUM('Construction Dashboard'!$G25:I25)),0)</f>
        <v>0</v>
      </c>
      <c r="I21" s="48">
        <f ca="1">IF(VALUE(Remaining_Cost[#Headers])&lt;='Construction Dashboard'!$F25,IFERROR(VLOOKUP(Remaining_Cost[[#This Row],[Cost]],Upgrades[],MATCH("C"&amp;Remaining_Cost[#Headers],Upgrades[#Headers],0),FALSE),0)*MAX(0,SUM('Construction Dashboard'!$G25:J25)),0)</f>
        <v>0</v>
      </c>
      <c r="J21" s="48">
        <f ca="1">IF(VALUE(Remaining_Cost[#Headers])&lt;='Construction Dashboard'!$F25,IFERROR(VLOOKUP(Remaining_Cost[[#This Row],[Cost]],Upgrades[],MATCH("C"&amp;Remaining_Cost[#Headers],Upgrades[#Headers],0),FALSE),0)*MAX(0,SUM('Construction Dashboard'!$G25:K25)),0)</f>
        <v>0</v>
      </c>
      <c r="K21" s="48">
        <f ca="1">IF(VALUE(Remaining_Cost[#Headers])&lt;='Construction Dashboard'!$F25,IFERROR(VLOOKUP(Remaining_Cost[[#This Row],[Cost]],Upgrades[],MATCH("C"&amp;Remaining_Cost[#Headers],Upgrades[#Headers],0),FALSE),0)*MAX(0,SUM('Construction Dashboard'!$G25:L25)),0)</f>
        <v>0</v>
      </c>
      <c r="L21" s="48">
        <f ca="1">IF(VALUE(Remaining_Cost[#Headers])&lt;='Construction Dashboard'!$F25,IFERROR(VLOOKUP(Remaining_Cost[[#This Row],[Cost]],Upgrades[],MATCH("C"&amp;Remaining_Cost[#Headers],Upgrades[#Headers],0),FALSE),0)*MAX(0,SUM('Construction Dashboard'!$G25:M25)),0)</f>
        <v>0</v>
      </c>
      <c r="M21" s="48">
        <f ca="1">IF(VALUE(Remaining_Cost[#Headers])&lt;='Construction Dashboard'!$F25,IFERROR(VLOOKUP(Remaining_Cost[[#This Row],[Cost]],Upgrades[],MATCH("C"&amp;Remaining_Cost[#Headers],Upgrades[#Headers],0),FALSE),0)*MAX(0,SUM('Construction Dashboard'!$G25:N25)),0)</f>
        <v>0</v>
      </c>
      <c r="N21" s="48">
        <f ca="1">IF(VALUE(Remaining_Cost[#Headers])&lt;='Construction Dashboard'!$F25,IFERROR(VLOOKUP(Remaining_Cost[[#This Row],[Cost]],Upgrades[],MATCH("C"&amp;Remaining_Cost[#Headers],Upgrades[#Headers],0),FALSE),0)*MAX(0,SUM('Construction Dashboard'!$G25:O25)),0)</f>
        <v>0</v>
      </c>
      <c r="O21" s="48">
        <f ca="1">IF(VALUE(Remaining_Cost[#Headers])&lt;='Construction Dashboard'!$F25,IFERROR(VLOOKUP(Remaining_Cost[[#This Row],[Cost]],Upgrades[],MATCH("C"&amp;Remaining_Cost[#Headers],Upgrades[#Headers],0),FALSE),0)*MAX(0,SUM('Construction Dashboard'!$G25:P25)),0)</f>
        <v>0</v>
      </c>
      <c r="P21" s="48">
        <f ca="1">IF(VALUE(Remaining_Cost[#Headers])&lt;='Construction Dashboard'!$F25,IFERROR(VLOOKUP(Remaining_Cost[[#This Row],[Cost]],Upgrades[],MATCH("C"&amp;Remaining_Cost[#Headers],Upgrades[#Headers],0),FALSE),0)*MAX(0,SUM('Construction Dashboard'!$G25:Q25)),0)</f>
        <v>0</v>
      </c>
      <c r="Q21" s="48">
        <f ca="1">IF(VALUE(Remaining_Cost[#Headers])&lt;='Construction Dashboard'!$F25,IFERROR(VLOOKUP(Remaining_Cost[[#This Row],[Cost]],Upgrades[],MATCH("C"&amp;Remaining_Cost[#Headers],Upgrades[#Headers],0),FALSE),0)*MAX(0,SUM('Construction Dashboard'!$G25:R25)),0)</f>
        <v>0</v>
      </c>
      <c r="R21" s="48">
        <f ca="1">IF(Remaining_Cost[[#This Row],[MatchStr]]="IGNORE",0,SUM(Remaining_Cost[[#This Row],[1]:[12]]))</f>
        <v>0</v>
      </c>
    </row>
    <row r="22" spans="1:27">
      <c r="A22" s="11" t="s">
        <v>2</v>
      </c>
      <c r="B22" s="49" t="str">
        <f>VLOOKUP(Remaining_Cost[[#This Row],[Cost]],Upgrades[],2,FALSE)</f>
        <v>Building</v>
      </c>
      <c r="C22" s="49" t="str">
        <f>VLOOKUP(Remaining_Cost[[#This Row],[Cost]],Upgrades[],3,FALSE)</f>
        <v>Elixir</v>
      </c>
      <c r="D22" s="116" t="str">
        <f>IF(COUNTIF(Skips,Remaining_Cost[[#This Row],[Cost]])&gt;0,"IGNORE",Remaining_Cost[Kind]&amp;"-"&amp;Remaining_Cost[Resource])</f>
        <v>Building-Elixir</v>
      </c>
      <c r="E22" s="47">
        <f ca="1">IFERROR(VLOOKUP(Remaining_Cost[[#This Row],[Cost]],Upgrades[],MATCH("C"&amp;MATCH(TRUE,INDEX(Remaining_Cost[[#This Row],[1]:[12]]&lt;&gt;0,),0),Upgrades[#Headers],0),FALSE),"")</f>
        <v>1500000</v>
      </c>
      <c r="F22" s="48">
        <f ca="1">IF(VALUE(Remaining_Cost[#Headers])&lt;='Construction Dashboard'!$F26,IFERROR(VLOOKUP(Remaining_Cost[[#This Row],[Cost]],Upgrades[],MATCH("C"&amp;Remaining_Cost[#Headers],Upgrades[#Headers],0),FALSE),0)*MAX(0,SUM('Construction Dashboard'!$G26:G26)),0)</f>
        <v>0</v>
      </c>
      <c r="G22" s="48">
        <f ca="1">IF(VALUE(Remaining_Cost[#Headers])&lt;='Construction Dashboard'!$F26,IFERROR(VLOOKUP(Remaining_Cost[[#This Row],[Cost]],Upgrades[],MATCH("C"&amp;Remaining_Cost[#Headers],Upgrades[#Headers],0),FALSE),0)*MAX(0,SUM('Construction Dashboard'!$G26:H26)),0)</f>
        <v>0</v>
      </c>
      <c r="H22" s="48">
        <f ca="1">IF(VALUE(Remaining_Cost[#Headers])&lt;='Construction Dashboard'!$F26,IFERROR(VLOOKUP(Remaining_Cost[[#This Row],[Cost]],Upgrades[],MATCH("C"&amp;Remaining_Cost[#Headers],Upgrades[#Headers],0),FALSE),0)*MAX(0,SUM('Construction Dashboard'!$G26:I26)),0)</f>
        <v>0</v>
      </c>
      <c r="I22" s="48">
        <f ca="1">IF(VALUE(Remaining_Cost[#Headers])&lt;='Construction Dashboard'!$F26,IFERROR(VLOOKUP(Remaining_Cost[[#This Row],[Cost]],Upgrades[],MATCH("C"&amp;Remaining_Cost[#Headers],Upgrades[#Headers],0),FALSE),0)*MAX(0,SUM('Construction Dashboard'!$G26:J26)),0)</f>
        <v>0</v>
      </c>
      <c r="J22" s="48">
        <f ca="1">IF(VALUE(Remaining_Cost[#Headers])&lt;='Construction Dashboard'!$F26,IFERROR(VLOOKUP(Remaining_Cost[[#This Row],[Cost]],Upgrades[],MATCH("C"&amp;Remaining_Cost[#Headers],Upgrades[#Headers],0),FALSE),0)*MAX(0,SUM('Construction Dashboard'!$G26:K26)),0)</f>
        <v>0</v>
      </c>
      <c r="K22" s="48">
        <f ca="1">IF(VALUE(Remaining_Cost[#Headers])&lt;='Construction Dashboard'!$F26,IFERROR(VLOOKUP(Remaining_Cost[[#This Row],[Cost]],Upgrades[],MATCH("C"&amp;Remaining_Cost[#Headers],Upgrades[#Headers],0),FALSE),0)*MAX(0,SUM('Construction Dashboard'!$G26:L26)),0)</f>
        <v>0</v>
      </c>
      <c r="L22" s="48">
        <f ca="1">IF(VALUE(Remaining_Cost[#Headers])&lt;='Construction Dashboard'!$F26,IFERROR(VLOOKUP(Remaining_Cost[[#This Row],[Cost]],Upgrades[],MATCH("C"&amp;Remaining_Cost[#Headers],Upgrades[#Headers],0),FALSE),0)*MAX(0,SUM('Construction Dashboard'!$G26:M26)),0)</f>
        <v>0</v>
      </c>
      <c r="M22" s="48">
        <f ca="1">IF(VALUE(Remaining_Cost[#Headers])&lt;='Construction Dashboard'!$F26,IFERROR(VLOOKUP(Remaining_Cost[[#This Row],[Cost]],Upgrades[],MATCH("C"&amp;Remaining_Cost[#Headers],Upgrades[#Headers],0),FALSE),0)*MAX(0,SUM('Construction Dashboard'!$G26:N26)),0)</f>
        <v>0</v>
      </c>
      <c r="N22" s="48">
        <f ca="1">IF(VALUE(Remaining_Cost[#Headers])&lt;='Construction Dashboard'!$F26,IFERROR(VLOOKUP(Remaining_Cost[[#This Row],[Cost]],Upgrades[],MATCH("C"&amp;Remaining_Cost[#Headers],Upgrades[#Headers],0),FALSE),0)*MAX(0,SUM('Construction Dashboard'!$G26:O26)),0)</f>
        <v>4500000</v>
      </c>
      <c r="O22" s="48">
        <f ca="1">IF(VALUE(Remaining_Cost[#Headers])&lt;='Construction Dashboard'!$F26,IFERROR(VLOOKUP(Remaining_Cost[[#This Row],[Cost]],Upgrades[],MATCH("C"&amp;Remaining_Cost[#Headers],Upgrades[#Headers],0),FALSE),0)*MAX(0,SUM('Construction Dashboard'!$G26:P26)),0)</f>
        <v>0</v>
      </c>
      <c r="P22" s="48">
        <f ca="1">IF(VALUE(Remaining_Cost[#Headers])&lt;='Construction Dashboard'!$F26,IFERROR(VLOOKUP(Remaining_Cost[[#This Row],[Cost]],Upgrades[],MATCH("C"&amp;Remaining_Cost[#Headers],Upgrades[#Headers],0),FALSE),0)*MAX(0,SUM('Construction Dashboard'!$G26:Q26)),0)</f>
        <v>0</v>
      </c>
      <c r="Q22" s="48">
        <f ca="1">IF(VALUE(Remaining_Cost[#Headers])&lt;='Construction Dashboard'!$F26,IFERROR(VLOOKUP(Remaining_Cost[[#This Row],[Cost]],Upgrades[],MATCH("C"&amp;Remaining_Cost[#Headers],Upgrades[#Headers],0),FALSE),0)*MAX(0,SUM('Construction Dashboard'!$G26:R26)),0)</f>
        <v>0</v>
      </c>
      <c r="R22" s="48">
        <f ca="1">IF(Remaining_Cost[[#This Row],[MatchStr]]="IGNORE",0,SUM(Remaining_Cost[[#This Row],[1]:[12]]))</f>
        <v>4500000</v>
      </c>
    </row>
    <row r="23" spans="1:27">
      <c r="A23" s="11" t="s">
        <v>244</v>
      </c>
      <c r="B23" s="49" t="str">
        <f>VLOOKUP(Remaining_Cost[[#This Row],[Cost]],Upgrades[],2,FALSE)</f>
        <v>Building</v>
      </c>
      <c r="C23" s="49" t="str">
        <f>VLOOKUP(Remaining_Cost[[#This Row],[Cost]],Upgrades[],3,FALSE)</f>
        <v>Elixir</v>
      </c>
      <c r="D23" s="116" t="str">
        <f>IF(COUNTIF(Skips,Remaining_Cost[[#This Row],[Cost]])&gt;0,"IGNORE",Remaining_Cost[Kind]&amp;"-"&amp;Remaining_Cost[Resource])</f>
        <v>Building-Elixir</v>
      </c>
      <c r="E23" s="47" t="str">
        <f ca="1">IFERROR(VLOOKUP(Remaining_Cost[[#This Row],[Cost]],Upgrades[],MATCH("C"&amp;MATCH(TRUE,INDEX(Remaining_Cost[[#This Row],[1]:[12]]&lt;&gt;0,),0),Upgrades[#Headers],0),FALSE),"")</f>
        <v/>
      </c>
      <c r="F23" s="48">
        <f ca="1">IF(VALUE(Remaining_Cost[#Headers])&lt;='Construction Dashboard'!$F27,IFERROR(VLOOKUP(Remaining_Cost[[#This Row],[Cost]],Upgrades[],MATCH("C"&amp;Remaining_Cost[#Headers],Upgrades[#Headers],0),FALSE),0)*MAX(0,SUM('Construction Dashboard'!$G27:G27)),0)</f>
        <v>0</v>
      </c>
      <c r="G23" s="48">
        <f ca="1">IF(VALUE(Remaining_Cost[#Headers])&lt;='Construction Dashboard'!$F27,IFERROR(VLOOKUP(Remaining_Cost[[#This Row],[Cost]],Upgrades[],MATCH("C"&amp;Remaining_Cost[#Headers],Upgrades[#Headers],0),FALSE),0)*MAX(0,SUM('Construction Dashboard'!$G27:H27)),0)</f>
        <v>0</v>
      </c>
      <c r="H23" s="48">
        <f ca="1">IF(VALUE(Remaining_Cost[#Headers])&lt;='Construction Dashboard'!$F27,IFERROR(VLOOKUP(Remaining_Cost[[#This Row],[Cost]],Upgrades[],MATCH("C"&amp;Remaining_Cost[#Headers],Upgrades[#Headers],0),FALSE),0)*MAX(0,SUM('Construction Dashboard'!$G27:I27)),0)</f>
        <v>0</v>
      </c>
      <c r="I23" s="48">
        <f ca="1">IF(VALUE(Remaining_Cost[#Headers])&lt;='Construction Dashboard'!$F27,IFERROR(VLOOKUP(Remaining_Cost[[#This Row],[Cost]],Upgrades[],MATCH("C"&amp;Remaining_Cost[#Headers],Upgrades[#Headers],0),FALSE),0)*MAX(0,SUM('Construction Dashboard'!$G27:J27)),0)</f>
        <v>0</v>
      </c>
      <c r="J23" s="48">
        <f ca="1">IF(VALUE(Remaining_Cost[#Headers])&lt;='Construction Dashboard'!$F27,IFERROR(VLOOKUP(Remaining_Cost[[#This Row],[Cost]],Upgrades[],MATCH("C"&amp;Remaining_Cost[#Headers],Upgrades[#Headers],0),FALSE),0)*MAX(0,SUM('Construction Dashboard'!$G27:K27)),0)</f>
        <v>0</v>
      </c>
      <c r="K23" s="48">
        <f ca="1">IF(VALUE(Remaining_Cost[#Headers])&lt;='Construction Dashboard'!$F27,IFERROR(VLOOKUP(Remaining_Cost[[#This Row],[Cost]],Upgrades[],MATCH("C"&amp;Remaining_Cost[#Headers],Upgrades[#Headers],0),FALSE),0)*MAX(0,SUM('Construction Dashboard'!$G27:L27)),0)</f>
        <v>0</v>
      </c>
      <c r="L23" s="48">
        <f ca="1">IF(VALUE(Remaining_Cost[#Headers])&lt;='Construction Dashboard'!$F27,IFERROR(VLOOKUP(Remaining_Cost[[#This Row],[Cost]],Upgrades[],MATCH("C"&amp;Remaining_Cost[#Headers],Upgrades[#Headers],0),FALSE),0)*MAX(0,SUM('Construction Dashboard'!$G27:M27)),0)</f>
        <v>0</v>
      </c>
      <c r="M23" s="48">
        <f ca="1">IF(VALUE(Remaining_Cost[#Headers])&lt;='Construction Dashboard'!$F27,IFERROR(VLOOKUP(Remaining_Cost[[#This Row],[Cost]],Upgrades[],MATCH("C"&amp;Remaining_Cost[#Headers],Upgrades[#Headers],0),FALSE),0)*MAX(0,SUM('Construction Dashboard'!$G27:N27)),0)</f>
        <v>0</v>
      </c>
      <c r="N23" s="48">
        <f ca="1">IF(VALUE(Remaining_Cost[#Headers])&lt;='Construction Dashboard'!$F27,IFERROR(VLOOKUP(Remaining_Cost[[#This Row],[Cost]],Upgrades[],MATCH("C"&amp;Remaining_Cost[#Headers],Upgrades[#Headers],0),FALSE),0)*MAX(0,SUM('Construction Dashboard'!$G27:O27)),0)</f>
        <v>0</v>
      </c>
      <c r="O23" s="48">
        <f ca="1">IF(VALUE(Remaining_Cost[#Headers])&lt;='Construction Dashboard'!$F27,IFERROR(VLOOKUP(Remaining_Cost[[#This Row],[Cost]],Upgrades[],MATCH("C"&amp;Remaining_Cost[#Headers],Upgrades[#Headers],0),FALSE),0)*MAX(0,SUM('Construction Dashboard'!$G27:P27)),0)</f>
        <v>0</v>
      </c>
      <c r="P23" s="48">
        <f ca="1">IF(VALUE(Remaining_Cost[#Headers])&lt;='Construction Dashboard'!$F27,IFERROR(VLOOKUP(Remaining_Cost[[#This Row],[Cost]],Upgrades[],MATCH("C"&amp;Remaining_Cost[#Headers],Upgrades[#Headers],0),FALSE),0)*MAX(0,SUM('Construction Dashboard'!$G27:Q27)),0)</f>
        <v>0</v>
      </c>
      <c r="Q23" s="48">
        <f ca="1">IF(VALUE(Remaining_Cost[#Headers])&lt;='Construction Dashboard'!$F27,IFERROR(VLOOKUP(Remaining_Cost[[#This Row],[Cost]],Upgrades[],MATCH("C"&amp;Remaining_Cost[#Headers],Upgrades[#Headers],0),FALSE),0)*MAX(0,SUM('Construction Dashboard'!$G27:R27)),0)</f>
        <v>0</v>
      </c>
      <c r="R23" s="48">
        <f ca="1">IF(Remaining_Cost[[#This Row],[MatchStr]]="IGNORE",0,SUM(Remaining_Cost[[#This Row],[1]:[12]]))</f>
        <v>0</v>
      </c>
    </row>
    <row r="24" spans="1:27">
      <c r="A24" s="11" t="s">
        <v>15</v>
      </c>
      <c r="B24" s="11" t="str">
        <f>VLOOKUP(Remaining_Cost[[#This Row],[Cost]],Upgrades[],2,FALSE)</f>
        <v>Building</v>
      </c>
      <c r="C24" s="11" t="str">
        <f>VLOOKUP(Remaining_Cost[[#This Row],[Cost]],Upgrades[],3,FALSE)</f>
        <v>Elixir</v>
      </c>
      <c r="D24" s="115" t="str">
        <f>IF(COUNTIF(Skips,Remaining_Cost[[#This Row],[Cost]])&gt;0,"IGNORE",Remaining_Cost[Kind]&amp;"-"&amp;Remaining_Cost[Resource])</f>
        <v>Building-Elixir</v>
      </c>
      <c r="E24" s="47" t="str">
        <f ca="1">IFERROR(VLOOKUP(Remaining_Cost[[#This Row],[Cost]],Upgrades[],MATCH("C"&amp;MATCH(TRUE,INDEX(Remaining_Cost[[#This Row],[1]:[12]]&lt;&gt;0,),0),Upgrades[#Headers],0),FALSE),"")</f>
        <v/>
      </c>
      <c r="F24" s="48">
        <f ca="1">IF(VALUE(Remaining_Cost[#Headers])&lt;='Construction Dashboard'!$F28,IFERROR(VLOOKUP(Remaining_Cost[[#This Row],[Cost]],Upgrades[],MATCH("C"&amp;Remaining_Cost[#Headers],Upgrades[#Headers],0),FALSE),0)*MAX(0,SUM('Construction Dashboard'!$G28:G28)),0)</f>
        <v>0</v>
      </c>
      <c r="G24" s="48">
        <f ca="1">IF(VALUE(Remaining_Cost[#Headers])&lt;='Construction Dashboard'!$F28,IFERROR(VLOOKUP(Remaining_Cost[[#This Row],[Cost]],Upgrades[],MATCH("C"&amp;Remaining_Cost[#Headers],Upgrades[#Headers],0),FALSE),0)*MAX(0,SUM('Construction Dashboard'!$G28:H28)),0)</f>
        <v>0</v>
      </c>
      <c r="H24" s="48">
        <f ca="1">IF(VALUE(Remaining_Cost[#Headers])&lt;='Construction Dashboard'!$F28,IFERROR(VLOOKUP(Remaining_Cost[[#This Row],[Cost]],Upgrades[],MATCH("C"&amp;Remaining_Cost[#Headers],Upgrades[#Headers],0),FALSE),0)*MAX(0,SUM('Construction Dashboard'!$G28:I28)),0)</f>
        <v>0</v>
      </c>
      <c r="I24" s="48">
        <f ca="1">IF(VALUE(Remaining_Cost[#Headers])&lt;='Construction Dashboard'!$F28,IFERROR(VLOOKUP(Remaining_Cost[[#This Row],[Cost]],Upgrades[],MATCH("C"&amp;Remaining_Cost[#Headers],Upgrades[#Headers],0),FALSE),0)*MAX(0,SUM('Construction Dashboard'!$G28:J28)),0)</f>
        <v>0</v>
      </c>
      <c r="J24" s="48">
        <f ca="1">IF(VALUE(Remaining_Cost[#Headers])&lt;='Construction Dashboard'!$F28,IFERROR(VLOOKUP(Remaining_Cost[[#This Row],[Cost]],Upgrades[],MATCH("C"&amp;Remaining_Cost[#Headers],Upgrades[#Headers],0),FALSE),0)*MAX(0,SUM('Construction Dashboard'!$G28:K28)),0)</f>
        <v>0</v>
      </c>
      <c r="K24" s="48">
        <f ca="1">IF(VALUE(Remaining_Cost[#Headers])&lt;='Construction Dashboard'!$F28,IFERROR(VLOOKUP(Remaining_Cost[[#This Row],[Cost]],Upgrades[],MATCH("C"&amp;Remaining_Cost[#Headers],Upgrades[#Headers],0),FALSE),0)*MAX(0,SUM('Construction Dashboard'!$G28:L28)),0)</f>
        <v>0</v>
      </c>
      <c r="L24" s="48">
        <f ca="1">IF(VALUE(Remaining_Cost[#Headers])&lt;='Construction Dashboard'!$F28,IFERROR(VLOOKUP(Remaining_Cost[[#This Row],[Cost]],Upgrades[],MATCH("C"&amp;Remaining_Cost[#Headers],Upgrades[#Headers],0),FALSE),0)*MAX(0,SUM('Construction Dashboard'!$G28:M28)),0)</f>
        <v>0</v>
      </c>
      <c r="M24" s="48">
        <f ca="1">IF(VALUE(Remaining_Cost[#Headers])&lt;='Construction Dashboard'!$F28,IFERROR(VLOOKUP(Remaining_Cost[[#This Row],[Cost]],Upgrades[],MATCH("C"&amp;Remaining_Cost[#Headers],Upgrades[#Headers],0),FALSE),0)*MAX(0,SUM('Construction Dashboard'!$G28:N28)),0)</f>
        <v>0</v>
      </c>
      <c r="N24" s="48">
        <f ca="1">IF(VALUE(Remaining_Cost[#Headers])&lt;='Construction Dashboard'!$F28,IFERROR(VLOOKUP(Remaining_Cost[[#This Row],[Cost]],Upgrades[],MATCH("C"&amp;Remaining_Cost[#Headers],Upgrades[#Headers],0),FALSE),0)*MAX(0,SUM('Construction Dashboard'!$G28:O28)),0)</f>
        <v>0</v>
      </c>
      <c r="O24" s="48">
        <f ca="1">IF(VALUE(Remaining_Cost[#Headers])&lt;='Construction Dashboard'!$F28,IFERROR(VLOOKUP(Remaining_Cost[[#This Row],[Cost]],Upgrades[],MATCH("C"&amp;Remaining_Cost[#Headers],Upgrades[#Headers],0),FALSE),0)*MAX(0,SUM('Construction Dashboard'!$G28:P28)),0)</f>
        <v>0</v>
      </c>
      <c r="P24" s="48">
        <f ca="1">IF(VALUE(Remaining_Cost[#Headers])&lt;='Construction Dashboard'!$F28,IFERROR(VLOOKUP(Remaining_Cost[[#This Row],[Cost]],Upgrades[],MATCH("C"&amp;Remaining_Cost[#Headers],Upgrades[#Headers],0),FALSE),0)*MAX(0,SUM('Construction Dashboard'!$G28:Q28)),0)</f>
        <v>0</v>
      </c>
      <c r="Q24" s="48">
        <f ca="1">IF(VALUE(Remaining_Cost[#Headers])&lt;='Construction Dashboard'!$F28,IFERROR(VLOOKUP(Remaining_Cost[[#This Row],[Cost]],Upgrades[],MATCH("C"&amp;Remaining_Cost[#Headers],Upgrades[#Headers],0),FALSE),0)*MAX(0,SUM('Construction Dashboard'!$G28:R28)),0)</f>
        <v>0</v>
      </c>
      <c r="R24" s="48">
        <f ca="1">IF(Remaining_Cost[[#This Row],[MatchStr]]="IGNORE",0,SUM(Remaining_Cost[[#This Row],[1]:[12]]))</f>
        <v>0</v>
      </c>
    </row>
    <row r="25" spans="1:27">
      <c r="A25" s="11" t="s">
        <v>16</v>
      </c>
      <c r="B25" s="11" t="str">
        <f>VLOOKUP(Remaining_Cost[[#This Row],[Cost]],Upgrades[],2,FALSE)</f>
        <v>Building</v>
      </c>
      <c r="C25" s="11" t="str">
        <f>VLOOKUP(Remaining_Cost[[#This Row],[Cost]],Upgrades[],3,FALSE)</f>
        <v>Gold</v>
      </c>
      <c r="D25" s="115" t="str">
        <f>IF(COUNTIF(Skips,Remaining_Cost[[#This Row],[Cost]])&gt;0,"IGNORE",Remaining_Cost[Kind]&amp;"-"&amp;Remaining_Cost[Resource])</f>
        <v>Building-Gold</v>
      </c>
      <c r="E25" s="47" t="str">
        <f ca="1">IFERROR(VLOOKUP(Remaining_Cost[[#This Row],[Cost]],Upgrades[],MATCH("C"&amp;MATCH(TRUE,INDEX(Remaining_Cost[[#This Row],[1]:[12]]&lt;&gt;0,),0),Upgrades[#Headers],0),FALSE),"")</f>
        <v/>
      </c>
      <c r="F25" s="48">
        <f ca="1">IF(VALUE(Remaining_Cost[#Headers])&lt;='Construction Dashboard'!$F29,IFERROR(VLOOKUP(Remaining_Cost[[#This Row],[Cost]],Upgrades[],MATCH("C"&amp;Remaining_Cost[#Headers],Upgrades[#Headers],0),FALSE),0)*MAX(0,SUM('Construction Dashboard'!$G29:G29)),0)</f>
        <v>0</v>
      </c>
      <c r="G25" s="48">
        <f ca="1">IF(VALUE(Remaining_Cost[#Headers])&lt;='Construction Dashboard'!$F29,IFERROR(VLOOKUP(Remaining_Cost[[#This Row],[Cost]],Upgrades[],MATCH("C"&amp;Remaining_Cost[#Headers],Upgrades[#Headers],0),FALSE),0)*MAX(0,SUM('Construction Dashboard'!$G29:H29)),0)</f>
        <v>0</v>
      </c>
      <c r="H25" s="48">
        <f ca="1">IF(VALUE(Remaining_Cost[#Headers])&lt;='Construction Dashboard'!$F29,IFERROR(VLOOKUP(Remaining_Cost[[#This Row],[Cost]],Upgrades[],MATCH("C"&amp;Remaining_Cost[#Headers],Upgrades[#Headers],0),FALSE),0)*MAX(0,SUM('Construction Dashboard'!$G29:I29)),0)</f>
        <v>0</v>
      </c>
      <c r="I25" s="48">
        <f ca="1">IF(VALUE(Remaining_Cost[#Headers])&lt;='Construction Dashboard'!$F29,IFERROR(VLOOKUP(Remaining_Cost[[#This Row],[Cost]],Upgrades[],MATCH("C"&amp;Remaining_Cost[#Headers],Upgrades[#Headers],0),FALSE),0)*MAX(0,SUM('Construction Dashboard'!$G29:J29)),0)</f>
        <v>0</v>
      </c>
      <c r="J25" s="48">
        <f ca="1">IF(VALUE(Remaining_Cost[#Headers])&lt;='Construction Dashboard'!$F29,IFERROR(VLOOKUP(Remaining_Cost[[#This Row],[Cost]],Upgrades[],MATCH("C"&amp;Remaining_Cost[#Headers],Upgrades[#Headers],0),FALSE),0)*MAX(0,SUM('Construction Dashboard'!$G29:K29)),0)</f>
        <v>0</v>
      </c>
      <c r="K25" s="48">
        <f ca="1">IF(VALUE(Remaining_Cost[#Headers])&lt;='Construction Dashboard'!$F29,IFERROR(VLOOKUP(Remaining_Cost[[#This Row],[Cost]],Upgrades[],MATCH("C"&amp;Remaining_Cost[#Headers],Upgrades[#Headers],0),FALSE),0)*MAX(0,SUM('Construction Dashboard'!$G29:L29)),0)</f>
        <v>0</v>
      </c>
      <c r="L25" s="48">
        <f ca="1">IF(VALUE(Remaining_Cost[#Headers])&lt;='Construction Dashboard'!$F29,IFERROR(VLOOKUP(Remaining_Cost[[#This Row],[Cost]],Upgrades[],MATCH("C"&amp;Remaining_Cost[#Headers],Upgrades[#Headers],0),FALSE),0)*MAX(0,SUM('Construction Dashboard'!$G29:M29)),0)</f>
        <v>0</v>
      </c>
      <c r="M25" s="48">
        <f ca="1">IF(VALUE(Remaining_Cost[#Headers])&lt;='Construction Dashboard'!$F29,IFERROR(VLOOKUP(Remaining_Cost[[#This Row],[Cost]],Upgrades[],MATCH("C"&amp;Remaining_Cost[#Headers],Upgrades[#Headers],0),FALSE),0)*MAX(0,SUM('Construction Dashboard'!$G29:N29)),0)</f>
        <v>0</v>
      </c>
      <c r="N25" s="48">
        <f ca="1">IF(VALUE(Remaining_Cost[#Headers])&lt;='Construction Dashboard'!$F29,IFERROR(VLOOKUP(Remaining_Cost[[#This Row],[Cost]],Upgrades[],MATCH("C"&amp;Remaining_Cost[#Headers],Upgrades[#Headers],0),FALSE),0)*MAX(0,SUM('Construction Dashboard'!$G29:O29)),0)</f>
        <v>0</v>
      </c>
      <c r="O25" s="48">
        <f ca="1">IF(VALUE(Remaining_Cost[#Headers])&lt;='Construction Dashboard'!$F29,IFERROR(VLOOKUP(Remaining_Cost[[#This Row],[Cost]],Upgrades[],MATCH("C"&amp;Remaining_Cost[#Headers],Upgrades[#Headers],0),FALSE),0)*MAX(0,SUM('Construction Dashboard'!$G29:P29)),0)</f>
        <v>0</v>
      </c>
      <c r="P25" s="48">
        <f ca="1">IF(VALUE(Remaining_Cost[#Headers])&lt;='Construction Dashboard'!$F29,IFERROR(VLOOKUP(Remaining_Cost[[#This Row],[Cost]],Upgrades[],MATCH("C"&amp;Remaining_Cost[#Headers],Upgrades[#Headers],0),FALSE),0)*MAX(0,SUM('Construction Dashboard'!$G29:Q29)),0)</f>
        <v>0</v>
      </c>
      <c r="Q25" s="48">
        <f ca="1">IF(VALUE(Remaining_Cost[#Headers])&lt;='Construction Dashboard'!$F29,IFERROR(VLOOKUP(Remaining_Cost[[#This Row],[Cost]],Upgrades[],MATCH("C"&amp;Remaining_Cost[#Headers],Upgrades[#Headers],0),FALSE),0)*MAX(0,SUM('Construction Dashboard'!$G29:R29)),0)</f>
        <v>0</v>
      </c>
      <c r="R25" s="48">
        <f ca="1">IF(Remaining_Cost[[#This Row],[MatchStr]]="IGNORE",0,SUM(Remaining_Cost[[#This Row],[1]:[12]]))</f>
        <v>0</v>
      </c>
    </row>
    <row r="26" spans="1:27">
      <c r="A26" s="11" t="s">
        <v>17</v>
      </c>
      <c r="B26" s="11" t="str">
        <f>VLOOKUP(Remaining_Cost[[#This Row],[Cost]],Upgrades[],2,FALSE)</f>
        <v>Building</v>
      </c>
      <c r="C26" s="11" t="str">
        <f>VLOOKUP(Remaining_Cost[[#This Row],[Cost]],Upgrades[],3,FALSE)</f>
        <v>Elixir</v>
      </c>
      <c r="D26" s="115" t="str">
        <f>IF(COUNTIF(Skips,Remaining_Cost[[#This Row],[Cost]])&gt;0,"IGNORE",Remaining_Cost[Kind]&amp;"-"&amp;Remaining_Cost[Resource])</f>
        <v>Building-Elixir</v>
      </c>
      <c r="E26" s="47" t="str">
        <f ca="1">IFERROR(VLOOKUP(Remaining_Cost[[#This Row],[Cost]],Upgrades[],MATCH("C"&amp;MATCH(TRUE,INDEX(Remaining_Cost[[#This Row],[1]:[12]]&lt;&gt;0,),0),Upgrades[#Headers],0),FALSE),"")</f>
        <v/>
      </c>
      <c r="F26" s="48">
        <f ca="1">IF(VALUE(Remaining_Cost[#Headers])&lt;='Construction Dashboard'!$F30,IFERROR(VLOOKUP(Remaining_Cost[[#This Row],[Cost]],Upgrades[],MATCH("C"&amp;Remaining_Cost[#Headers],Upgrades[#Headers],0),FALSE),0)*MAX(0,SUM('Construction Dashboard'!$G30:G30)),0)</f>
        <v>0</v>
      </c>
      <c r="G26" s="48">
        <f ca="1">IF(VALUE(Remaining_Cost[#Headers])&lt;='Construction Dashboard'!$F30,IFERROR(VLOOKUP(Remaining_Cost[[#This Row],[Cost]],Upgrades[],MATCH("C"&amp;Remaining_Cost[#Headers],Upgrades[#Headers],0),FALSE),0)*MAX(0,SUM('Construction Dashboard'!$G30:H30)),0)</f>
        <v>0</v>
      </c>
      <c r="H26" s="48">
        <f ca="1">IF(VALUE(Remaining_Cost[#Headers])&lt;='Construction Dashboard'!$F30,IFERROR(VLOOKUP(Remaining_Cost[[#This Row],[Cost]],Upgrades[],MATCH("C"&amp;Remaining_Cost[#Headers],Upgrades[#Headers],0),FALSE),0)*MAX(0,SUM('Construction Dashboard'!$G30:I30)),0)</f>
        <v>0</v>
      </c>
      <c r="I26" s="48">
        <f ca="1">IF(VALUE(Remaining_Cost[#Headers])&lt;='Construction Dashboard'!$F30,IFERROR(VLOOKUP(Remaining_Cost[[#This Row],[Cost]],Upgrades[],MATCH("C"&amp;Remaining_Cost[#Headers],Upgrades[#Headers],0),FALSE),0)*MAX(0,SUM('Construction Dashboard'!$G30:J30)),0)</f>
        <v>0</v>
      </c>
      <c r="J26" s="48">
        <f ca="1">IF(VALUE(Remaining_Cost[#Headers])&lt;='Construction Dashboard'!$F30,IFERROR(VLOOKUP(Remaining_Cost[[#This Row],[Cost]],Upgrades[],MATCH("C"&amp;Remaining_Cost[#Headers],Upgrades[#Headers],0),FALSE),0)*MAX(0,SUM('Construction Dashboard'!$G30:K30)),0)</f>
        <v>0</v>
      </c>
      <c r="K26" s="48">
        <f ca="1">IF(VALUE(Remaining_Cost[#Headers])&lt;='Construction Dashboard'!$F30,IFERROR(VLOOKUP(Remaining_Cost[[#This Row],[Cost]],Upgrades[],MATCH("C"&amp;Remaining_Cost[#Headers],Upgrades[#Headers],0),FALSE),0)*MAX(0,SUM('Construction Dashboard'!$G30:L30)),0)</f>
        <v>0</v>
      </c>
      <c r="L26" s="48">
        <f ca="1">IF(VALUE(Remaining_Cost[#Headers])&lt;='Construction Dashboard'!$F30,IFERROR(VLOOKUP(Remaining_Cost[[#This Row],[Cost]],Upgrades[],MATCH("C"&amp;Remaining_Cost[#Headers],Upgrades[#Headers],0),FALSE),0)*MAX(0,SUM('Construction Dashboard'!$G30:M30)),0)</f>
        <v>0</v>
      </c>
      <c r="M26" s="48">
        <f ca="1">IF(VALUE(Remaining_Cost[#Headers])&lt;='Construction Dashboard'!$F30,IFERROR(VLOOKUP(Remaining_Cost[[#This Row],[Cost]],Upgrades[],MATCH("C"&amp;Remaining_Cost[#Headers],Upgrades[#Headers],0),FALSE),0)*MAX(0,SUM('Construction Dashboard'!$G30:N30)),0)</f>
        <v>0</v>
      </c>
      <c r="N26" s="48">
        <f ca="1">IF(VALUE(Remaining_Cost[#Headers])&lt;='Construction Dashboard'!$F30,IFERROR(VLOOKUP(Remaining_Cost[[#This Row],[Cost]],Upgrades[],MATCH("C"&amp;Remaining_Cost[#Headers],Upgrades[#Headers],0),FALSE),0)*MAX(0,SUM('Construction Dashboard'!$G30:O30)),0)</f>
        <v>0</v>
      </c>
      <c r="O26" s="48">
        <f ca="1">IF(VALUE(Remaining_Cost[#Headers])&lt;='Construction Dashboard'!$F30,IFERROR(VLOOKUP(Remaining_Cost[[#This Row],[Cost]],Upgrades[],MATCH("C"&amp;Remaining_Cost[#Headers],Upgrades[#Headers],0),FALSE),0)*MAX(0,SUM('Construction Dashboard'!$G30:P30)),0)</f>
        <v>0</v>
      </c>
      <c r="P26" s="48">
        <f ca="1">IF(VALUE(Remaining_Cost[#Headers])&lt;='Construction Dashboard'!$F30,IFERROR(VLOOKUP(Remaining_Cost[[#This Row],[Cost]],Upgrades[],MATCH("C"&amp;Remaining_Cost[#Headers],Upgrades[#Headers],0),FALSE),0)*MAX(0,SUM('Construction Dashboard'!$G30:Q30)),0)</f>
        <v>0</v>
      </c>
      <c r="Q26" s="48">
        <f ca="1">IF(VALUE(Remaining_Cost[#Headers])&lt;='Construction Dashboard'!$F30,IFERROR(VLOOKUP(Remaining_Cost[[#This Row],[Cost]],Upgrades[],MATCH("C"&amp;Remaining_Cost[#Headers],Upgrades[#Headers],0),FALSE),0)*MAX(0,SUM('Construction Dashboard'!$G30:R30)),0)</f>
        <v>0</v>
      </c>
      <c r="R26" s="48">
        <f ca="1">IF(Remaining_Cost[[#This Row],[MatchStr]]="IGNORE",0,SUM(Remaining_Cost[[#This Row],[1]:[12]]))</f>
        <v>0</v>
      </c>
    </row>
    <row r="27" spans="1:27">
      <c r="A27" s="11" t="s">
        <v>3</v>
      </c>
      <c r="B27" s="11" t="str">
        <f>VLOOKUP(Remaining_Cost[[#This Row],[Cost]],Upgrades[],2,FALSE)</f>
        <v>Building</v>
      </c>
      <c r="C27" s="11" t="str">
        <f>VLOOKUP(Remaining_Cost[[#This Row],[Cost]],Upgrades[],3,FALSE)</f>
        <v>Elixir</v>
      </c>
      <c r="D27" s="115" t="str">
        <f>IF(COUNTIF(Skips,Remaining_Cost[[#This Row],[Cost]])&gt;0,"IGNORE",Remaining_Cost[Kind]&amp;"-"&amp;Remaining_Cost[Resource])</f>
        <v>Building-Elixir</v>
      </c>
      <c r="E27" s="47" t="str">
        <f ca="1">IFERROR(VLOOKUP(Remaining_Cost[[#This Row],[Cost]],Upgrades[],MATCH("C"&amp;MATCH(TRUE,INDEX(Remaining_Cost[[#This Row],[1]:[12]]&lt;&gt;0,),0),Upgrades[#Headers],0),FALSE),"")</f>
        <v/>
      </c>
      <c r="F27" s="48">
        <f ca="1">IF(VALUE(Remaining_Cost[#Headers])&lt;='Construction Dashboard'!$F31,IFERROR(VLOOKUP(Remaining_Cost[[#This Row],[Cost]],Upgrades[],MATCH("C"&amp;Remaining_Cost[#Headers],Upgrades[#Headers],0),FALSE),0)*MAX(0,SUM('Construction Dashboard'!$G31:G31)),0)</f>
        <v>0</v>
      </c>
      <c r="G27" s="48">
        <f ca="1">IF(VALUE(Remaining_Cost[#Headers])&lt;='Construction Dashboard'!$F31,IFERROR(VLOOKUP(Remaining_Cost[[#This Row],[Cost]],Upgrades[],MATCH("C"&amp;Remaining_Cost[#Headers],Upgrades[#Headers],0),FALSE),0)*MAX(0,SUM('Construction Dashboard'!$G31:H31)),0)</f>
        <v>0</v>
      </c>
      <c r="H27" s="48">
        <f ca="1">IF(VALUE(Remaining_Cost[#Headers])&lt;='Construction Dashboard'!$F31,IFERROR(VLOOKUP(Remaining_Cost[[#This Row],[Cost]],Upgrades[],MATCH("C"&amp;Remaining_Cost[#Headers],Upgrades[#Headers],0),FALSE),0)*MAX(0,SUM('Construction Dashboard'!$G31:I31)),0)</f>
        <v>0</v>
      </c>
      <c r="I27" s="48">
        <f ca="1">IF(VALUE(Remaining_Cost[#Headers])&lt;='Construction Dashboard'!$F31,IFERROR(VLOOKUP(Remaining_Cost[[#This Row],[Cost]],Upgrades[],MATCH("C"&amp;Remaining_Cost[#Headers],Upgrades[#Headers],0),FALSE),0)*MAX(0,SUM('Construction Dashboard'!$G31:J31)),0)</f>
        <v>0</v>
      </c>
      <c r="J27" s="48">
        <f ca="1">IF(VALUE(Remaining_Cost[#Headers])&lt;='Construction Dashboard'!$F31,IFERROR(VLOOKUP(Remaining_Cost[[#This Row],[Cost]],Upgrades[],MATCH("C"&amp;Remaining_Cost[#Headers],Upgrades[#Headers],0),FALSE),0)*MAX(0,SUM('Construction Dashboard'!$G31:K31)),0)</f>
        <v>0</v>
      </c>
      <c r="K27" s="48">
        <f ca="1">IF(VALUE(Remaining_Cost[#Headers])&lt;='Construction Dashboard'!$F31,IFERROR(VLOOKUP(Remaining_Cost[[#This Row],[Cost]],Upgrades[],MATCH("C"&amp;Remaining_Cost[#Headers],Upgrades[#Headers],0),FALSE),0)*MAX(0,SUM('Construction Dashboard'!$G31:L31)),0)</f>
        <v>0</v>
      </c>
      <c r="L27" s="48">
        <f ca="1">IF(VALUE(Remaining_Cost[#Headers])&lt;='Construction Dashboard'!$F31,IFERROR(VLOOKUP(Remaining_Cost[[#This Row],[Cost]],Upgrades[],MATCH("C"&amp;Remaining_Cost[#Headers],Upgrades[#Headers],0),FALSE),0)*MAX(0,SUM('Construction Dashboard'!$G31:M31)),0)</f>
        <v>0</v>
      </c>
      <c r="M27" s="48">
        <f ca="1">IF(VALUE(Remaining_Cost[#Headers])&lt;='Construction Dashboard'!$F31,IFERROR(VLOOKUP(Remaining_Cost[[#This Row],[Cost]],Upgrades[],MATCH("C"&amp;Remaining_Cost[#Headers],Upgrades[#Headers],0),FALSE),0)*MAX(0,SUM('Construction Dashboard'!$G31:N31)),0)</f>
        <v>0</v>
      </c>
      <c r="N27" s="48">
        <f ca="1">IF(VALUE(Remaining_Cost[#Headers])&lt;='Construction Dashboard'!$F31,IFERROR(VLOOKUP(Remaining_Cost[[#This Row],[Cost]],Upgrades[],MATCH("C"&amp;Remaining_Cost[#Headers],Upgrades[#Headers],0),FALSE),0)*MAX(0,SUM('Construction Dashboard'!$G31:O31)),0)</f>
        <v>0</v>
      </c>
      <c r="O27" s="48">
        <f ca="1">IF(VALUE(Remaining_Cost[#Headers])&lt;='Construction Dashboard'!$F31,IFERROR(VLOOKUP(Remaining_Cost[[#This Row],[Cost]],Upgrades[],MATCH("C"&amp;Remaining_Cost[#Headers],Upgrades[#Headers],0),FALSE),0)*MAX(0,SUM('Construction Dashboard'!$G31:P31)),0)</f>
        <v>0</v>
      </c>
      <c r="P27" s="48">
        <f ca="1">IF(VALUE(Remaining_Cost[#Headers])&lt;='Construction Dashboard'!$F31,IFERROR(VLOOKUP(Remaining_Cost[[#This Row],[Cost]],Upgrades[],MATCH("C"&amp;Remaining_Cost[#Headers],Upgrades[#Headers],0),FALSE),0)*MAX(0,SUM('Construction Dashboard'!$G31:Q31)),0)</f>
        <v>0</v>
      </c>
      <c r="Q27" s="48">
        <f ca="1">IF(VALUE(Remaining_Cost[#Headers])&lt;='Construction Dashboard'!$F31,IFERROR(VLOOKUP(Remaining_Cost[[#This Row],[Cost]],Upgrades[],MATCH("C"&amp;Remaining_Cost[#Headers],Upgrades[#Headers],0),FALSE),0)*MAX(0,SUM('Construction Dashboard'!$G31:R31)),0)</f>
        <v>0</v>
      </c>
      <c r="R27" s="48">
        <f ca="1">IF(Remaining_Cost[[#This Row],[MatchStr]]="IGNORE",0,SUM(Remaining_Cost[[#This Row],[1]:[12]]))</f>
        <v>0</v>
      </c>
    </row>
    <row r="28" spans="1:27">
      <c r="A28" s="11" t="s">
        <v>4</v>
      </c>
      <c r="B28" s="11" t="str">
        <f>VLOOKUP(Remaining_Cost[[#This Row],[Cost]],Upgrades[],2,FALSE)</f>
        <v>Building</v>
      </c>
      <c r="C28" s="11" t="str">
        <f>VLOOKUP(Remaining_Cost[[#This Row],[Cost]],Upgrades[],3,FALSE)</f>
        <v>Gold</v>
      </c>
      <c r="D28" s="115" t="str">
        <f>IF(COUNTIF(Skips,Remaining_Cost[[#This Row],[Cost]])&gt;0,"IGNORE",Remaining_Cost[Kind]&amp;"-"&amp;Remaining_Cost[Resource])</f>
        <v>Building-Gold</v>
      </c>
      <c r="E28" s="47" t="str">
        <f ca="1">IFERROR(VLOOKUP(Remaining_Cost[[#This Row],[Cost]],Upgrades[],MATCH("C"&amp;MATCH(TRUE,INDEX(Remaining_Cost[[#This Row],[1]:[12]]&lt;&gt;0,),0),Upgrades[#Headers],0),FALSE),"")</f>
        <v/>
      </c>
      <c r="F28" s="48">
        <f ca="1">IF(VALUE(Remaining_Cost[#Headers])&lt;='Construction Dashboard'!$F32,IFERROR(VLOOKUP(Remaining_Cost[[#This Row],[Cost]],Upgrades[],MATCH("C"&amp;Remaining_Cost[#Headers],Upgrades[#Headers],0),FALSE),0)*MAX(0,SUM('Construction Dashboard'!$G32:G32)),0)</f>
        <v>0</v>
      </c>
      <c r="G28" s="48">
        <f ca="1">IF(VALUE(Remaining_Cost[#Headers])&lt;='Construction Dashboard'!$F32,IFERROR(VLOOKUP(Remaining_Cost[[#This Row],[Cost]],Upgrades[],MATCH("C"&amp;Remaining_Cost[#Headers],Upgrades[#Headers],0),FALSE),0)*MAX(0,SUM('Construction Dashboard'!$G32:H32)),0)</f>
        <v>0</v>
      </c>
      <c r="H28" s="48">
        <f ca="1">IF(VALUE(Remaining_Cost[#Headers])&lt;='Construction Dashboard'!$F32,IFERROR(VLOOKUP(Remaining_Cost[[#This Row],[Cost]],Upgrades[],MATCH("C"&amp;Remaining_Cost[#Headers],Upgrades[#Headers],0),FALSE),0)*MAX(0,SUM('Construction Dashboard'!$G32:I32)),0)</f>
        <v>0</v>
      </c>
      <c r="I28" s="48">
        <f ca="1">IF(VALUE(Remaining_Cost[#Headers])&lt;='Construction Dashboard'!$F32,IFERROR(VLOOKUP(Remaining_Cost[[#This Row],[Cost]],Upgrades[],MATCH("C"&amp;Remaining_Cost[#Headers],Upgrades[#Headers],0),FALSE),0)*MAX(0,SUM('Construction Dashboard'!$G32:J32)),0)</f>
        <v>0</v>
      </c>
      <c r="J28" s="48">
        <f ca="1">IF(VALUE(Remaining_Cost[#Headers])&lt;='Construction Dashboard'!$F32,IFERROR(VLOOKUP(Remaining_Cost[[#This Row],[Cost]],Upgrades[],MATCH("C"&amp;Remaining_Cost[#Headers],Upgrades[#Headers],0),FALSE),0)*MAX(0,SUM('Construction Dashboard'!$G32:K32)),0)</f>
        <v>0</v>
      </c>
      <c r="K28" s="48">
        <f ca="1">IF(VALUE(Remaining_Cost[#Headers])&lt;='Construction Dashboard'!$F32,IFERROR(VLOOKUP(Remaining_Cost[[#This Row],[Cost]],Upgrades[],MATCH("C"&amp;Remaining_Cost[#Headers],Upgrades[#Headers],0),FALSE),0)*MAX(0,SUM('Construction Dashboard'!$G32:L32)),0)</f>
        <v>0</v>
      </c>
      <c r="L28" s="48">
        <f ca="1">IF(VALUE(Remaining_Cost[#Headers])&lt;='Construction Dashboard'!$F32,IFERROR(VLOOKUP(Remaining_Cost[[#This Row],[Cost]],Upgrades[],MATCH("C"&amp;Remaining_Cost[#Headers],Upgrades[#Headers],0),FALSE),0)*MAX(0,SUM('Construction Dashboard'!$G32:M32)),0)</f>
        <v>0</v>
      </c>
      <c r="M28" s="48">
        <f ca="1">IF(VALUE(Remaining_Cost[#Headers])&lt;='Construction Dashboard'!$F32,IFERROR(VLOOKUP(Remaining_Cost[[#This Row],[Cost]],Upgrades[],MATCH("C"&amp;Remaining_Cost[#Headers],Upgrades[#Headers],0),FALSE),0)*MAX(0,SUM('Construction Dashboard'!$G32:N32)),0)</f>
        <v>0</v>
      </c>
      <c r="N28" s="48">
        <f ca="1">IF(VALUE(Remaining_Cost[#Headers])&lt;='Construction Dashboard'!$F32,IFERROR(VLOOKUP(Remaining_Cost[[#This Row],[Cost]],Upgrades[],MATCH("C"&amp;Remaining_Cost[#Headers],Upgrades[#Headers],0),FALSE),0)*MAX(0,SUM('Construction Dashboard'!$G32:O32)),0)</f>
        <v>0</v>
      </c>
      <c r="O28" s="48">
        <f ca="1">IF(VALUE(Remaining_Cost[#Headers])&lt;='Construction Dashboard'!$F32,IFERROR(VLOOKUP(Remaining_Cost[[#This Row],[Cost]],Upgrades[],MATCH("C"&amp;Remaining_Cost[#Headers],Upgrades[#Headers],0),FALSE),0)*MAX(0,SUM('Construction Dashboard'!$G32:P32)),0)</f>
        <v>0</v>
      </c>
      <c r="P28" s="48">
        <f ca="1">IF(VALUE(Remaining_Cost[#Headers])&lt;='Construction Dashboard'!$F32,IFERROR(VLOOKUP(Remaining_Cost[[#This Row],[Cost]],Upgrades[],MATCH("C"&amp;Remaining_Cost[#Headers],Upgrades[#Headers],0),FALSE),0)*MAX(0,SUM('Construction Dashboard'!$G32:Q32)),0)</f>
        <v>0</v>
      </c>
      <c r="Q28" s="48">
        <f ca="1">IF(VALUE(Remaining_Cost[#Headers])&lt;='Construction Dashboard'!$F32,IFERROR(VLOOKUP(Remaining_Cost[[#This Row],[Cost]],Upgrades[],MATCH("C"&amp;Remaining_Cost[#Headers],Upgrades[#Headers],0),FALSE),0)*MAX(0,SUM('Construction Dashboard'!$G32:R32)),0)</f>
        <v>0</v>
      </c>
      <c r="R28" s="48">
        <f ca="1">IF(Remaining_Cost[[#This Row],[MatchStr]]="IGNORE",0,SUM(Remaining_Cost[[#This Row],[1]:[12]]))</f>
        <v>0</v>
      </c>
    </row>
    <row r="29" spans="1:27">
      <c r="A29" s="11" t="s">
        <v>18</v>
      </c>
      <c r="B29" s="11" t="str">
        <f>VLOOKUP(Remaining_Cost[[#This Row],[Cost]],Upgrades[],2,FALSE)</f>
        <v>Building</v>
      </c>
      <c r="C29" s="11" t="str">
        <f>VLOOKUP(Remaining_Cost[[#This Row],[Cost]],Upgrades[],3,FALSE)</f>
        <v>Elixir</v>
      </c>
      <c r="D29" s="115" t="str">
        <f>IF(COUNTIF(Skips,Remaining_Cost[[#This Row],[Cost]])&gt;0,"IGNORE",Remaining_Cost[Kind]&amp;"-"&amp;Remaining_Cost[Resource])</f>
        <v>Building-Elixir</v>
      </c>
      <c r="E29" s="47" t="str">
        <f ca="1">IFERROR(VLOOKUP(Remaining_Cost[[#This Row],[Cost]],Upgrades[],MATCH("C"&amp;MATCH(TRUE,INDEX(Remaining_Cost[[#This Row],[1]:[12]]&lt;&gt;0,),0),Upgrades[#Headers],0),FALSE),"")</f>
        <v/>
      </c>
      <c r="F29" s="48">
        <f ca="1">IF(VALUE(Remaining_Cost[#Headers])&lt;='Construction Dashboard'!$F33,IFERROR(VLOOKUP(Remaining_Cost[[#This Row],[Cost]],Upgrades[],MATCH("C"&amp;Remaining_Cost[#Headers],Upgrades[#Headers],0),FALSE),0)*MAX(0,SUM('Construction Dashboard'!$G33:G33)),0)</f>
        <v>0</v>
      </c>
      <c r="G29" s="48">
        <f ca="1">IF(VALUE(Remaining_Cost[#Headers])&lt;='Construction Dashboard'!$F33,IFERROR(VLOOKUP(Remaining_Cost[[#This Row],[Cost]],Upgrades[],MATCH("C"&amp;Remaining_Cost[#Headers],Upgrades[#Headers],0),FALSE),0)*MAX(0,SUM('Construction Dashboard'!$G33:H33)),0)</f>
        <v>0</v>
      </c>
      <c r="H29" s="48">
        <f ca="1">IF(VALUE(Remaining_Cost[#Headers])&lt;='Construction Dashboard'!$F33,IFERROR(VLOOKUP(Remaining_Cost[[#This Row],[Cost]],Upgrades[],MATCH("C"&amp;Remaining_Cost[#Headers],Upgrades[#Headers],0),FALSE),0)*MAX(0,SUM('Construction Dashboard'!$G33:I33)),0)</f>
        <v>0</v>
      </c>
      <c r="I29" s="48">
        <f ca="1">IF(VALUE(Remaining_Cost[#Headers])&lt;='Construction Dashboard'!$F33,IFERROR(VLOOKUP(Remaining_Cost[[#This Row],[Cost]],Upgrades[],MATCH("C"&amp;Remaining_Cost[#Headers],Upgrades[#Headers],0),FALSE),0)*MAX(0,SUM('Construction Dashboard'!$G33:J33)),0)</f>
        <v>0</v>
      </c>
      <c r="J29" s="48">
        <f ca="1">IF(VALUE(Remaining_Cost[#Headers])&lt;='Construction Dashboard'!$F33,IFERROR(VLOOKUP(Remaining_Cost[[#This Row],[Cost]],Upgrades[],MATCH("C"&amp;Remaining_Cost[#Headers],Upgrades[#Headers],0),FALSE),0)*MAX(0,SUM('Construction Dashboard'!$G33:K33)),0)</f>
        <v>0</v>
      </c>
      <c r="K29" s="48">
        <f ca="1">IF(VALUE(Remaining_Cost[#Headers])&lt;='Construction Dashboard'!$F33,IFERROR(VLOOKUP(Remaining_Cost[[#This Row],[Cost]],Upgrades[],MATCH("C"&amp;Remaining_Cost[#Headers],Upgrades[#Headers],0),FALSE),0)*MAX(0,SUM('Construction Dashboard'!$G33:L33)),0)</f>
        <v>0</v>
      </c>
      <c r="L29" s="48">
        <f ca="1">IF(VALUE(Remaining_Cost[#Headers])&lt;='Construction Dashboard'!$F33,IFERROR(VLOOKUP(Remaining_Cost[[#This Row],[Cost]],Upgrades[],MATCH("C"&amp;Remaining_Cost[#Headers],Upgrades[#Headers],0),FALSE),0)*MAX(0,SUM('Construction Dashboard'!$G33:M33)),0)</f>
        <v>0</v>
      </c>
      <c r="M29" s="48">
        <f ca="1">IF(VALUE(Remaining_Cost[#Headers])&lt;='Construction Dashboard'!$F33,IFERROR(VLOOKUP(Remaining_Cost[[#This Row],[Cost]],Upgrades[],MATCH("C"&amp;Remaining_Cost[#Headers],Upgrades[#Headers],0),FALSE),0)*MAX(0,SUM('Construction Dashboard'!$G33:N33)),0)</f>
        <v>0</v>
      </c>
      <c r="N29" s="48">
        <f ca="1">IF(VALUE(Remaining_Cost[#Headers])&lt;='Construction Dashboard'!$F33,IFERROR(VLOOKUP(Remaining_Cost[[#This Row],[Cost]],Upgrades[],MATCH("C"&amp;Remaining_Cost[#Headers],Upgrades[#Headers],0),FALSE),0)*MAX(0,SUM('Construction Dashboard'!$G33:O33)),0)</f>
        <v>0</v>
      </c>
      <c r="O29" s="48">
        <f ca="1">IF(VALUE(Remaining_Cost[#Headers])&lt;='Construction Dashboard'!$F33,IFERROR(VLOOKUP(Remaining_Cost[[#This Row],[Cost]],Upgrades[],MATCH("C"&amp;Remaining_Cost[#Headers],Upgrades[#Headers],0),FALSE),0)*MAX(0,SUM('Construction Dashboard'!$G33:P33)),0)</f>
        <v>0</v>
      </c>
      <c r="P29" s="48">
        <f ca="1">IF(VALUE(Remaining_Cost[#Headers])&lt;='Construction Dashboard'!$F33,IFERROR(VLOOKUP(Remaining_Cost[[#This Row],[Cost]],Upgrades[],MATCH("C"&amp;Remaining_Cost[#Headers],Upgrades[#Headers],0),FALSE),0)*MAX(0,SUM('Construction Dashboard'!$G33:Q33)),0)</f>
        <v>0</v>
      </c>
      <c r="Q29" s="48">
        <f ca="1">IF(VALUE(Remaining_Cost[#Headers])&lt;='Construction Dashboard'!$F33,IFERROR(VLOOKUP(Remaining_Cost[[#This Row],[Cost]],Upgrades[],MATCH("C"&amp;Remaining_Cost[#Headers],Upgrades[#Headers],0),FALSE),0)*MAX(0,SUM('Construction Dashboard'!$G33:R33)),0)</f>
        <v>0</v>
      </c>
      <c r="R29" s="48">
        <f ca="1">IF(Remaining_Cost[[#This Row],[MatchStr]]="IGNORE",0,SUM(Remaining_Cost[[#This Row],[1]:[12]]))</f>
        <v>0</v>
      </c>
    </row>
    <row r="30" spans="1:27">
      <c r="A30" s="11" t="s">
        <v>19</v>
      </c>
      <c r="B30" s="11" t="str">
        <f>VLOOKUP(Remaining_Cost[[#This Row],[Cost]],Upgrades[],2,FALSE)</f>
        <v>Building</v>
      </c>
      <c r="C30" s="11" t="str">
        <f>VLOOKUP(Remaining_Cost[[#This Row],[Cost]],Upgrades[],3,FALSE)</f>
        <v>Elixir</v>
      </c>
      <c r="D30" s="115" t="str">
        <f>IF(COUNTIF(Skips,Remaining_Cost[[#This Row],[Cost]])&gt;0,"IGNORE",Remaining_Cost[Kind]&amp;"-"&amp;Remaining_Cost[Resource])</f>
        <v>Building-Elixir</v>
      </c>
      <c r="E30" s="47" t="str">
        <f ca="1">IFERROR(VLOOKUP(Remaining_Cost[[#This Row],[Cost]],Upgrades[],MATCH("C"&amp;MATCH(TRUE,INDEX(Remaining_Cost[[#This Row],[1]:[12]]&lt;&gt;0,),0),Upgrades[#Headers],0),FALSE),"")</f>
        <v/>
      </c>
      <c r="F30" s="48">
        <f ca="1">IF(VALUE(Remaining_Cost[#Headers])&lt;='Construction Dashboard'!$F34,IFERROR(VLOOKUP(Remaining_Cost[[#This Row],[Cost]],Upgrades[],MATCH("C"&amp;Remaining_Cost[#Headers],Upgrades[#Headers],0),FALSE),0)*MAX(0,SUM('Construction Dashboard'!$G34:G34)),0)</f>
        <v>0</v>
      </c>
      <c r="G30" s="48">
        <f ca="1">IF(VALUE(Remaining_Cost[#Headers])&lt;='Construction Dashboard'!$F34,IFERROR(VLOOKUP(Remaining_Cost[[#This Row],[Cost]],Upgrades[],MATCH("C"&amp;Remaining_Cost[#Headers],Upgrades[#Headers],0),FALSE),0)*MAX(0,SUM('Construction Dashboard'!$G34:H34)),0)</f>
        <v>0</v>
      </c>
      <c r="H30" s="48">
        <f ca="1">IF(VALUE(Remaining_Cost[#Headers])&lt;='Construction Dashboard'!$F34,IFERROR(VLOOKUP(Remaining_Cost[[#This Row],[Cost]],Upgrades[],MATCH("C"&amp;Remaining_Cost[#Headers],Upgrades[#Headers],0),FALSE),0)*MAX(0,SUM('Construction Dashboard'!$G34:I34)),0)</f>
        <v>0</v>
      </c>
      <c r="I30" s="48">
        <f ca="1">IF(VALUE(Remaining_Cost[#Headers])&lt;='Construction Dashboard'!$F34,IFERROR(VLOOKUP(Remaining_Cost[[#This Row],[Cost]],Upgrades[],MATCH("C"&amp;Remaining_Cost[#Headers],Upgrades[#Headers],0),FALSE),0)*MAX(0,SUM('Construction Dashboard'!$G34:J34)),0)</f>
        <v>0</v>
      </c>
      <c r="J30" s="48">
        <f ca="1">IF(VALUE(Remaining_Cost[#Headers])&lt;='Construction Dashboard'!$F34,IFERROR(VLOOKUP(Remaining_Cost[[#This Row],[Cost]],Upgrades[],MATCH("C"&amp;Remaining_Cost[#Headers],Upgrades[#Headers],0),FALSE),0)*MAX(0,SUM('Construction Dashboard'!$G34:K34)),0)</f>
        <v>0</v>
      </c>
      <c r="K30" s="48">
        <f ca="1">IF(VALUE(Remaining_Cost[#Headers])&lt;='Construction Dashboard'!$F34,IFERROR(VLOOKUP(Remaining_Cost[[#This Row],[Cost]],Upgrades[],MATCH("C"&amp;Remaining_Cost[#Headers],Upgrades[#Headers],0),FALSE),0)*MAX(0,SUM('Construction Dashboard'!$G34:L34)),0)</f>
        <v>0</v>
      </c>
      <c r="L30" s="48">
        <f ca="1">IF(VALUE(Remaining_Cost[#Headers])&lt;='Construction Dashboard'!$F34,IFERROR(VLOOKUP(Remaining_Cost[[#This Row],[Cost]],Upgrades[],MATCH("C"&amp;Remaining_Cost[#Headers],Upgrades[#Headers],0),FALSE),0)*MAX(0,SUM('Construction Dashboard'!$G34:M34)),0)</f>
        <v>0</v>
      </c>
      <c r="M30" s="48">
        <f ca="1">IF(VALUE(Remaining_Cost[#Headers])&lt;='Construction Dashboard'!$F34,IFERROR(VLOOKUP(Remaining_Cost[[#This Row],[Cost]],Upgrades[],MATCH("C"&amp;Remaining_Cost[#Headers],Upgrades[#Headers],0),FALSE),0)*MAX(0,SUM('Construction Dashboard'!$G34:N34)),0)</f>
        <v>0</v>
      </c>
      <c r="N30" s="48">
        <f ca="1">IF(VALUE(Remaining_Cost[#Headers])&lt;='Construction Dashboard'!$F34,IFERROR(VLOOKUP(Remaining_Cost[[#This Row],[Cost]],Upgrades[],MATCH("C"&amp;Remaining_Cost[#Headers],Upgrades[#Headers],0),FALSE),0)*MAX(0,SUM('Construction Dashboard'!$G34:O34)),0)</f>
        <v>0</v>
      </c>
      <c r="O30" s="48">
        <f ca="1">IF(VALUE(Remaining_Cost[#Headers])&lt;='Construction Dashboard'!$F34,IFERROR(VLOOKUP(Remaining_Cost[[#This Row],[Cost]],Upgrades[],MATCH("C"&amp;Remaining_Cost[#Headers],Upgrades[#Headers],0),FALSE),0)*MAX(0,SUM('Construction Dashboard'!$G34:P34)),0)</f>
        <v>0</v>
      </c>
      <c r="P30" s="48">
        <f ca="1">IF(VALUE(Remaining_Cost[#Headers])&lt;='Construction Dashboard'!$F34,IFERROR(VLOOKUP(Remaining_Cost[[#This Row],[Cost]],Upgrades[],MATCH("C"&amp;Remaining_Cost[#Headers],Upgrades[#Headers],0),FALSE),0)*MAX(0,SUM('Construction Dashboard'!$G34:Q34)),0)</f>
        <v>0</v>
      </c>
      <c r="Q30" s="48">
        <f ca="1">IF(VALUE(Remaining_Cost[#Headers])&lt;='Construction Dashboard'!$F34,IFERROR(VLOOKUP(Remaining_Cost[[#This Row],[Cost]],Upgrades[],MATCH("C"&amp;Remaining_Cost[#Headers],Upgrades[#Headers],0),FALSE),0)*MAX(0,SUM('Construction Dashboard'!$G34:R34)),0)</f>
        <v>0</v>
      </c>
      <c r="R30" s="48">
        <f ca="1">IF(Remaining_Cost[[#This Row],[MatchStr]]="IGNORE",0,SUM(Remaining_Cost[[#This Row],[1]:[12]]))</f>
        <v>0</v>
      </c>
    </row>
    <row r="31" spans="1:27">
      <c r="A31" s="11" t="s">
        <v>21</v>
      </c>
      <c r="B31" s="11" t="str">
        <f>VLOOKUP(Remaining_Cost[[#This Row],[Cost]],Upgrades[],2,FALSE)</f>
        <v>Building</v>
      </c>
      <c r="C31" s="11" t="str">
        <f>VLOOKUP(Remaining_Cost[[#This Row],[Cost]],Upgrades[],3,FALSE)</f>
        <v>Elixir</v>
      </c>
      <c r="D31" s="115" t="str">
        <f>IF(COUNTIF(Skips,Remaining_Cost[[#This Row],[Cost]])&gt;0,"IGNORE",Remaining_Cost[Kind]&amp;"-"&amp;Remaining_Cost[Resource])</f>
        <v>Building-Elixir</v>
      </c>
      <c r="E31" s="47" t="str">
        <f ca="1">IFERROR(VLOOKUP(Remaining_Cost[[#This Row],[Cost]],Upgrades[],MATCH("C"&amp;MATCH(TRUE,INDEX(Remaining_Cost[[#This Row],[1]:[12]]&lt;&gt;0,),0),Upgrades[#Headers],0),FALSE),"")</f>
        <v/>
      </c>
      <c r="F31" s="48">
        <f ca="1">IF(VALUE(Remaining_Cost[#Headers])&lt;='Construction Dashboard'!$F35,IFERROR(VLOOKUP(Remaining_Cost[[#This Row],[Cost]],Upgrades[],MATCH("C"&amp;Remaining_Cost[#Headers],Upgrades[#Headers],0),FALSE),0)*MAX(0,SUM('Construction Dashboard'!$G35:G35)),0)</f>
        <v>0</v>
      </c>
      <c r="G31" s="48">
        <f ca="1">IF(VALUE(Remaining_Cost[#Headers])&lt;='Construction Dashboard'!$F35,IFERROR(VLOOKUP(Remaining_Cost[[#This Row],[Cost]],Upgrades[],MATCH("C"&amp;Remaining_Cost[#Headers],Upgrades[#Headers],0),FALSE),0)*MAX(0,SUM('Construction Dashboard'!$G35:H35)),0)</f>
        <v>0</v>
      </c>
      <c r="H31" s="48">
        <f ca="1">IF(VALUE(Remaining_Cost[#Headers])&lt;='Construction Dashboard'!$F35,IFERROR(VLOOKUP(Remaining_Cost[[#This Row],[Cost]],Upgrades[],MATCH("C"&amp;Remaining_Cost[#Headers],Upgrades[#Headers],0),FALSE),0)*MAX(0,SUM('Construction Dashboard'!$G35:I35)),0)</f>
        <v>0</v>
      </c>
      <c r="I31" s="48">
        <f ca="1">IF(VALUE(Remaining_Cost[#Headers])&lt;='Construction Dashboard'!$F35,IFERROR(VLOOKUP(Remaining_Cost[[#This Row],[Cost]],Upgrades[],MATCH("C"&amp;Remaining_Cost[#Headers],Upgrades[#Headers],0),FALSE),0)*MAX(0,SUM('Construction Dashboard'!$G35:J35)),0)</f>
        <v>0</v>
      </c>
      <c r="J31" s="48">
        <f ca="1">IF(VALUE(Remaining_Cost[#Headers])&lt;='Construction Dashboard'!$F35,IFERROR(VLOOKUP(Remaining_Cost[[#This Row],[Cost]],Upgrades[],MATCH("C"&amp;Remaining_Cost[#Headers],Upgrades[#Headers],0),FALSE),0)*MAX(0,SUM('Construction Dashboard'!$G35:K35)),0)</f>
        <v>0</v>
      </c>
      <c r="K31" s="48">
        <f ca="1">IF(VALUE(Remaining_Cost[#Headers])&lt;='Construction Dashboard'!$F35,IFERROR(VLOOKUP(Remaining_Cost[[#This Row],[Cost]],Upgrades[],MATCH("C"&amp;Remaining_Cost[#Headers],Upgrades[#Headers],0),FALSE),0)*MAX(0,SUM('Construction Dashboard'!$G35:L35)),0)</f>
        <v>0</v>
      </c>
      <c r="L31" s="48">
        <f ca="1">IF(VALUE(Remaining_Cost[#Headers])&lt;='Construction Dashboard'!$F35,IFERROR(VLOOKUP(Remaining_Cost[[#This Row],[Cost]],Upgrades[],MATCH("C"&amp;Remaining_Cost[#Headers],Upgrades[#Headers],0),FALSE),0)*MAX(0,SUM('Construction Dashboard'!$G35:M35)),0)</f>
        <v>0</v>
      </c>
      <c r="M31" s="48">
        <f ca="1">IF(VALUE(Remaining_Cost[#Headers])&lt;='Construction Dashboard'!$F35,IFERROR(VLOOKUP(Remaining_Cost[[#This Row],[Cost]],Upgrades[],MATCH("C"&amp;Remaining_Cost[#Headers],Upgrades[#Headers],0),FALSE),0)*MAX(0,SUM('Construction Dashboard'!$G35:N35)),0)</f>
        <v>0</v>
      </c>
      <c r="N31" s="48">
        <f ca="1">IF(VALUE(Remaining_Cost[#Headers])&lt;='Construction Dashboard'!$F35,IFERROR(VLOOKUP(Remaining_Cost[[#This Row],[Cost]],Upgrades[],MATCH("C"&amp;Remaining_Cost[#Headers],Upgrades[#Headers],0),FALSE),0)*MAX(0,SUM('Construction Dashboard'!$G35:O35)),0)</f>
        <v>0</v>
      </c>
      <c r="O31" s="48">
        <f ca="1">IF(VALUE(Remaining_Cost[#Headers])&lt;='Construction Dashboard'!$F35,IFERROR(VLOOKUP(Remaining_Cost[[#This Row],[Cost]],Upgrades[],MATCH("C"&amp;Remaining_Cost[#Headers],Upgrades[#Headers],0),FALSE),0)*MAX(0,SUM('Construction Dashboard'!$G35:P35)),0)</f>
        <v>0</v>
      </c>
      <c r="P31" s="48">
        <f ca="1">IF(VALUE(Remaining_Cost[#Headers])&lt;='Construction Dashboard'!$F35,IFERROR(VLOOKUP(Remaining_Cost[[#This Row],[Cost]],Upgrades[],MATCH("C"&amp;Remaining_Cost[#Headers],Upgrades[#Headers],0),FALSE),0)*MAX(0,SUM('Construction Dashboard'!$G35:Q35)),0)</f>
        <v>0</v>
      </c>
      <c r="Q31" s="48">
        <f ca="1">IF(VALUE(Remaining_Cost[#Headers])&lt;='Construction Dashboard'!$F35,IFERROR(VLOOKUP(Remaining_Cost[[#This Row],[Cost]],Upgrades[],MATCH("C"&amp;Remaining_Cost[#Headers],Upgrades[#Headers],0),FALSE),0)*MAX(0,SUM('Construction Dashboard'!$G35:R35)),0)</f>
        <v>0</v>
      </c>
      <c r="R31" s="48">
        <f ca="1">IF(Remaining_Cost[[#This Row],[MatchStr]]="IGNORE",0,SUM(Remaining_Cost[[#This Row],[1]:[12]]))</f>
        <v>0</v>
      </c>
    </row>
    <row r="32" spans="1:27">
      <c r="A32" s="11" t="s">
        <v>5</v>
      </c>
      <c r="B32" s="11" t="str">
        <f>VLOOKUP(Remaining_Cost[[#This Row],[Cost]],Upgrades[],2,FALSE)</f>
        <v>Building</v>
      </c>
      <c r="C32" s="11" t="str">
        <f>VLOOKUP(Remaining_Cost[[#This Row],[Cost]],Upgrades[],3,FALSE)</f>
        <v>Gold</v>
      </c>
      <c r="D32" s="115" t="str">
        <f>IF(COUNTIF(Skips,Remaining_Cost[[#This Row],[Cost]])&gt;0,"IGNORE",Remaining_Cost[Kind]&amp;"-"&amp;Remaining_Cost[Resource])</f>
        <v>Building-Gold</v>
      </c>
      <c r="E32" s="47" t="str">
        <f ca="1">IFERROR(VLOOKUP(Remaining_Cost[[#This Row],[Cost]],Upgrades[],MATCH("C"&amp;MATCH(TRUE,INDEX(Remaining_Cost[[#This Row],[1]:[12]]&lt;&gt;0,),0),Upgrades[#Headers],0),FALSE),"")</f>
        <v/>
      </c>
      <c r="F32" s="48">
        <f ca="1">IF(VALUE(Remaining_Cost[#Headers])&lt;='Construction Dashboard'!$F36,IFERROR(VLOOKUP(Remaining_Cost[[#This Row],[Cost]],Upgrades[],MATCH("C"&amp;Remaining_Cost[#Headers],Upgrades[#Headers],0),FALSE),0)*MAX(0,SUM('Construction Dashboard'!$G36:G36)),0)</f>
        <v>0</v>
      </c>
      <c r="G32" s="48">
        <f ca="1">IF(VALUE(Remaining_Cost[#Headers])&lt;='Construction Dashboard'!$F36,IFERROR(VLOOKUP(Remaining_Cost[[#This Row],[Cost]],Upgrades[],MATCH("C"&amp;Remaining_Cost[#Headers],Upgrades[#Headers],0),FALSE),0)*MAX(0,SUM('Construction Dashboard'!$G36:H36)),0)</f>
        <v>0</v>
      </c>
      <c r="H32" s="48">
        <f ca="1">IF(VALUE(Remaining_Cost[#Headers])&lt;='Construction Dashboard'!$F36,IFERROR(VLOOKUP(Remaining_Cost[[#This Row],[Cost]],Upgrades[],MATCH("C"&amp;Remaining_Cost[#Headers],Upgrades[#Headers],0),FALSE),0)*MAX(0,SUM('Construction Dashboard'!$G36:I36)),0)</f>
        <v>0</v>
      </c>
      <c r="I32" s="48">
        <f ca="1">IF(VALUE(Remaining_Cost[#Headers])&lt;='Construction Dashboard'!$F36,IFERROR(VLOOKUP(Remaining_Cost[[#This Row],[Cost]],Upgrades[],MATCH("C"&amp;Remaining_Cost[#Headers],Upgrades[#Headers],0),FALSE),0)*MAX(0,SUM('Construction Dashboard'!$G36:J36)),0)</f>
        <v>0</v>
      </c>
      <c r="J32" s="48">
        <f ca="1">IF(VALUE(Remaining_Cost[#Headers])&lt;='Construction Dashboard'!$F36,IFERROR(VLOOKUP(Remaining_Cost[[#This Row],[Cost]],Upgrades[],MATCH("C"&amp;Remaining_Cost[#Headers],Upgrades[#Headers],0),FALSE),0)*MAX(0,SUM('Construction Dashboard'!$G36:K36)),0)</f>
        <v>0</v>
      </c>
      <c r="K32" s="48">
        <f ca="1">IF(VALUE(Remaining_Cost[#Headers])&lt;='Construction Dashboard'!$F36,IFERROR(VLOOKUP(Remaining_Cost[[#This Row],[Cost]],Upgrades[],MATCH("C"&amp;Remaining_Cost[#Headers],Upgrades[#Headers],0),FALSE),0)*MAX(0,SUM('Construction Dashboard'!$G36:L36)),0)</f>
        <v>0</v>
      </c>
      <c r="L32" s="48">
        <f ca="1">IF(VALUE(Remaining_Cost[#Headers])&lt;='Construction Dashboard'!$F36,IFERROR(VLOOKUP(Remaining_Cost[[#This Row],[Cost]],Upgrades[],MATCH("C"&amp;Remaining_Cost[#Headers],Upgrades[#Headers],0),FALSE),0)*MAX(0,SUM('Construction Dashboard'!$G36:M36)),0)</f>
        <v>0</v>
      </c>
      <c r="M32" s="48">
        <f ca="1">IF(VALUE(Remaining_Cost[#Headers])&lt;='Construction Dashboard'!$F36,IFERROR(VLOOKUP(Remaining_Cost[[#This Row],[Cost]],Upgrades[],MATCH("C"&amp;Remaining_Cost[#Headers],Upgrades[#Headers],0),FALSE),0)*MAX(0,SUM('Construction Dashboard'!$G36:N36)),0)</f>
        <v>0</v>
      </c>
      <c r="N32" s="48">
        <f ca="1">IF(VALUE(Remaining_Cost[#Headers])&lt;='Construction Dashboard'!$F36,IFERROR(VLOOKUP(Remaining_Cost[[#This Row],[Cost]],Upgrades[],MATCH("C"&amp;Remaining_Cost[#Headers],Upgrades[#Headers],0),FALSE),0)*MAX(0,SUM('Construction Dashboard'!$G36:O36)),0)</f>
        <v>0</v>
      </c>
      <c r="O32" s="48">
        <f ca="1">IF(VALUE(Remaining_Cost[#Headers])&lt;='Construction Dashboard'!$F36,IFERROR(VLOOKUP(Remaining_Cost[[#This Row],[Cost]],Upgrades[],MATCH("C"&amp;Remaining_Cost[#Headers],Upgrades[#Headers],0),FALSE),0)*MAX(0,SUM('Construction Dashboard'!$G36:P36)),0)</f>
        <v>0</v>
      </c>
      <c r="P32" s="48">
        <f ca="1">IF(VALUE(Remaining_Cost[#Headers])&lt;='Construction Dashboard'!$F36,IFERROR(VLOOKUP(Remaining_Cost[[#This Row],[Cost]],Upgrades[],MATCH("C"&amp;Remaining_Cost[#Headers],Upgrades[#Headers],0),FALSE),0)*MAX(0,SUM('Construction Dashboard'!$G36:Q36)),0)</f>
        <v>0</v>
      </c>
      <c r="Q32" s="48">
        <f ca="1">IF(VALUE(Remaining_Cost[#Headers])&lt;='Construction Dashboard'!$F36,IFERROR(VLOOKUP(Remaining_Cost[[#This Row],[Cost]],Upgrades[],MATCH("C"&amp;Remaining_Cost[#Headers],Upgrades[#Headers],0),FALSE),0)*MAX(0,SUM('Construction Dashboard'!$G36:R36)),0)</f>
        <v>0</v>
      </c>
      <c r="R32" s="48">
        <f ca="1">IF(Remaining_Cost[[#This Row],[MatchStr]]="IGNORE",0,SUM(Remaining_Cost[[#This Row],[1]:[12]]))</f>
        <v>0</v>
      </c>
    </row>
    <row r="33" spans="1:18">
      <c r="A33" s="11" t="s">
        <v>6</v>
      </c>
      <c r="B33" s="11" t="str">
        <f>VLOOKUP(Remaining_Cost[[#This Row],[Cost]],Upgrades[],2,FALSE)</f>
        <v>Building</v>
      </c>
      <c r="C33" s="11" t="str">
        <f>VLOOKUP(Remaining_Cost[[#This Row],[Cost]],Upgrades[],3,FALSE)</f>
        <v>Gold</v>
      </c>
      <c r="D33" s="115" t="str">
        <f>IF(COUNTIF(Skips,Remaining_Cost[[#This Row],[Cost]])&gt;0,"IGNORE",Remaining_Cost[Kind]&amp;"-"&amp;Remaining_Cost[Resource])</f>
        <v>Building-Gold</v>
      </c>
      <c r="E33" s="47" t="str">
        <f ca="1">IFERROR(VLOOKUP(Remaining_Cost[[#This Row],[Cost]],Upgrades[],MATCH("C"&amp;MATCH(TRUE,INDEX(Remaining_Cost[[#This Row],[1]:[12]]&lt;&gt;0,),0),Upgrades[#Headers],0),FALSE),"")</f>
        <v/>
      </c>
      <c r="F33" s="48">
        <f ca="1">IF(VALUE(Remaining_Cost[#Headers])&lt;='Construction Dashboard'!$F37,IFERROR(VLOOKUP(Remaining_Cost[[#This Row],[Cost]],Upgrades[],MATCH("C"&amp;Remaining_Cost[#Headers],Upgrades[#Headers],0),FALSE),0)*MAX(0,SUM('Construction Dashboard'!$G37:G37)),0)</f>
        <v>0</v>
      </c>
      <c r="G33" s="48">
        <f ca="1">IF(VALUE(Remaining_Cost[#Headers])&lt;='Construction Dashboard'!$F37,IFERROR(VLOOKUP(Remaining_Cost[[#This Row],[Cost]],Upgrades[],MATCH("C"&amp;Remaining_Cost[#Headers],Upgrades[#Headers],0),FALSE),0)*MAX(0,SUM('Construction Dashboard'!$G37:H37)),0)</f>
        <v>0</v>
      </c>
      <c r="H33" s="48">
        <f ca="1">IF(VALUE(Remaining_Cost[#Headers])&lt;='Construction Dashboard'!$F37,IFERROR(VLOOKUP(Remaining_Cost[[#This Row],[Cost]],Upgrades[],MATCH("C"&amp;Remaining_Cost[#Headers],Upgrades[#Headers],0),FALSE),0)*MAX(0,SUM('Construction Dashboard'!$G37:I37)),0)</f>
        <v>0</v>
      </c>
      <c r="I33" s="48">
        <f ca="1">IF(VALUE(Remaining_Cost[#Headers])&lt;='Construction Dashboard'!$F37,IFERROR(VLOOKUP(Remaining_Cost[[#This Row],[Cost]],Upgrades[],MATCH("C"&amp;Remaining_Cost[#Headers],Upgrades[#Headers],0),FALSE),0)*MAX(0,SUM('Construction Dashboard'!$G37:J37)),0)</f>
        <v>0</v>
      </c>
      <c r="J33" s="48">
        <f ca="1">IF(VALUE(Remaining_Cost[#Headers])&lt;='Construction Dashboard'!$F37,IFERROR(VLOOKUP(Remaining_Cost[[#This Row],[Cost]],Upgrades[],MATCH("C"&amp;Remaining_Cost[#Headers],Upgrades[#Headers],0),FALSE),0)*MAX(0,SUM('Construction Dashboard'!$G37:K37)),0)</f>
        <v>0</v>
      </c>
      <c r="K33" s="48">
        <f ca="1">IF(VALUE(Remaining_Cost[#Headers])&lt;='Construction Dashboard'!$F37,IFERROR(VLOOKUP(Remaining_Cost[[#This Row],[Cost]],Upgrades[],MATCH("C"&amp;Remaining_Cost[#Headers],Upgrades[#Headers],0),FALSE),0)*MAX(0,SUM('Construction Dashboard'!$G37:L37)),0)</f>
        <v>0</v>
      </c>
      <c r="L33" s="48">
        <f ca="1">IF(VALUE(Remaining_Cost[#Headers])&lt;='Construction Dashboard'!$F37,IFERROR(VLOOKUP(Remaining_Cost[[#This Row],[Cost]],Upgrades[],MATCH("C"&amp;Remaining_Cost[#Headers],Upgrades[#Headers],0),FALSE),0)*MAX(0,SUM('Construction Dashboard'!$G37:M37)),0)</f>
        <v>0</v>
      </c>
      <c r="M33" s="48">
        <f ca="1">IF(VALUE(Remaining_Cost[#Headers])&lt;='Construction Dashboard'!$F37,IFERROR(VLOOKUP(Remaining_Cost[[#This Row],[Cost]],Upgrades[],MATCH("C"&amp;Remaining_Cost[#Headers],Upgrades[#Headers],0),FALSE),0)*MAX(0,SUM('Construction Dashboard'!$G37:N37)),0)</f>
        <v>0</v>
      </c>
      <c r="N33" s="48">
        <f ca="1">IF(VALUE(Remaining_Cost[#Headers])&lt;='Construction Dashboard'!$F37,IFERROR(VLOOKUP(Remaining_Cost[[#This Row],[Cost]],Upgrades[],MATCH("C"&amp;Remaining_Cost[#Headers],Upgrades[#Headers],0),FALSE),0)*MAX(0,SUM('Construction Dashboard'!$G37:O37)),0)</f>
        <v>0</v>
      </c>
      <c r="O33" s="48">
        <f ca="1">IF(VALUE(Remaining_Cost[#Headers])&lt;='Construction Dashboard'!$F37,IFERROR(VLOOKUP(Remaining_Cost[[#This Row],[Cost]],Upgrades[],MATCH("C"&amp;Remaining_Cost[#Headers],Upgrades[#Headers],0),FALSE),0)*MAX(0,SUM('Construction Dashboard'!$G37:P37)),0)</f>
        <v>0</v>
      </c>
      <c r="P33" s="48">
        <f ca="1">IF(VALUE(Remaining_Cost[#Headers])&lt;='Construction Dashboard'!$F37,IFERROR(VLOOKUP(Remaining_Cost[[#This Row],[Cost]],Upgrades[],MATCH("C"&amp;Remaining_Cost[#Headers],Upgrades[#Headers],0),FALSE),0)*MAX(0,SUM('Construction Dashboard'!$G37:Q37)),0)</f>
        <v>0</v>
      </c>
      <c r="Q33" s="48">
        <f ca="1">IF(VALUE(Remaining_Cost[#Headers])&lt;='Construction Dashboard'!$F37,IFERROR(VLOOKUP(Remaining_Cost[[#This Row],[Cost]],Upgrades[],MATCH("C"&amp;Remaining_Cost[#Headers],Upgrades[#Headers],0),FALSE),0)*MAX(0,SUM('Construction Dashboard'!$G37:R37)),0)</f>
        <v>0</v>
      </c>
      <c r="R33" s="48">
        <f ca="1">IF(Remaining_Cost[[#This Row],[MatchStr]]="IGNORE",0,SUM(Remaining_Cost[[#This Row],[1]:[12]]))</f>
        <v>0</v>
      </c>
    </row>
    <row r="34" spans="1:18">
      <c r="A34" s="11" t="s">
        <v>22</v>
      </c>
      <c r="B34" s="11" t="str">
        <f>VLOOKUP(Remaining_Cost[[#This Row],[Cost]],Upgrades[],2,FALSE)</f>
        <v>Building</v>
      </c>
      <c r="C34" s="11" t="str">
        <f>VLOOKUP(Remaining_Cost[[#This Row],[Cost]],Upgrades[],3,FALSE)</f>
        <v>Gold</v>
      </c>
      <c r="D34" s="115" t="str">
        <f>IF(COUNTIF(Skips,Remaining_Cost[[#This Row],[Cost]])&gt;0,"IGNORE",Remaining_Cost[Kind]&amp;"-"&amp;Remaining_Cost[Resource])</f>
        <v>Building-Gold</v>
      </c>
      <c r="E34" s="47" t="str">
        <f ca="1">IFERROR(VLOOKUP(Remaining_Cost[[#This Row],[Cost]],Upgrades[],MATCH("C"&amp;MATCH(TRUE,INDEX(Remaining_Cost[[#This Row],[1]:[12]]&lt;&gt;0,),0),Upgrades[#Headers],0),FALSE),"")</f>
        <v/>
      </c>
      <c r="F34" s="48">
        <f ca="1">IF(VALUE(Remaining_Cost[#Headers])&lt;='Construction Dashboard'!$F38,IFERROR(VLOOKUP(Remaining_Cost[[#This Row],[Cost]],Upgrades[],MATCH("C"&amp;Remaining_Cost[#Headers],Upgrades[#Headers],0),FALSE),0)*MAX(0,SUM('Construction Dashboard'!$G38:G38)),0)</f>
        <v>0</v>
      </c>
      <c r="G34" s="48">
        <f ca="1">IF(VALUE(Remaining_Cost[#Headers])&lt;='Construction Dashboard'!$F38,IFERROR(VLOOKUP(Remaining_Cost[[#This Row],[Cost]],Upgrades[],MATCH("C"&amp;Remaining_Cost[#Headers],Upgrades[#Headers],0),FALSE),0)*MAX(0,SUM('Construction Dashboard'!$G38:H38)),0)</f>
        <v>0</v>
      </c>
      <c r="H34" s="48">
        <f ca="1">IF(VALUE(Remaining_Cost[#Headers])&lt;='Construction Dashboard'!$F38,IFERROR(VLOOKUP(Remaining_Cost[[#This Row],[Cost]],Upgrades[],MATCH("C"&amp;Remaining_Cost[#Headers],Upgrades[#Headers],0),FALSE),0)*MAX(0,SUM('Construction Dashboard'!$G38:I38)),0)</f>
        <v>0</v>
      </c>
      <c r="I34" s="48">
        <f ca="1">IF(VALUE(Remaining_Cost[#Headers])&lt;='Construction Dashboard'!$F38,IFERROR(VLOOKUP(Remaining_Cost[[#This Row],[Cost]],Upgrades[],MATCH("C"&amp;Remaining_Cost[#Headers],Upgrades[#Headers],0),FALSE),0)*MAX(0,SUM('Construction Dashboard'!$G38:J38)),0)</f>
        <v>0</v>
      </c>
      <c r="J34" s="48">
        <f ca="1">IF(VALUE(Remaining_Cost[#Headers])&lt;='Construction Dashboard'!$F38,IFERROR(VLOOKUP(Remaining_Cost[[#This Row],[Cost]],Upgrades[],MATCH("C"&amp;Remaining_Cost[#Headers],Upgrades[#Headers],0),FALSE),0)*MAX(0,SUM('Construction Dashboard'!$G38:K38)),0)</f>
        <v>0</v>
      </c>
      <c r="K34" s="48">
        <f ca="1">IF(VALUE(Remaining_Cost[#Headers])&lt;='Construction Dashboard'!$F38,IFERROR(VLOOKUP(Remaining_Cost[[#This Row],[Cost]],Upgrades[],MATCH("C"&amp;Remaining_Cost[#Headers],Upgrades[#Headers],0),FALSE),0)*MAX(0,SUM('Construction Dashboard'!$G38:L38)),0)</f>
        <v>0</v>
      </c>
      <c r="L34" s="48">
        <f ca="1">IF(VALUE(Remaining_Cost[#Headers])&lt;='Construction Dashboard'!$F38,IFERROR(VLOOKUP(Remaining_Cost[[#This Row],[Cost]],Upgrades[],MATCH("C"&amp;Remaining_Cost[#Headers],Upgrades[#Headers],0),FALSE),0)*MAX(0,SUM('Construction Dashboard'!$G38:M38)),0)</f>
        <v>0</v>
      </c>
      <c r="M34" s="48">
        <f ca="1">IF(VALUE(Remaining_Cost[#Headers])&lt;='Construction Dashboard'!$F38,IFERROR(VLOOKUP(Remaining_Cost[[#This Row],[Cost]],Upgrades[],MATCH("C"&amp;Remaining_Cost[#Headers],Upgrades[#Headers],0),FALSE),0)*MAX(0,SUM('Construction Dashboard'!$G38:N38)),0)</f>
        <v>0</v>
      </c>
      <c r="N34" s="48">
        <f ca="1">IF(VALUE(Remaining_Cost[#Headers])&lt;='Construction Dashboard'!$F38,IFERROR(VLOOKUP(Remaining_Cost[[#This Row],[Cost]],Upgrades[],MATCH("C"&amp;Remaining_Cost[#Headers],Upgrades[#Headers],0),FALSE),0)*MAX(0,SUM('Construction Dashboard'!$G38:O38)),0)</f>
        <v>0</v>
      </c>
      <c r="O34" s="48">
        <f ca="1">IF(VALUE(Remaining_Cost[#Headers])&lt;='Construction Dashboard'!$F38,IFERROR(VLOOKUP(Remaining_Cost[[#This Row],[Cost]],Upgrades[],MATCH("C"&amp;Remaining_Cost[#Headers],Upgrades[#Headers],0),FALSE),0)*MAX(0,SUM('Construction Dashboard'!$G38:P38)),0)</f>
        <v>0</v>
      </c>
      <c r="P34" s="48">
        <f ca="1">IF(VALUE(Remaining_Cost[#Headers])&lt;='Construction Dashboard'!$F38,IFERROR(VLOOKUP(Remaining_Cost[[#This Row],[Cost]],Upgrades[],MATCH("C"&amp;Remaining_Cost[#Headers],Upgrades[#Headers],0),FALSE),0)*MAX(0,SUM('Construction Dashboard'!$G38:Q38)),0)</f>
        <v>0</v>
      </c>
      <c r="Q34" s="48">
        <f ca="1">IF(VALUE(Remaining_Cost[#Headers])&lt;='Construction Dashboard'!$F38,IFERROR(VLOOKUP(Remaining_Cost[[#This Row],[Cost]],Upgrades[],MATCH("C"&amp;Remaining_Cost[#Headers],Upgrades[#Headers],0),FALSE),0)*MAX(0,SUM('Construction Dashboard'!$G38:R38)),0)</f>
        <v>0</v>
      </c>
      <c r="R34" s="48">
        <f ca="1">IF(Remaining_Cost[[#This Row],[MatchStr]]="IGNORE",0,SUM(Remaining_Cost[[#This Row],[1]:[12]]))</f>
        <v>0</v>
      </c>
    </row>
    <row r="35" spans="1:18">
      <c r="A35" s="11" t="s">
        <v>23</v>
      </c>
      <c r="B35" s="11" t="str">
        <f>VLOOKUP(Remaining_Cost[[#This Row],[Cost]],Upgrades[],2,FALSE)</f>
        <v>Wall</v>
      </c>
      <c r="C35" s="11" t="str">
        <f>VLOOKUP(Remaining_Cost[[#This Row],[Cost]],Upgrades[],3,FALSE)</f>
        <v>Gold</v>
      </c>
      <c r="D35" s="115" t="str">
        <f>IF(COUNTIF(Skips,Remaining_Cost[[#This Row],[Cost]])&gt;0,"IGNORE",Remaining_Cost[Kind]&amp;"-"&amp;Remaining_Cost[Resource])</f>
        <v>Wall-Gold</v>
      </c>
      <c r="E35" s="47">
        <f ca="1">IFERROR(VLOOKUP(Remaining_Cost[[#This Row],[Cost]],Upgrades[],MATCH("C"&amp;MATCH(TRUE,INDEX(Remaining_Cost[[#This Row],[1]:[12]]&lt;&gt;0,),0),Upgrades[#Headers],0),FALSE),"")</f>
        <v>200000</v>
      </c>
      <c r="F35" s="48">
        <f ca="1">IF(VALUE(Remaining_Cost[#Headers])&lt;='Construction Dashboard'!$F39,IFERROR(VLOOKUP(Remaining_Cost[[#This Row],[Cost]],Upgrades[],MATCH("C"&amp;Remaining_Cost[#Headers],Upgrades[#Headers],0),FALSE),0)*MAX(0,SUM('Construction Dashboard'!$G39:G39)),0)</f>
        <v>0</v>
      </c>
      <c r="G35" s="48">
        <f ca="1">IF(VALUE(Remaining_Cost[#Headers])&lt;='Construction Dashboard'!$F39,IFERROR(VLOOKUP(Remaining_Cost[[#This Row],[Cost]],Upgrades[],MATCH("C"&amp;Remaining_Cost[#Headers],Upgrades[#Headers],0),FALSE),0)*MAX(0,SUM('Construction Dashboard'!$G39:H39)),0)</f>
        <v>0</v>
      </c>
      <c r="H35" s="48">
        <f ca="1">IF(VALUE(Remaining_Cost[#Headers])&lt;='Construction Dashboard'!$F39,IFERROR(VLOOKUP(Remaining_Cost[[#This Row],[Cost]],Upgrades[],MATCH("C"&amp;Remaining_Cost[#Headers],Upgrades[#Headers],0),FALSE),0)*MAX(0,SUM('Construction Dashboard'!$G39:I39)),0)</f>
        <v>0</v>
      </c>
      <c r="I35" s="48">
        <f ca="1">IF(VALUE(Remaining_Cost[#Headers])&lt;='Construction Dashboard'!$F39,IFERROR(VLOOKUP(Remaining_Cost[[#This Row],[Cost]],Upgrades[],MATCH("C"&amp;Remaining_Cost[#Headers],Upgrades[#Headers],0),FALSE),0)*MAX(0,SUM('Construction Dashboard'!$G39:J39)),0)</f>
        <v>0</v>
      </c>
      <c r="J35" s="48">
        <f ca="1">IF(VALUE(Remaining_Cost[#Headers])&lt;='Construction Dashboard'!$F39,IFERROR(VLOOKUP(Remaining_Cost[[#This Row],[Cost]],Upgrades[],MATCH("C"&amp;Remaining_Cost[#Headers],Upgrades[#Headers],0),FALSE),0)*MAX(0,SUM('Construction Dashboard'!$G39:K39)),0)</f>
        <v>0</v>
      </c>
      <c r="K35" s="48">
        <f ca="1">IF(VALUE(Remaining_Cost[#Headers])&lt;='Construction Dashboard'!$F39,IFERROR(VLOOKUP(Remaining_Cost[[#This Row],[Cost]],Upgrades[],MATCH("C"&amp;Remaining_Cost[#Headers],Upgrades[#Headers],0),FALSE),0)*MAX(0,SUM('Construction Dashboard'!$G39:L39)),0)</f>
        <v>0</v>
      </c>
      <c r="L35" s="48">
        <f ca="1">IF(VALUE(Remaining_Cost[#Headers])&lt;='Construction Dashboard'!$F39,IFERROR(VLOOKUP(Remaining_Cost[[#This Row],[Cost]],Upgrades[],MATCH("C"&amp;Remaining_Cost[#Headers],Upgrades[#Headers],0),FALSE),0)*MAX(0,SUM('Construction Dashboard'!$G39:M39)),0)</f>
        <v>24600000</v>
      </c>
      <c r="M35" s="48">
        <f ca="1">IF(VALUE(Remaining_Cost[#Headers])&lt;='Construction Dashboard'!$F39,IFERROR(VLOOKUP(Remaining_Cost[[#This Row],[Cost]],Upgrades[],MATCH("C"&amp;Remaining_Cost[#Headers],Upgrades[#Headers],0),FALSE),0)*MAX(0,SUM('Construction Dashboard'!$G39:N39)),0)</f>
        <v>0</v>
      </c>
      <c r="N35" s="48">
        <f ca="1">IF(VALUE(Remaining_Cost[#Headers])&lt;='Construction Dashboard'!$F39,IFERROR(VLOOKUP(Remaining_Cost[[#This Row],[Cost]],Upgrades[],MATCH("C"&amp;Remaining_Cost[#Headers],Upgrades[#Headers],0),FALSE),0)*MAX(0,SUM('Construction Dashboard'!$G39:O39)),0)</f>
        <v>0</v>
      </c>
      <c r="O35" s="48">
        <f ca="1">IF(VALUE(Remaining_Cost[#Headers])&lt;='Construction Dashboard'!$F39,IFERROR(VLOOKUP(Remaining_Cost[[#This Row],[Cost]],Upgrades[],MATCH("C"&amp;Remaining_Cost[#Headers],Upgrades[#Headers],0),FALSE),0)*MAX(0,SUM('Construction Dashboard'!$G39:P39)),0)</f>
        <v>0</v>
      </c>
      <c r="P35" s="48">
        <f ca="1">IF(VALUE(Remaining_Cost[#Headers])&lt;='Construction Dashboard'!$F39,IFERROR(VLOOKUP(Remaining_Cost[[#This Row],[Cost]],Upgrades[],MATCH("C"&amp;Remaining_Cost[#Headers],Upgrades[#Headers],0),FALSE),0)*MAX(0,SUM('Construction Dashboard'!$G39:Q39)),0)</f>
        <v>0</v>
      </c>
      <c r="Q35" s="48">
        <f ca="1">IF(VALUE(Remaining_Cost[#Headers])&lt;='Construction Dashboard'!$F39,IFERROR(VLOOKUP(Remaining_Cost[[#This Row],[Cost]],Upgrades[],MATCH("C"&amp;Remaining_Cost[#Headers],Upgrades[#Headers],0),FALSE),0)*MAX(0,SUM('Construction Dashboard'!$G39:R39)),0)</f>
        <v>0</v>
      </c>
      <c r="R35" s="48">
        <f ca="1">IF(Remaining_Cost[[#This Row],[MatchStr]]="IGNORE",0,SUM(Remaining_Cost[[#This Row],[1]:[12]]))</f>
        <v>24600000</v>
      </c>
    </row>
    <row r="36" spans="1:18">
      <c r="A36" s="11" t="s">
        <v>7</v>
      </c>
      <c r="B36" s="11" t="str">
        <f>VLOOKUP(Remaining_Cost[[#This Row],[Cost]],Upgrades[],2,FALSE)</f>
        <v>Building</v>
      </c>
      <c r="C36" s="11" t="str">
        <f>VLOOKUP(Remaining_Cost[[#This Row],[Cost]],Upgrades[],3,FALSE)</f>
        <v>Gold</v>
      </c>
      <c r="D36" s="115" t="str">
        <f>IF(COUNTIF(Skips,Remaining_Cost[[#This Row],[Cost]])&gt;0,"IGNORE",Remaining_Cost[Kind]&amp;"-"&amp;Remaining_Cost[Resource])</f>
        <v>Building-Gold</v>
      </c>
      <c r="E36" s="47" t="str">
        <f ca="1">IFERROR(VLOOKUP(Remaining_Cost[[#This Row],[Cost]],Upgrades[],MATCH("C"&amp;MATCH(TRUE,INDEX(Remaining_Cost[[#This Row],[1]:[12]]&lt;&gt;0,),0),Upgrades[#Headers],0),FALSE),"")</f>
        <v/>
      </c>
      <c r="F36" s="48">
        <f ca="1">IF(VALUE(Remaining_Cost[#Headers])&lt;='Construction Dashboard'!$F40,IFERROR(VLOOKUP(Remaining_Cost[[#This Row],[Cost]],Upgrades[],MATCH("C"&amp;Remaining_Cost[#Headers],Upgrades[#Headers],0),FALSE),0)*MAX(0,SUM('Construction Dashboard'!$G40:G40)),0)</f>
        <v>0</v>
      </c>
      <c r="G36" s="48">
        <f ca="1">IF(VALUE(Remaining_Cost[#Headers])&lt;='Construction Dashboard'!$F40,IFERROR(VLOOKUP(Remaining_Cost[[#This Row],[Cost]],Upgrades[],MATCH("C"&amp;Remaining_Cost[#Headers],Upgrades[#Headers],0),FALSE),0)*MAX(0,SUM('Construction Dashboard'!$G40:H40)),0)</f>
        <v>0</v>
      </c>
      <c r="H36" s="48">
        <f ca="1">IF(VALUE(Remaining_Cost[#Headers])&lt;='Construction Dashboard'!$F40,IFERROR(VLOOKUP(Remaining_Cost[[#This Row],[Cost]],Upgrades[],MATCH("C"&amp;Remaining_Cost[#Headers],Upgrades[#Headers],0),FALSE),0)*MAX(0,SUM('Construction Dashboard'!$G40:I40)),0)</f>
        <v>0</v>
      </c>
      <c r="I36" s="48">
        <f ca="1">IF(VALUE(Remaining_Cost[#Headers])&lt;='Construction Dashboard'!$F40,IFERROR(VLOOKUP(Remaining_Cost[[#This Row],[Cost]],Upgrades[],MATCH("C"&amp;Remaining_Cost[#Headers],Upgrades[#Headers],0),FALSE),0)*MAX(0,SUM('Construction Dashboard'!$G40:J40)),0)</f>
        <v>0</v>
      </c>
      <c r="J36" s="48">
        <f ca="1">IF(VALUE(Remaining_Cost[#Headers])&lt;='Construction Dashboard'!$F40,IFERROR(VLOOKUP(Remaining_Cost[[#This Row],[Cost]],Upgrades[],MATCH("C"&amp;Remaining_Cost[#Headers],Upgrades[#Headers],0),FALSE),0)*MAX(0,SUM('Construction Dashboard'!$G40:K40)),0)</f>
        <v>0</v>
      </c>
      <c r="K36" s="48">
        <f ca="1">IF(VALUE(Remaining_Cost[#Headers])&lt;='Construction Dashboard'!$F40,IFERROR(VLOOKUP(Remaining_Cost[[#This Row],[Cost]],Upgrades[],MATCH("C"&amp;Remaining_Cost[#Headers],Upgrades[#Headers],0),FALSE),0)*MAX(0,SUM('Construction Dashboard'!$G40:L40)),0)</f>
        <v>0</v>
      </c>
      <c r="L36" s="48">
        <f ca="1">IF(VALUE(Remaining_Cost[#Headers])&lt;='Construction Dashboard'!$F40,IFERROR(VLOOKUP(Remaining_Cost[[#This Row],[Cost]],Upgrades[],MATCH("C"&amp;Remaining_Cost[#Headers],Upgrades[#Headers],0),FALSE),0)*MAX(0,SUM('Construction Dashboard'!$G40:M40)),0)</f>
        <v>0</v>
      </c>
      <c r="M36" s="48">
        <f ca="1">IF(VALUE(Remaining_Cost[#Headers])&lt;='Construction Dashboard'!$F40,IFERROR(VLOOKUP(Remaining_Cost[[#This Row],[Cost]],Upgrades[],MATCH("C"&amp;Remaining_Cost[#Headers],Upgrades[#Headers],0),FALSE),0)*MAX(0,SUM('Construction Dashboard'!$G40:N40)),0)</f>
        <v>0</v>
      </c>
      <c r="N36" s="48">
        <f ca="1">IF(VALUE(Remaining_Cost[#Headers])&lt;='Construction Dashboard'!$F40,IFERROR(VLOOKUP(Remaining_Cost[[#This Row],[Cost]],Upgrades[],MATCH("C"&amp;Remaining_Cost[#Headers],Upgrades[#Headers],0),FALSE),0)*MAX(0,SUM('Construction Dashboard'!$G40:O40)),0)</f>
        <v>0</v>
      </c>
      <c r="O36" s="48">
        <f ca="1">IF(VALUE(Remaining_Cost[#Headers])&lt;='Construction Dashboard'!$F40,IFERROR(VLOOKUP(Remaining_Cost[[#This Row],[Cost]],Upgrades[],MATCH("C"&amp;Remaining_Cost[#Headers],Upgrades[#Headers],0),FALSE),0)*MAX(0,SUM('Construction Dashboard'!$G40:P40)),0)</f>
        <v>0</v>
      </c>
      <c r="P36" s="48">
        <f ca="1">IF(VALUE(Remaining_Cost[#Headers])&lt;='Construction Dashboard'!$F40,IFERROR(VLOOKUP(Remaining_Cost[[#This Row],[Cost]],Upgrades[],MATCH("C"&amp;Remaining_Cost[#Headers],Upgrades[#Headers],0),FALSE),0)*MAX(0,SUM('Construction Dashboard'!$G40:Q40)),0)</f>
        <v>0</v>
      </c>
      <c r="Q36" s="48">
        <f ca="1">IF(VALUE(Remaining_Cost[#Headers])&lt;='Construction Dashboard'!$F40,IFERROR(VLOOKUP(Remaining_Cost[[#This Row],[Cost]],Upgrades[],MATCH("C"&amp;Remaining_Cost[#Headers],Upgrades[#Headers],0),FALSE),0)*MAX(0,SUM('Construction Dashboard'!$G40:R40)),0)</f>
        <v>0</v>
      </c>
      <c r="R36" s="48">
        <f ca="1">IF(Remaining_Cost[[#This Row],[MatchStr]]="IGNORE",0,SUM(Remaining_Cost[[#This Row],[1]:[12]]))</f>
        <v>0</v>
      </c>
    </row>
    <row r="37" spans="1:18">
      <c r="A37" s="11" t="s">
        <v>8</v>
      </c>
      <c r="B37" s="11" t="str">
        <f>VLOOKUP(Remaining_Cost[[#This Row],[Cost]],Upgrades[],2,FALSE)</f>
        <v>Building</v>
      </c>
      <c r="C37" s="11" t="str">
        <f>VLOOKUP(Remaining_Cost[[#This Row],[Cost]],Upgrades[],3,FALSE)</f>
        <v>Gold</v>
      </c>
      <c r="D37" s="115" t="str">
        <f>IF(COUNTIF(Skips,Remaining_Cost[[#This Row],[Cost]])&gt;0,"IGNORE",Remaining_Cost[Kind]&amp;"-"&amp;Remaining_Cost[Resource])</f>
        <v>Building-Gold</v>
      </c>
      <c r="E37" s="47" t="str">
        <f ca="1">IFERROR(VLOOKUP(Remaining_Cost[[#This Row],[Cost]],Upgrades[],MATCH("C"&amp;MATCH(TRUE,INDEX(Remaining_Cost[[#This Row],[1]:[12]]&lt;&gt;0,),0),Upgrades[#Headers],0),FALSE),"")</f>
        <v/>
      </c>
      <c r="F37" s="48">
        <f ca="1">IF(VALUE(Remaining_Cost[#Headers])&lt;='Construction Dashboard'!$F41,IFERROR(VLOOKUP(Remaining_Cost[[#This Row],[Cost]],Upgrades[],MATCH("C"&amp;Remaining_Cost[#Headers],Upgrades[#Headers],0),FALSE),0)*MAX(0,SUM('Construction Dashboard'!$G41:G41)),0)</f>
        <v>0</v>
      </c>
      <c r="G37" s="48">
        <f ca="1">IF(VALUE(Remaining_Cost[#Headers])&lt;='Construction Dashboard'!$F41,IFERROR(VLOOKUP(Remaining_Cost[[#This Row],[Cost]],Upgrades[],MATCH("C"&amp;Remaining_Cost[#Headers],Upgrades[#Headers],0),FALSE),0)*MAX(0,SUM('Construction Dashboard'!$G41:H41)),0)</f>
        <v>0</v>
      </c>
      <c r="H37" s="48">
        <f ca="1">IF(VALUE(Remaining_Cost[#Headers])&lt;='Construction Dashboard'!$F41,IFERROR(VLOOKUP(Remaining_Cost[[#This Row],[Cost]],Upgrades[],MATCH("C"&amp;Remaining_Cost[#Headers],Upgrades[#Headers],0),FALSE),0)*MAX(0,SUM('Construction Dashboard'!$G41:I41)),0)</f>
        <v>0</v>
      </c>
      <c r="I37" s="48">
        <f ca="1">IF(VALUE(Remaining_Cost[#Headers])&lt;='Construction Dashboard'!$F41,IFERROR(VLOOKUP(Remaining_Cost[[#This Row],[Cost]],Upgrades[],MATCH("C"&amp;Remaining_Cost[#Headers],Upgrades[#Headers],0),FALSE),0)*MAX(0,SUM('Construction Dashboard'!$G41:J41)),0)</f>
        <v>0</v>
      </c>
      <c r="J37" s="48">
        <f ca="1">IF(VALUE(Remaining_Cost[#Headers])&lt;='Construction Dashboard'!$F41,IFERROR(VLOOKUP(Remaining_Cost[[#This Row],[Cost]],Upgrades[],MATCH("C"&amp;Remaining_Cost[#Headers],Upgrades[#Headers],0),FALSE),0)*MAX(0,SUM('Construction Dashboard'!$G41:K41)),0)</f>
        <v>0</v>
      </c>
      <c r="K37" s="48">
        <f ca="1">IF(VALUE(Remaining_Cost[#Headers])&lt;='Construction Dashboard'!$F41,IFERROR(VLOOKUP(Remaining_Cost[[#This Row],[Cost]],Upgrades[],MATCH("C"&amp;Remaining_Cost[#Headers],Upgrades[#Headers],0),FALSE),0)*MAX(0,SUM('Construction Dashboard'!$G41:L41)),0)</f>
        <v>0</v>
      </c>
      <c r="L37" s="48">
        <f ca="1">IF(VALUE(Remaining_Cost[#Headers])&lt;='Construction Dashboard'!$F41,IFERROR(VLOOKUP(Remaining_Cost[[#This Row],[Cost]],Upgrades[],MATCH("C"&amp;Remaining_Cost[#Headers],Upgrades[#Headers],0),FALSE),0)*MAX(0,SUM('Construction Dashboard'!$G41:M41)),0)</f>
        <v>0</v>
      </c>
      <c r="M37" s="48">
        <f ca="1">IF(VALUE(Remaining_Cost[#Headers])&lt;='Construction Dashboard'!$F41,IFERROR(VLOOKUP(Remaining_Cost[[#This Row],[Cost]],Upgrades[],MATCH("C"&amp;Remaining_Cost[#Headers],Upgrades[#Headers],0),FALSE),0)*MAX(0,SUM('Construction Dashboard'!$G41:N41)),0)</f>
        <v>0</v>
      </c>
      <c r="N37" s="48">
        <f ca="1">IF(VALUE(Remaining_Cost[#Headers])&lt;='Construction Dashboard'!$F41,IFERROR(VLOOKUP(Remaining_Cost[[#This Row],[Cost]],Upgrades[],MATCH("C"&amp;Remaining_Cost[#Headers],Upgrades[#Headers],0),FALSE),0)*MAX(0,SUM('Construction Dashboard'!$G41:O41)),0)</f>
        <v>0</v>
      </c>
      <c r="O37" s="48">
        <f ca="1">IF(VALUE(Remaining_Cost[#Headers])&lt;='Construction Dashboard'!$F41,IFERROR(VLOOKUP(Remaining_Cost[[#This Row],[Cost]],Upgrades[],MATCH("C"&amp;Remaining_Cost[#Headers],Upgrades[#Headers],0),FALSE),0)*MAX(0,SUM('Construction Dashboard'!$G41:P41)),0)</f>
        <v>0</v>
      </c>
      <c r="P37" s="48">
        <f ca="1">IF(VALUE(Remaining_Cost[#Headers])&lt;='Construction Dashboard'!$F41,IFERROR(VLOOKUP(Remaining_Cost[[#This Row],[Cost]],Upgrades[],MATCH("C"&amp;Remaining_Cost[#Headers],Upgrades[#Headers],0),FALSE),0)*MAX(0,SUM('Construction Dashboard'!$G41:Q41)),0)</f>
        <v>0</v>
      </c>
      <c r="Q37" s="48">
        <f ca="1">IF(VALUE(Remaining_Cost[#Headers])&lt;='Construction Dashboard'!$F41,IFERROR(VLOOKUP(Remaining_Cost[[#This Row],[Cost]],Upgrades[],MATCH("C"&amp;Remaining_Cost[#Headers],Upgrades[#Headers],0),FALSE),0)*MAX(0,SUM('Construction Dashboard'!$G41:R41)),0)</f>
        <v>0</v>
      </c>
      <c r="R37" s="48">
        <f ca="1">IF(Remaining_Cost[[#This Row],[MatchStr]]="IGNORE",0,SUM(Remaining_Cost[[#This Row],[1]:[12]]))</f>
        <v>0</v>
      </c>
    </row>
    <row r="38" spans="1:18">
      <c r="A38" s="11" t="s">
        <v>24</v>
      </c>
      <c r="B38" s="11" t="str">
        <f>VLOOKUP(Remaining_Cost[[#This Row],[Cost]],Upgrades[],2,FALSE)</f>
        <v>Building</v>
      </c>
      <c r="C38" s="11" t="str">
        <f>VLOOKUP(Remaining_Cost[[#This Row],[Cost]],Upgrades[],3,FALSE)</f>
        <v>Gold</v>
      </c>
      <c r="D38" s="115" t="str">
        <f>IF(COUNTIF(Skips,Remaining_Cost[[#This Row],[Cost]])&gt;0,"IGNORE",Remaining_Cost[Kind]&amp;"-"&amp;Remaining_Cost[Resource])</f>
        <v>Building-Gold</v>
      </c>
      <c r="E38" s="47" t="str">
        <f ca="1">IFERROR(VLOOKUP(Remaining_Cost[[#This Row],[Cost]],Upgrades[],MATCH("C"&amp;MATCH(TRUE,INDEX(Remaining_Cost[[#This Row],[1]:[12]]&lt;&gt;0,),0),Upgrades[#Headers],0),FALSE),"")</f>
        <v/>
      </c>
      <c r="F38" s="48">
        <f ca="1">IF(VALUE(Remaining_Cost[#Headers])&lt;='Construction Dashboard'!$F42,IFERROR(VLOOKUP(Remaining_Cost[[#This Row],[Cost]],Upgrades[],MATCH("C"&amp;Remaining_Cost[#Headers],Upgrades[#Headers],0),FALSE),0)*MAX(0,SUM('Construction Dashboard'!$G42:G42)),0)</f>
        <v>0</v>
      </c>
      <c r="G38" s="48">
        <f ca="1">IF(VALUE(Remaining_Cost[#Headers])&lt;='Construction Dashboard'!$F42,IFERROR(VLOOKUP(Remaining_Cost[[#This Row],[Cost]],Upgrades[],MATCH("C"&amp;Remaining_Cost[#Headers],Upgrades[#Headers],0),FALSE),0)*MAX(0,SUM('Construction Dashboard'!$G42:H42)),0)</f>
        <v>0</v>
      </c>
      <c r="H38" s="48">
        <f ca="1">IF(VALUE(Remaining_Cost[#Headers])&lt;='Construction Dashboard'!$F42,IFERROR(VLOOKUP(Remaining_Cost[[#This Row],[Cost]],Upgrades[],MATCH("C"&amp;Remaining_Cost[#Headers],Upgrades[#Headers],0),FALSE),0)*MAX(0,SUM('Construction Dashboard'!$G42:I42)),0)</f>
        <v>0</v>
      </c>
      <c r="I38" s="48">
        <f ca="1">IF(VALUE(Remaining_Cost[#Headers])&lt;='Construction Dashboard'!$F42,IFERROR(VLOOKUP(Remaining_Cost[[#This Row],[Cost]],Upgrades[],MATCH("C"&amp;Remaining_Cost[#Headers],Upgrades[#Headers],0),FALSE),0)*MAX(0,SUM('Construction Dashboard'!$G42:J42)),0)</f>
        <v>0</v>
      </c>
      <c r="J38" s="48">
        <f ca="1">IF(VALUE(Remaining_Cost[#Headers])&lt;='Construction Dashboard'!$F42,IFERROR(VLOOKUP(Remaining_Cost[[#This Row],[Cost]],Upgrades[],MATCH("C"&amp;Remaining_Cost[#Headers],Upgrades[#Headers],0),FALSE),0)*MAX(0,SUM('Construction Dashboard'!$G42:K42)),0)</f>
        <v>0</v>
      </c>
      <c r="K38" s="48">
        <f ca="1">IF(VALUE(Remaining_Cost[#Headers])&lt;='Construction Dashboard'!$F42,IFERROR(VLOOKUP(Remaining_Cost[[#This Row],[Cost]],Upgrades[],MATCH("C"&amp;Remaining_Cost[#Headers],Upgrades[#Headers],0),FALSE),0)*MAX(0,SUM('Construction Dashboard'!$G42:L42)),0)</f>
        <v>0</v>
      </c>
      <c r="L38" s="48">
        <f ca="1">IF(VALUE(Remaining_Cost[#Headers])&lt;='Construction Dashboard'!$F42,IFERROR(VLOOKUP(Remaining_Cost[[#This Row],[Cost]],Upgrades[],MATCH("C"&amp;Remaining_Cost[#Headers],Upgrades[#Headers],0),FALSE),0)*MAX(0,SUM('Construction Dashboard'!$G42:M42)),0)</f>
        <v>0</v>
      </c>
      <c r="M38" s="48">
        <f ca="1">IF(VALUE(Remaining_Cost[#Headers])&lt;='Construction Dashboard'!$F42,IFERROR(VLOOKUP(Remaining_Cost[[#This Row],[Cost]],Upgrades[],MATCH("C"&amp;Remaining_Cost[#Headers],Upgrades[#Headers],0),FALSE),0)*MAX(0,SUM('Construction Dashboard'!$G42:N42)),0)</f>
        <v>0</v>
      </c>
      <c r="N38" s="48">
        <f ca="1">IF(VALUE(Remaining_Cost[#Headers])&lt;='Construction Dashboard'!$F42,IFERROR(VLOOKUP(Remaining_Cost[[#This Row],[Cost]],Upgrades[],MATCH("C"&amp;Remaining_Cost[#Headers],Upgrades[#Headers],0),FALSE),0)*MAX(0,SUM('Construction Dashboard'!$G42:O42)),0)</f>
        <v>0</v>
      </c>
      <c r="O38" s="48">
        <f ca="1">IF(VALUE(Remaining_Cost[#Headers])&lt;='Construction Dashboard'!$F42,IFERROR(VLOOKUP(Remaining_Cost[[#This Row],[Cost]],Upgrades[],MATCH("C"&amp;Remaining_Cost[#Headers],Upgrades[#Headers],0),FALSE),0)*MAX(0,SUM('Construction Dashboard'!$G42:P42)),0)</f>
        <v>0</v>
      </c>
      <c r="P38" s="48">
        <f ca="1">IF(VALUE(Remaining_Cost[#Headers])&lt;='Construction Dashboard'!$F42,IFERROR(VLOOKUP(Remaining_Cost[[#This Row],[Cost]],Upgrades[],MATCH("C"&amp;Remaining_Cost[#Headers],Upgrades[#Headers],0),FALSE),0)*MAX(0,SUM('Construction Dashboard'!$G42:Q42)),0)</f>
        <v>0</v>
      </c>
      <c r="Q38" s="48">
        <f ca="1">IF(VALUE(Remaining_Cost[#Headers])&lt;='Construction Dashboard'!$F42,IFERROR(VLOOKUP(Remaining_Cost[[#This Row],[Cost]],Upgrades[],MATCH("C"&amp;Remaining_Cost[#Headers],Upgrades[#Headers],0),FALSE),0)*MAX(0,SUM('Construction Dashboard'!$G42:R42)),0)</f>
        <v>0</v>
      </c>
      <c r="R38" s="48">
        <f ca="1">IF(Remaining_Cost[[#This Row],[MatchStr]]="IGNORE",0,SUM(Remaining_Cost[[#This Row],[1]:[12]]))</f>
        <v>0</v>
      </c>
    </row>
    <row r="39" spans="1:18">
      <c r="A39" s="11" t="s">
        <v>25</v>
      </c>
      <c r="B39" s="11" t="str">
        <f>VLOOKUP(Remaining_Cost[[#This Row],[Cost]],Upgrades[],2,FALSE)</f>
        <v>Building</v>
      </c>
      <c r="C39" s="11" t="str">
        <f>VLOOKUP(Remaining_Cost[[#This Row],[Cost]],Upgrades[],3,FALSE)</f>
        <v>Gold</v>
      </c>
      <c r="D39" s="115" t="str">
        <f>IF(COUNTIF(Skips,Remaining_Cost[[#This Row],[Cost]])&gt;0,"IGNORE",Remaining_Cost[Kind]&amp;"-"&amp;Remaining_Cost[Resource])</f>
        <v>Building-Gold</v>
      </c>
      <c r="E39" s="47" t="str">
        <f ca="1">IFERROR(VLOOKUP(Remaining_Cost[[#This Row],[Cost]],Upgrades[],MATCH("C"&amp;MATCH(TRUE,INDEX(Remaining_Cost[[#This Row],[1]:[12]]&lt;&gt;0,),0),Upgrades[#Headers],0),FALSE),"")</f>
        <v/>
      </c>
      <c r="F39" s="48">
        <f ca="1">IF(VALUE(Remaining_Cost[#Headers])&lt;='Construction Dashboard'!$F43,IFERROR(VLOOKUP(Remaining_Cost[[#This Row],[Cost]],Upgrades[],MATCH("C"&amp;Remaining_Cost[#Headers],Upgrades[#Headers],0),FALSE),0)*MAX(0,SUM('Construction Dashboard'!$G43:G43)),0)</f>
        <v>0</v>
      </c>
      <c r="G39" s="48">
        <f ca="1">IF(VALUE(Remaining_Cost[#Headers])&lt;='Construction Dashboard'!$F43,IFERROR(VLOOKUP(Remaining_Cost[[#This Row],[Cost]],Upgrades[],MATCH("C"&amp;Remaining_Cost[#Headers],Upgrades[#Headers],0),FALSE),0)*MAX(0,SUM('Construction Dashboard'!$G43:H43)),0)</f>
        <v>0</v>
      </c>
      <c r="H39" s="48">
        <f ca="1">IF(VALUE(Remaining_Cost[#Headers])&lt;='Construction Dashboard'!$F43,IFERROR(VLOOKUP(Remaining_Cost[[#This Row],[Cost]],Upgrades[],MATCH("C"&amp;Remaining_Cost[#Headers],Upgrades[#Headers],0),FALSE),0)*MAX(0,SUM('Construction Dashboard'!$G43:I43)),0)</f>
        <v>0</v>
      </c>
      <c r="I39" s="48">
        <f ca="1">IF(VALUE(Remaining_Cost[#Headers])&lt;='Construction Dashboard'!$F43,IFERROR(VLOOKUP(Remaining_Cost[[#This Row],[Cost]],Upgrades[],MATCH("C"&amp;Remaining_Cost[#Headers],Upgrades[#Headers],0),FALSE),0)*MAX(0,SUM('Construction Dashboard'!$G43:J43)),0)</f>
        <v>0</v>
      </c>
      <c r="J39" s="48">
        <f ca="1">IF(VALUE(Remaining_Cost[#Headers])&lt;='Construction Dashboard'!$F43,IFERROR(VLOOKUP(Remaining_Cost[[#This Row],[Cost]],Upgrades[],MATCH("C"&amp;Remaining_Cost[#Headers],Upgrades[#Headers],0),FALSE),0)*MAX(0,SUM('Construction Dashboard'!$G43:K43)),0)</f>
        <v>0</v>
      </c>
      <c r="K39" s="48">
        <f ca="1">IF(VALUE(Remaining_Cost[#Headers])&lt;='Construction Dashboard'!$F43,IFERROR(VLOOKUP(Remaining_Cost[[#This Row],[Cost]],Upgrades[],MATCH("C"&amp;Remaining_Cost[#Headers],Upgrades[#Headers],0),FALSE),0)*MAX(0,SUM('Construction Dashboard'!$G43:L43)),0)</f>
        <v>0</v>
      </c>
      <c r="L39" s="48">
        <f ca="1">IF(VALUE(Remaining_Cost[#Headers])&lt;='Construction Dashboard'!$F43,IFERROR(VLOOKUP(Remaining_Cost[[#This Row],[Cost]],Upgrades[],MATCH("C"&amp;Remaining_Cost[#Headers],Upgrades[#Headers],0),FALSE),0)*MAX(0,SUM('Construction Dashboard'!$G43:M43)),0)</f>
        <v>0</v>
      </c>
      <c r="M39" s="48">
        <f ca="1">IF(VALUE(Remaining_Cost[#Headers])&lt;='Construction Dashboard'!$F43,IFERROR(VLOOKUP(Remaining_Cost[[#This Row],[Cost]],Upgrades[],MATCH("C"&amp;Remaining_Cost[#Headers],Upgrades[#Headers],0),FALSE),0)*MAX(0,SUM('Construction Dashboard'!$G43:N43)),0)</f>
        <v>0</v>
      </c>
      <c r="N39" s="48">
        <f ca="1">IF(VALUE(Remaining_Cost[#Headers])&lt;='Construction Dashboard'!$F43,IFERROR(VLOOKUP(Remaining_Cost[[#This Row],[Cost]],Upgrades[],MATCH("C"&amp;Remaining_Cost[#Headers],Upgrades[#Headers],0),FALSE),0)*MAX(0,SUM('Construction Dashboard'!$G43:O43)),0)</f>
        <v>0</v>
      </c>
      <c r="O39" s="48">
        <f ca="1">IF(VALUE(Remaining_Cost[#Headers])&lt;='Construction Dashboard'!$F43,IFERROR(VLOOKUP(Remaining_Cost[[#This Row],[Cost]],Upgrades[],MATCH("C"&amp;Remaining_Cost[#Headers],Upgrades[#Headers],0),FALSE),0)*MAX(0,SUM('Construction Dashboard'!$G43:P43)),0)</f>
        <v>0</v>
      </c>
      <c r="P39" s="48">
        <f ca="1">IF(VALUE(Remaining_Cost[#Headers])&lt;='Construction Dashboard'!$F43,IFERROR(VLOOKUP(Remaining_Cost[[#This Row],[Cost]],Upgrades[],MATCH("C"&amp;Remaining_Cost[#Headers],Upgrades[#Headers],0),FALSE),0)*MAX(0,SUM('Construction Dashboard'!$G43:Q43)),0)</f>
        <v>0</v>
      </c>
      <c r="Q39" s="48">
        <f ca="1">IF(VALUE(Remaining_Cost[#Headers])&lt;='Construction Dashboard'!$F43,IFERROR(VLOOKUP(Remaining_Cost[[#This Row],[Cost]],Upgrades[],MATCH("C"&amp;Remaining_Cost[#Headers],Upgrades[#Headers],0),FALSE),0)*MAX(0,SUM('Construction Dashboard'!$G43:R43)),0)</f>
        <v>0</v>
      </c>
      <c r="R39" s="48">
        <f ca="1">IF(Remaining_Cost[[#This Row],[MatchStr]]="IGNORE",0,SUM(Remaining_Cost[[#This Row],[1]:[12]]))</f>
        <v>0</v>
      </c>
    </row>
    <row r="40" spans="1:18">
      <c r="A40" s="11" t="s">
        <v>26</v>
      </c>
      <c r="B40" s="11" t="str">
        <f>VLOOKUP(Remaining_Cost[[#This Row],[Cost]],Upgrades[],2,FALSE)</f>
        <v>Building</v>
      </c>
      <c r="C40" s="11" t="str">
        <f>VLOOKUP(Remaining_Cost[[#This Row],[Cost]],Upgrades[],3,FALSE)</f>
        <v>Gold</v>
      </c>
      <c r="D40" s="115" t="str">
        <f>IF(COUNTIF(Skips,Remaining_Cost[[#This Row],[Cost]])&gt;0,"IGNORE",Remaining_Cost[Kind]&amp;"-"&amp;Remaining_Cost[Resource])</f>
        <v>Building-Gold</v>
      </c>
      <c r="E40" s="47" t="str">
        <f ca="1">IFERROR(VLOOKUP(Remaining_Cost[[#This Row],[Cost]],Upgrades[],MATCH("C"&amp;MATCH(TRUE,INDEX(Remaining_Cost[[#This Row],[1]:[12]]&lt;&gt;0,),0),Upgrades[#Headers],0),FALSE),"")</f>
        <v/>
      </c>
      <c r="F40" s="48">
        <f ca="1">IF(VALUE(Remaining_Cost[#Headers])&lt;='Construction Dashboard'!$F44,IFERROR(VLOOKUP(Remaining_Cost[[#This Row],[Cost]],Upgrades[],MATCH("C"&amp;Remaining_Cost[#Headers],Upgrades[#Headers],0),FALSE),0)*MAX(0,SUM('Construction Dashboard'!$G44:G44)),0)</f>
        <v>0</v>
      </c>
      <c r="G40" s="48">
        <f ca="1">IF(VALUE(Remaining_Cost[#Headers])&lt;='Construction Dashboard'!$F44,IFERROR(VLOOKUP(Remaining_Cost[[#This Row],[Cost]],Upgrades[],MATCH("C"&amp;Remaining_Cost[#Headers],Upgrades[#Headers],0),FALSE),0)*MAX(0,SUM('Construction Dashboard'!$G44:H44)),0)</f>
        <v>0</v>
      </c>
      <c r="H40" s="48">
        <f ca="1">IF(VALUE(Remaining_Cost[#Headers])&lt;='Construction Dashboard'!$F44,IFERROR(VLOOKUP(Remaining_Cost[[#This Row],[Cost]],Upgrades[],MATCH("C"&amp;Remaining_Cost[#Headers],Upgrades[#Headers],0),FALSE),0)*MAX(0,SUM('Construction Dashboard'!$G44:I44)),0)</f>
        <v>0</v>
      </c>
      <c r="I40" s="48">
        <f ca="1">IF(VALUE(Remaining_Cost[#Headers])&lt;='Construction Dashboard'!$F44,IFERROR(VLOOKUP(Remaining_Cost[[#This Row],[Cost]],Upgrades[],MATCH("C"&amp;Remaining_Cost[#Headers],Upgrades[#Headers],0),FALSE),0)*MAX(0,SUM('Construction Dashboard'!$G44:J44)),0)</f>
        <v>0</v>
      </c>
      <c r="J40" s="48">
        <f ca="1">IF(VALUE(Remaining_Cost[#Headers])&lt;='Construction Dashboard'!$F44,IFERROR(VLOOKUP(Remaining_Cost[[#This Row],[Cost]],Upgrades[],MATCH("C"&amp;Remaining_Cost[#Headers],Upgrades[#Headers],0),FALSE),0)*MAX(0,SUM('Construction Dashboard'!$G44:K44)),0)</f>
        <v>0</v>
      </c>
      <c r="K40" s="48">
        <f ca="1">IF(VALUE(Remaining_Cost[#Headers])&lt;='Construction Dashboard'!$F44,IFERROR(VLOOKUP(Remaining_Cost[[#This Row],[Cost]],Upgrades[],MATCH("C"&amp;Remaining_Cost[#Headers],Upgrades[#Headers],0),FALSE),0)*MAX(0,SUM('Construction Dashboard'!$G44:L44)),0)</f>
        <v>0</v>
      </c>
      <c r="L40" s="48">
        <f ca="1">IF(VALUE(Remaining_Cost[#Headers])&lt;='Construction Dashboard'!$F44,IFERROR(VLOOKUP(Remaining_Cost[[#This Row],[Cost]],Upgrades[],MATCH("C"&amp;Remaining_Cost[#Headers],Upgrades[#Headers],0),FALSE),0)*MAX(0,SUM('Construction Dashboard'!$G44:M44)),0)</f>
        <v>0</v>
      </c>
      <c r="M40" s="48">
        <f ca="1">IF(VALUE(Remaining_Cost[#Headers])&lt;='Construction Dashboard'!$F44,IFERROR(VLOOKUP(Remaining_Cost[[#This Row],[Cost]],Upgrades[],MATCH("C"&amp;Remaining_Cost[#Headers],Upgrades[#Headers],0),FALSE),0)*MAX(0,SUM('Construction Dashboard'!$G44:N44)),0)</f>
        <v>0</v>
      </c>
      <c r="N40" s="48">
        <f ca="1">IF(VALUE(Remaining_Cost[#Headers])&lt;='Construction Dashboard'!$F44,IFERROR(VLOOKUP(Remaining_Cost[[#This Row],[Cost]],Upgrades[],MATCH("C"&amp;Remaining_Cost[#Headers],Upgrades[#Headers],0),FALSE),0)*MAX(0,SUM('Construction Dashboard'!$G44:O44)),0)</f>
        <v>0</v>
      </c>
      <c r="O40" s="48">
        <f ca="1">IF(VALUE(Remaining_Cost[#Headers])&lt;='Construction Dashboard'!$F44,IFERROR(VLOOKUP(Remaining_Cost[[#This Row],[Cost]],Upgrades[],MATCH("C"&amp;Remaining_Cost[#Headers],Upgrades[#Headers],0),FALSE),0)*MAX(0,SUM('Construction Dashboard'!$G44:P44)),0)</f>
        <v>0</v>
      </c>
      <c r="P40" s="48">
        <f ca="1">IF(VALUE(Remaining_Cost[#Headers])&lt;='Construction Dashboard'!$F44,IFERROR(VLOOKUP(Remaining_Cost[[#This Row],[Cost]],Upgrades[],MATCH("C"&amp;Remaining_Cost[#Headers],Upgrades[#Headers],0),FALSE),0)*MAX(0,SUM('Construction Dashboard'!$G44:Q44)),0)</f>
        <v>0</v>
      </c>
      <c r="Q40" s="48">
        <f ca="1">IF(VALUE(Remaining_Cost[#Headers])&lt;='Construction Dashboard'!$F44,IFERROR(VLOOKUP(Remaining_Cost[[#This Row],[Cost]],Upgrades[],MATCH("C"&amp;Remaining_Cost[#Headers],Upgrades[#Headers],0),FALSE),0)*MAX(0,SUM('Construction Dashboard'!$G44:R44)),0)</f>
        <v>0</v>
      </c>
      <c r="R40" s="48">
        <f ca="1">IF(Remaining_Cost[[#This Row],[MatchStr]]="IGNORE",0,SUM(Remaining_Cost[[#This Row],[1]:[12]]))</f>
        <v>0</v>
      </c>
    </row>
    <row r="41" spans="1:18">
      <c r="A41" s="11" t="s">
        <v>9</v>
      </c>
      <c r="B41" s="11" t="str">
        <f>VLOOKUP(Remaining_Cost[[#This Row],[Cost]],Upgrades[],2,FALSE)</f>
        <v>Building</v>
      </c>
      <c r="C41" s="11" t="str">
        <f>VLOOKUP(Remaining_Cost[[#This Row],[Cost]],Upgrades[],3,FALSE)</f>
        <v>Gold</v>
      </c>
      <c r="D41" s="115" t="str">
        <f>IF(COUNTIF(Skips,Remaining_Cost[[#This Row],[Cost]])&gt;0,"IGNORE",Remaining_Cost[Kind]&amp;"-"&amp;Remaining_Cost[Resource])</f>
        <v>Building-Gold</v>
      </c>
      <c r="E41" s="47" t="str">
        <f ca="1">IFERROR(VLOOKUP(Remaining_Cost[[#This Row],[Cost]],Upgrades[],MATCH("C"&amp;MATCH(TRUE,INDEX(Remaining_Cost[[#This Row],[1]:[12]]&lt;&gt;0,),0),Upgrades[#Headers],0),FALSE),"")</f>
        <v/>
      </c>
      <c r="F41" s="48">
        <f ca="1">IF(VALUE(Remaining_Cost[#Headers])&lt;='Construction Dashboard'!$F45,IFERROR(VLOOKUP(Remaining_Cost[[#This Row],[Cost]],Upgrades[],MATCH("C"&amp;Remaining_Cost[#Headers],Upgrades[#Headers],0),FALSE),0)*MAX(0,SUM('Construction Dashboard'!$G45:G45)),0)</f>
        <v>0</v>
      </c>
      <c r="G41" s="48">
        <f ca="1">IF(VALUE(Remaining_Cost[#Headers])&lt;='Construction Dashboard'!$F45,IFERROR(VLOOKUP(Remaining_Cost[[#This Row],[Cost]],Upgrades[],MATCH("C"&amp;Remaining_Cost[#Headers],Upgrades[#Headers],0),FALSE),0)*MAX(0,SUM('Construction Dashboard'!$G45:H45)),0)</f>
        <v>0</v>
      </c>
      <c r="H41" s="48">
        <f ca="1">IF(VALUE(Remaining_Cost[#Headers])&lt;='Construction Dashboard'!$F45,IFERROR(VLOOKUP(Remaining_Cost[[#This Row],[Cost]],Upgrades[],MATCH("C"&amp;Remaining_Cost[#Headers],Upgrades[#Headers],0),FALSE),0)*MAX(0,SUM('Construction Dashboard'!$G45:I45)),0)</f>
        <v>0</v>
      </c>
      <c r="I41" s="48">
        <f ca="1">IF(VALUE(Remaining_Cost[#Headers])&lt;='Construction Dashboard'!$F45,IFERROR(VLOOKUP(Remaining_Cost[[#This Row],[Cost]],Upgrades[],MATCH("C"&amp;Remaining_Cost[#Headers],Upgrades[#Headers],0),FALSE),0)*MAX(0,SUM('Construction Dashboard'!$G45:J45)),0)</f>
        <v>0</v>
      </c>
      <c r="J41" s="48">
        <f ca="1">IF(VALUE(Remaining_Cost[#Headers])&lt;='Construction Dashboard'!$F45,IFERROR(VLOOKUP(Remaining_Cost[[#This Row],[Cost]],Upgrades[],MATCH("C"&amp;Remaining_Cost[#Headers],Upgrades[#Headers],0),FALSE),0)*MAX(0,SUM('Construction Dashboard'!$G45:K45)),0)</f>
        <v>0</v>
      </c>
      <c r="K41" s="48">
        <f ca="1">IF(VALUE(Remaining_Cost[#Headers])&lt;='Construction Dashboard'!$F45,IFERROR(VLOOKUP(Remaining_Cost[[#This Row],[Cost]],Upgrades[],MATCH("C"&amp;Remaining_Cost[#Headers],Upgrades[#Headers],0),FALSE),0)*MAX(0,SUM('Construction Dashboard'!$G45:L45)),0)</f>
        <v>0</v>
      </c>
      <c r="L41" s="48">
        <f ca="1">IF(VALUE(Remaining_Cost[#Headers])&lt;='Construction Dashboard'!$F45,IFERROR(VLOOKUP(Remaining_Cost[[#This Row],[Cost]],Upgrades[],MATCH("C"&amp;Remaining_Cost[#Headers],Upgrades[#Headers],0),FALSE),0)*MAX(0,SUM('Construction Dashboard'!$G45:M45)),0)</f>
        <v>0</v>
      </c>
      <c r="M41" s="48">
        <f ca="1">IF(VALUE(Remaining_Cost[#Headers])&lt;='Construction Dashboard'!$F45,IFERROR(VLOOKUP(Remaining_Cost[[#This Row],[Cost]],Upgrades[],MATCH("C"&amp;Remaining_Cost[#Headers],Upgrades[#Headers],0),FALSE),0)*MAX(0,SUM('Construction Dashboard'!$G45:N45)),0)</f>
        <v>0</v>
      </c>
      <c r="N41" s="48">
        <f ca="1">IF(VALUE(Remaining_Cost[#Headers])&lt;='Construction Dashboard'!$F45,IFERROR(VLOOKUP(Remaining_Cost[[#This Row],[Cost]],Upgrades[],MATCH("C"&amp;Remaining_Cost[#Headers],Upgrades[#Headers],0),FALSE),0)*MAX(0,SUM('Construction Dashboard'!$G45:O45)),0)</f>
        <v>0</v>
      </c>
      <c r="O41" s="48">
        <f ca="1">IF(VALUE(Remaining_Cost[#Headers])&lt;='Construction Dashboard'!$F45,IFERROR(VLOOKUP(Remaining_Cost[[#This Row],[Cost]],Upgrades[],MATCH("C"&amp;Remaining_Cost[#Headers],Upgrades[#Headers],0),FALSE),0)*MAX(0,SUM('Construction Dashboard'!$G45:P45)),0)</f>
        <v>0</v>
      </c>
      <c r="P41" s="48">
        <f ca="1">IF(VALUE(Remaining_Cost[#Headers])&lt;='Construction Dashboard'!$F45,IFERROR(VLOOKUP(Remaining_Cost[[#This Row],[Cost]],Upgrades[],MATCH("C"&amp;Remaining_Cost[#Headers],Upgrades[#Headers],0),FALSE),0)*MAX(0,SUM('Construction Dashboard'!$G45:Q45)),0)</f>
        <v>0</v>
      </c>
      <c r="Q41" s="48">
        <f ca="1">IF(VALUE(Remaining_Cost[#Headers])&lt;='Construction Dashboard'!$F45,IFERROR(VLOOKUP(Remaining_Cost[[#This Row],[Cost]],Upgrades[],MATCH("C"&amp;Remaining_Cost[#Headers],Upgrades[#Headers],0),FALSE),0)*MAX(0,SUM('Construction Dashboard'!$G45:R45)),0)</f>
        <v>0</v>
      </c>
      <c r="R41" s="48">
        <f ca="1">IF(Remaining_Cost[[#This Row],[MatchStr]]="IGNORE",0,SUM(Remaining_Cost[[#This Row],[1]:[12]]))</f>
        <v>0</v>
      </c>
    </row>
    <row r="42" spans="1:18">
      <c r="A42" s="11" t="s">
        <v>10</v>
      </c>
      <c r="B42" s="11" t="str">
        <f>VLOOKUP(Remaining_Cost[[#This Row],[Cost]],Upgrades[],2,FALSE)</f>
        <v>Building</v>
      </c>
      <c r="C42" s="11" t="str">
        <f>VLOOKUP(Remaining_Cost[[#This Row],[Cost]],Upgrades[],3,FALSE)</f>
        <v>Gold</v>
      </c>
      <c r="D42" s="115" t="str">
        <f>IF(COUNTIF(Skips,Remaining_Cost[[#This Row],[Cost]])&gt;0,"IGNORE",Remaining_Cost[Kind]&amp;"-"&amp;Remaining_Cost[Resource])</f>
        <v>Building-Gold</v>
      </c>
      <c r="E42" s="47" t="str">
        <f ca="1">IFERROR(VLOOKUP(Remaining_Cost[[#This Row],[Cost]],Upgrades[],MATCH("C"&amp;MATCH(TRUE,INDEX(Remaining_Cost[[#This Row],[1]:[12]]&lt;&gt;0,),0),Upgrades[#Headers],0),FALSE),"")</f>
        <v/>
      </c>
      <c r="F42" s="48">
        <f ca="1">IF(VALUE(Remaining_Cost[#Headers])&lt;='Construction Dashboard'!$F46,IFERROR(VLOOKUP(Remaining_Cost[[#This Row],[Cost]],Upgrades[],MATCH("C"&amp;Remaining_Cost[#Headers],Upgrades[#Headers],0),FALSE),0)*MAX(0,SUM('Construction Dashboard'!$G46:G46)),0)</f>
        <v>0</v>
      </c>
      <c r="G42" s="48">
        <f ca="1">IF(VALUE(Remaining_Cost[#Headers])&lt;='Construction Dashboard'!$F46,IFERROR(VLOOKUP(Remaining_Cost[[#This Row],[Cost]],Upgrades[],MATCH("C"&amp;Remaining_Cost[#Headers],Upgrades[#Headers],0),FALSE),0)*MAX(0,SUM('Construction Dashboard'!$G46:H46)),0)</f>
        <v>0</v>
      </c>
      <c r="H42" s="48">
        <f ca="1">IF(VALUE(Remaining_Cost[#Headers])&lt;='Construction Dashboard'!$F46,IFERROR(VLOOKUP(Remaining_Cost[[#This Row],[Cost]],Upgrades[],MATCH("C"&amp;Remaining_Cost[#Headers],Upgrades[#Headers],0),FALSE),0)*MAX(0,SUM('Construction Dashboard'!$G46:I46)),0)</f>
        <v>0</v>
      </c>
      <c r="I42" s="48">
        <f ca="1">IF(VALUE(Remaining_Cost[#Headers])&lt;='Construction Dashboard'!$F46,IFERROR(VLOOKUP(Remaining_Cost[[#This Row],[Cost]],Upgrades[],MATCH("C"&amp;Remaining_Cost[#Headers],Upgrades[#Headers],0),FALSE),0)*MAX(0,SUM('Construction Dashboard'!$G46:J46)),0)</f>
        <v>0</v>
      </c>
      <c r="J42" s="48">
        <f ca="1">IF(VALUE(Remaining_Cost[#Headers])&lt;='Construction Dashboard'!$F46,IFERROR(VLOOKUP(Remaining_Cost[[#This Row],[Cost]],Upgrades[],MATCH("C"&amp;Remaining_Cost[#Headers],Upgrades[#Headers],0),FALSE),0)*MAX(0,SUM('Construction Dashboard'!$G46:K46)),0)</f>
        <v>0</v>
      </c>
      <c r="K42" s="48">
        <f ca="1">IF(VALUE(Remaining_Cost[#Headers])&lt;='Construction Dashboard'!$F46,IFERROR(VLOOKUP(Remaining_Cost[[#This Row],[Cost]],Upgrades[],MATCH("C"&amp;Remaining_Cost[#Headers],Upgrades[#Headers],0),FALSE),0)*MAX(0,SUM('Construction Dashboard'!$G46:L46)),0)</f>
        <v>0</v>
      </c>
      <c r="L42" s="48">
        <f ca="1">IF(VALUE(Remaining_Cost[#Headers])&lt;='Construction Dashboard'!$F46,IFERROR(VLOOKUP(Remaining_Cost[[#This Row],[Cost]],Upgrades[],MATCH("C"&amp;Remaining_Cost[#Headers],Upgrades[#Headers],0),FALSE),0)*MAX(0,SUM('Construction Dashboard'!$G46:M46)),0)</f>
        <v>0</v>
      </c>
      <c r="M42" s="48">
        <f ca="1">IF(VALUE(Remaining_Cost[#Headers])&lt;='Construction Dashboard'!$F46,IFERROR(VLOOKUP(Remaining_Cost[[#This Row],[Cost]],Upgrades[],MATCH("C"&amp;Remaining_Cost[#Headers],Upgrades[#Headers],0),FALSE),0)*MAX(0,SUM('Construction Dashboard'!$G46:N46)),0)</f>
        <v>0</v>
      </c>
      <c r="N42" s="48">
        <f ca="1">IF(VALUE(Remaining_Cost[#Headers])&lt;='Construction Dashboard'!$F46,IFERROR(VLOOKUP(Remaining_Cost[[#This Row],[Cost]],Upgrades[],MATCH("C"&amp;Remaining_Cost[#Headers],Upgrades[#Headers],0),FALSE),0)*MAX(0,SUM('Construction Dashboard'!$G46:O46)),0)</f>
        <v>0</v>
      </c>
      <c r="O42" s="48">
        <f ca="1">IF(VALUE(Remaining_Cost[#Headers])&lt;='Construction Dashboard'!$F46,IFERROR(VLOOKUP(Remaining_Cost[[#This Row],[Cost]],Upgrades[],MATCH("C"&amp;Remaining_Cost[#Headers],Upgrades[#Headers],0),FALSE),0)*MAX(0,SUM('Construction Dashboard'!$G46:P46)),0)</f>
        <v>0</v>
      </c>
      <c r="P42" s="48">
        <f ca="1">IF(VALUE(Remaining_Cost[#Headers])&lt;='Construction Dashboard'!$F46,IFERROR(VLOOKUP(Remaining_Cost[[#This Row],[Cost]],Upgrades[],MATCH("C"&amp;Remaining_Cost[#Headers],Upgrades[#Headers],0),FALSE),0)*MAX(0,SUM('Construction Dashboard'!$G46:Q46)),0)</f>
        <v>0</v>
      </c>
      <c r="Q42" s="48">
        <f ca="1">IF(VALUE(Remaining_Cost[#Headers])&lt;='Construction Dashboard'!$F46,IFERROR(VLOOKUP(Remaining_Cost[[#This Row],[Cost]],Upgrades[],MATCH("C"&amp;Remaining_Cost[#Headers],Upgrades[#Headers],0),FALSE),0)*MAX(0,SUM('Construction Dashboard'!$G46:R46)),0)</f>
        <v>0</v>
      </c>
      <c r="R42" s="48">
        <f ca="1">IF(Remaining_Cost[[#This Row],[MatchStr]]="IGNORE",0,SUM(Remaining_Cost[[#This Row],[1]:[12]]))</f>
        <v>0</v>
      </c>
    </row>
    <row r="43" spans="1:18">
      <c r="A43" s="11" t="s">
        <v>27</v>
      </c>
      <c r="B43" s="11" t="str">
        <f>VLOOKUP(Remaining_Cost[[#This Row],[Cost]],Upgrades[],2,FALSE)</f>
        <v>Building</v>
      </c>
      <c r="C43" s="11" t="str">
        <f>VLOOKUP(Remaining_Cost[[#This Row],[Cost]],Upgrades[],3,FALSE)</f>
        <v>Gold</v>
      </c>
      <c r="D43" s="115" t="str">
        <f>IF(COUNTIF(Skips,Remaining_Cost[[#This Row],[Cost]])&gt;0,"IGNORE",Remaining_Cost[Kind]&amp;"-"&amp;Remaining_Cost[Resource])</f>
        <v>Building-Gold</v>
      </c>
      <c r="E43" s="47" t="str">
        <f ca="1">IFERROR(VLOOKUP(Remaining_Cost[[#This Row],[Cost]],Upgrades[],MATCH("C"&amp;MATCH(TRUE,INDEX(Remaining_Cost[[#This Row],[1]:[12]]&lt;&gt;0,),0),Upgrades[#Headers],0),FALSE),"")</f>
        <v/>
      </c>
      <c r="F43" s="48">
        <f ca="1">IF(VALUE(Remaining_Cost[#Headers])&lt;='Construction Dashboard'!$F47,IFERROR(VLOOKUP(Remaining_Cost[[#This Row],[Cost]],Upgrades[],MATCH("C"&amp;Remaining_Cost[#Headers],Upgrades[#Headers],0),FALSE),0)*MAX(0,SUM('Construction Dashboard'!$G47:G47)),0)</f>
        <v>0</v>
      </c>
      <c r="G43" s="48">
        <f ca="1">IF(VALUE(Remaining_Cost[#Headers])&lt;='Construction Dashboard'!$F47,IFERROR(VLOOKUP(Remaining_Cost[[#This Row],[Cost]],Upgrades[],MATCH("C"&amp;Remaining_Cost[#Headers],Upgrades[#Headers],0),FALSE),0)*MAX(0,SUM('Construction Dashboard'!$G47:H47)),0)</f>
        <v>0</v>
      </c>
      <c r="H43" s="48">
        <f ca="1">IF(VALUE(Remaining_Cost[#Headers])&lt;='Construction Dashboard'!$F47,IFERROR(VLOOKUP(Remaining_Cost[[#This Row],[Cost]],Upgrades[],MATCH("C"&amp;Remaining_Cost[#Headers],Upgrades[#Headers],0),FALSE),0)*MAX(0,SUM('Construction Dashboard'!$G47:I47)),0)</f>
        <v>0</v>
      </c>
      <c r="I43" s="48">
        <f ca="1">IF(VALUE(Remaining_Cost[#Headers])&lt;='Construction Dashboard'!$F47,IFERROR(VLOOKUP(Remaining_Cost[[#This Row],[Cost]],Upgrades[],MATCH("C"&amp;Remaining_Cost[#Headers],Upgrades[#Headers],0),FALSE),0)*MAX(0,SUM('Construction Dashboard'!$G47:J47)),0)</f>
        <v>0</v>
      </c>
      <c r="J43" s="48">
        <f ca="1">IF(VALUE(Remaining_Cost[#Headers])&lt;='Construction Dashboard'!$F47,IFERROR(VLOOKUP(Remaining_Cost[[#This Row],[Cost]],Upgrades[],MATCH("C"&amp;Remaining_Cost[#Headers],Upgrades[#Headers],0),FALSE),0)*MAX(0,SUM('Construction Dashboard'!$G47:K47)),0)</f>
        <v>0</v>
      </c>
      <c r="K43" s="48">
        <f ca="1">IF(VALUE(Remaining_Cost[#Headers])&lt;='Construction Dashboard'!$F47,IFERROR(VLOOKUP(Remaining_Cost[[#This Row],[Cost]],Upgrades[],MATCH("C"&amp;Remaining_Cost[#Headers],Upgrades[#Headers],0),FALSE),0)*MAX(0,SUM('Construction Dashboard'!$G47:L47)),0)</f>
        <v>0</v>
      </c>
      <c r="L43" s="48">
        <f ca="1">IF(VALUE(Remaining_Cost[#Headers])&lt;='Construction Dashboard'!$F47,IFERROR(VLOOKUP(Remaining_Cost[[#This Row],[Cost]],Upgrades[],MATCH("C"&amp;Remaining_Cost[#Headers],Upgrades[#Headers],0),FALSE),0)*MAX(0,SUM('Construction Dashboard'!$G47:M47)),0)</f>
        <v>0</v>
      </c>
      <c r="M43" s="48">
        <f ca="1">IF(VALUE(Remaining_Cost[#Headers])&lt;='Construction Dashboard'!$F47,IFERROR(VLOOKUP(Remaining_Cost[[#This Row],[Cost]],Upgrades[],MATCH("C"&amp;Remaining_Cost[#Headers],Upgrades[#Headers],0),FALSE),0)*MAX(0,SUM('Construction Dashboard'!$G47:N47)),0)</f>
        <v>0</v>
      </c>
      <c r="N43" s="48">
        <f ca="1">IF(VALUE(Remaining_Cost[#Headers])&lt;='Construction Dashboard'!$F47,IFERROR(VLOOKUP(Remaining_Cost[[#This Row],[Cost]],Upgrades[],MATCH("C"&amp;Remaining_Cost[#Headers],Upgrades[#Headers],0),FALSE),0)*MAX(0,SUM('Construction Dashboard'!$G47:O47)),0)</f>
        <v>0</v>
      </c>
      <c r="O43" s="48">
        <f ca="1">IF(VALUE(Remaining_Cost[#Headers])&lt;='Construction Dashboard'!$F47,IFERROR(VLOOKUP(Remaining_Cost[[#This Row],[Cost]],Upgrades[],MATCH("C"&amp;Remaining_Cost[#Headers],Upgrades[#Headers],0),FALSE),0)*MAX(0,SUM('Construction Dashboard'!$G47:P47)),0)</f>
        <v>0</v>
      </c>
      <c r="P43" s="48">
        <f ca="1">IF(VALUE(Remaining_Cost[#Headers])&lt;='Construction Dashboard'!$F47,IFERROR(VLOOKUP(Remaining_Cost[[#This Row],[Cost]],Upgrades[],MATCH("C"&amp;Remaining_Cost[#Headers],Upgrades[#Headers],0),FALSE),0)*MAX(0,SUM('Construction Dashboard'!$G47:Q47)),0)</f>
        <v>0</v>
      </c>
      <c r="Q43" s="48">
        <f ca="1">IF(VALUE(Remaining_Cost[#Headers])&lt;='Construction Dashboard'!$F47,IFERROR(VLOOKUP(Remaining_Cost[[#This Row],[Cost]],Upgrades[],MATCH("C"&amp;Remaining_Cost[#Headers],Upgrades[#Headers],0),FALSE),0)*MAX(0,SUM('Construction Dashboard'!$G47:R47)),0)</f>
        <v>0</v>
      </c>
      <c r="R43" s="48">
        <f ca="1">IF(Remaining_Cost[[#This Row],[MatchStr]]="IGNORE",0,SUM(Remaining_Cost[[#This Row],[1]:[12]]))</f>
        <v>0</v>
      </c>
    </row>
    <row r="44" spans="1:18">
      <c r="A44" s="11" t="s">
        <v>11</v>
      </c>
      <c r="B44" s="11" t="str">
        <f>VLOOKUP(Remaining_Cost[[#This Row],[Cost]],Upgrades[],2,FALSE)</f>
        <v>Building</v>
      </c>
      <c r="C44" s="11" t="str">
        <f>VLOOKUP(Remaining_Cost[[#This Row],[Cost]],Upgrades[],3,FALSE)</f>
        <v>Gold</v>
      </c>
      <c r="D44" s="115" t="str">
        <f>IF(COUNTIF(Skips,Remaining_Cost[[#This Row],[Cost]])&gt;0,"IGNORE",Remaining_Cost[Kind]&amp;"-"&amp;Remaining_Cost[Resource])</f>
        <v>Building-Gold</v>
      </c>
      <c r="E44" s="47" t="str">
        <f ca="1">IFERROR(VLOOKUP(Remaining_Cost[[#This Row],[Cost]],Upgrades[],MATCH("C"&amp;MATCH(TRUE,INDEX(Remaining_Cost[[#This Row],[1]:[12]]&lt;&gt;0,),0),Upgrades[#Headers],0),FALSE),"")</f>
        <v/>
      </c>
      <c r="F44" s="48">
        <f ca="1">IF(VALUE(Remaining_Cost[#Headers])&lt;='Construction Dashboard'!$F48,IFERROR(VLOOKUP(Remaining_Cost[[#This Row],[Cost]],Upgrades[],MATCH("C"&amp;Remaining_Cost[#Headers],Upgrades[#Headers],0),FALSE),0)*MAX(0,SUM('Construction Dashboard'!$G48:G48)),0)</f>
        <v>0</v>
      </c>
      <c r="G44" s="48">
        <f ca="1">IF(VALUE(Remaining_Cost[#Headers])&lt;='Construction Dashboard'!$F48,IFERROR(VLOOKUP(Remaining_Cost[[#This Row],[Cost]],Upgrades[],MATCH("C"&amp;Remaining_Cost[#Headers],Upgrades[#Headers],0),FALSE),0)*MAX(0,SUM('Construction Dashboard'!$G48:H48)),0)</f>
        <v>0</v>
      </c>
      <c r="H44" s="48">
        <f ca="1">IF(VALUE(Remaining_Cost[#Headers])&lt;='Construction Dashboard'!$F48,IFERROR(VLOOKUP(Remaining_Cost[[#This Row],[Cost]],Upgrades[],MATCH("C"&amp;Remaining_Cost[#Headers],Upgrades[#Headers],0),FALSE),0)*MAX(0,SUM('Construction Dashboard'!$G48:I48)),0)</f>
        <v>0</v>
      </c>
      <c r="I44" s="48">
        <f ca="1">IF(VALUE(Remaining_Cost[#Headers])&lt;='Construction Dashboard'!$F48,IFERROR(VLOOKUP(Remaining_Cost[[#This Row],[Cost]],Upgrades[],MATCH("C"&amp;Remaining_Cost[#Headers],Upgrades[#Headers],0),FALSE),0)*MAX(0,SUM('Construction Dashboard'!$G48:J48)),0)</f>
        <v>0</v>
      </c>
      <c r="J44" s="48">
        <f ca="1">IF(VALUE(Remaining_Cost[#Headers])&lt;='Construction Dashboard'!$F48,IFERROR(VLOOKUP(Remaining_Cost[[#This Row],[Cost]],Upgrades[],MATCH("C"&amp;Remaining_Cost[#Headers],Upgrades[#Headers],0),FALSE),0)*MAX(0,SUM('Construction Dashboard'!$G48:K48)),0)</f>
        <v>0</v>
      </c>
      <c r="K44" s="48">
        <f ca="1">IF(VALUE(Remaining_Cost[#Headers])&lt;='Construction Dashboard'!$F48,IFERROR(VLOOKUP(Remaining_Cost[[#This Row],[Cost]],Upgrades[],MATCH("C"&amp;Remaining_Cost[#Headers],Upgrades[#Headers],0),FALSE),0)*MAX(0,SUM('Construction Dashboard'!$G48:L48)),0)</f>
        <v>0</v>
      </c>
      <c r="L44" s="48">
        <f ca="1">IF(VALUE(Remaining_Cost[#Headers])&lt;='Construction Dashboard'!$F48,IFERROR(VLOOKUP(Remaining_Cost[[#This Row],[Cost]],Upgrades[],MATCH("C"&amp;Remaining_Cost[#Headers],Upgrades[#Headers],0),FALSE),0)*MAX(0,SUM('Construction Dashboard'!$G48:M48)),0)</f>
        <v>0</v>
      </c>
      <c r="M44" s="48">
        <f ca="1">IF(VALUE(Remaining_Cost[#Headers])&lt;='Construction Dashboard'!$F48,IFERROR(VLOOKUP(Remaining_Cost[[#This Row],[Cost]],Upgrades[],MATCH("C"&amp;Remaining_Cost[#Headers],Upgrades[#Headers],0),FALSE),0)*MAX(0,SUM('Construction Dashboard'!$G48:N48)),0)</f>
        <v>0</v>
      </c>
      <c r="N44" s="48">
        <f ca="1">IF(VALUE(Remaining_Cost[#Headers])&lt;='Construction Dashboard'!$F48,IFERROR(VLOOKUP(Remaining_Cost[[#This Row],[Cost]],Upgrades[],MATCH("C"&amp;Remaining_Cost[#Headers],Upgrades[#Headers],0),FALSE),0)*MAX(0,SUM('Construction Dashboard'!$G48:O48)),0)</f>
        <v>0</v>
      </c>
      <c r="O44" s="48">
        <f ca="1">IF(VALUE(Remaining_Cost[#Headers])&lt;='Construction Dashboard'!$F48,IFERROR(VLOOKUP(Remaining_Cost[[#This Row],[Cost]],Upgrades[],MATCH("C"&amp;Remaining_Cost[#Headers],Upgrades[#Headers],0),FALSE),0)*MAX(0,SUM('Construction Dashboard'!$G48:P48)),0)</f>
        <v>0</v>
      </c>
      <c r="P44" s="48">
        <f ca="1">IF(VALUE(Remaining_Cost[#Headers])&lt;='Construction Dashboard'!$F48,IFERROR(VLOOKUP(Remaining_Cost[[#This Row],[Cost]],Upgrades[],MATCH("C"&amp;Remaining_Cost[#Headers],Upgrades[#Headers],0),FALSE),0)*MAX(0,SUM('Construction Dashboard'!$G48:Q48)),0)</f>
        <v>0</v>
      </c>
      <c r="Q44" s="48">
        <f ca="1">IF(VALUE(Remaining_Cost[#Headers])&lt;='Construction Dashboard'!$F48,IFERROR(VLOOKUP(Remaining_Cost[[#This Row],[Cost]],Upgrades[],MATCH("C"&amp;Remaining_Cost[#Headers],Upgrades[#Headers],0),FALSE),0)*MAX(0,SUM('Construction Dashboard'!$G48:R48)),0)</f>
        <v>0</v>
      </c>
      <c r="R44" s="48">
        <f ca="1">IF(Remaining_Cost[[#This Row],[MatchStr]]="IGNORE",0,SUM(Remaining_Cost[[#This Row],[1]:[12]]))</f>
        <v>0</v>
      </c>
    </row>
    <row r="45" spans="1:18">
      <c r="A45" s="11" t="s">
        <v>12</v>
      </c>
      <c r="B45" s="11" t="str">
        <f>VLOOKUP(Remaining_Cost[[#This Row],[Cost]],Upgrades[],2,FALSE)</f>
        <v>Building</v>
      </c>
      <c r="C45" s="11" t="str">
        <f>VLOOKUP(Remaining_Cost[[#This Row],[Cost]],Upgrades[],3,FALSE)</f>
        <v>Gold</v>
      </c>
      <c r="D45" s="115" t="str">
        <f>IF(COUNTIF(Skips,Remaining_Cost[[#This Row],[Cost]])&gt;0,"IGNORE",Remaining_Cost[Kind]&amp;"-"&amp;Remaining_Cost[Resource])</f>
        <v>Building-Gold</v>
      </c>
      <c r="E45" s="47" t="str">
        <f ca="1">IFERROR(VLOOKUP(Remaining_Cost[[#This Row],[Cost]],Upgrades[],MATCH("C"&amp;MATCH(TRUE,INDEX(Remaining_Cost[[#This Row],[1]:[12]]&lt;&gt;0,),0),Upgrades[#Headers],0),FALSE),"")</f>
        <v/>
      </c>
      <c r="F45" s="48">
        <f ca="1">IF(VALUE(Remaining_Cost[#Headers])&lt;='Construction Dashboard'!$F49,IFERROR(VLOOKUP(Remaining_Cost[[#This Row],[Cost]],Upgrades[],MATCH("C"&amp;Remaining_Cost[#Headers],Upgrades[#Headers],0),FALSE),0)*MAX(0,SUM('Construction Dashboard'!$G49:G49)),0)</f>
        <v>0</v>
      </c>
      <c r="G45" s="48">
        <f ca="1">IF(VALUE(Remaining_Cost[#Headers])&lt;='Construction Dashboard'!$F49,IFERROR(VLOOKUP(Remaining_Cost[[#This Row],[Cost]],Upgrades[],MATCH("C"&amp;Remaining_Cost[#Headers],Upgrades[#Headers],0),FALSE),0)*MAX(0,SUM('Construction Dashboard'!$G49:H49)),0)</f>
        <v>0</v>
      </c>
      <c r="H45" s="48">
        <f ca="1">IF(VALUE(Remaining_Cost[#Headers])&lt;='Construction Dashboard'!$F49,IFERROR(VLOOKUP(Remaining_Cost[[#This Row],[Cost]],Upgrades[],MATCH("C"&amp;Remaining_Cost[#Headers],Upgrades[#Headers],0),FALSE),0)*MAX(0,SUM('Construction Dashboard'!$G49:I49)),0)</f>
        <v>0</v>
      </c>
      <c r="I45" s="48">
        <f ca="1">IF(VALUE(Remaining_Cost[#Headers])&lt;='Construction Dashboard'!$F49,IFERROR(VLOOKUP(Remaining_Cost[[#This Row],[Cost]],Upgrades[],MATCH("C"&amp;Remaining_Cost[#Headers],Upgrades[#Headers],0),FALSE),0)*MAX(0,SUM('Construction Dashboard'!$G49:J49)),0)</f>
        <v>0</v>
      </c>
      <c r="J45" s="48">
        <f ca="1">IF(VALUE(Remaining_Cost[#Headers])&lt;='Construction Dashboard'!$F49,IFERROR(VLOOKUP(Remaining_Cost[[#This Row],[Cost]],Upgrades[],MATCH("C"&amp;Remaining_Cost[#Headers],Upgrades[#Headers],0),FALSE),0)*MAX(0,SUM('Construction Dashboard'!$G49:K49)),0)</f>
        <v>0</v>
      </c>
      <c r="K45" s="48">
        <f ca="1">IF(VALUE(Remaining_Cost[#Headers])&lt;='Construction Dashboard'!$F49,IFERROR(VLOOKUP(Remaining_Cost[[#This Row],[Cost]],Upgrades[],MATCH("C"&amp;Remaining_Cost[#Headers],Upgrades[#Headers],0),FALSE),0)*MAX(0,SUM('Construction Dashboard'!$G49:L49)),0)</f>
        <v>0</v>
      </c>
      <c r="L45" s="48">
        <f ca="1">IF(VALUE(Remaining_Cost[#Headers])&lt;='Construction Dashboard'!$F49,IFERROR(VLOOKUP(Remaining_Cost[[#This Row],[Cost]],Upgrades[],MATCH("C"&amp;Remaining_Cost[#Headers],Upgrades[#Headers],0),FALSE),0)*MAX(0,SUM('Construction Dashboard'!$G49:M49)),0)</f>
        <v>0</v>
      </c>
      <c r="M45" s="48">
        <f ca="1">IF(VALUE(Remaining_Cost[#Headers])&lt;='Construction Dashboard'!$F49,IFERROR(VLOOKUP(Remaining_Cost[[#This Row],[Cost]],Upgrades[],MATCH("C"&amp;Remaining_Cost[#Headers],Upgrades[#Headers],0),FALSE),0)*MAX(0,SUM('Construction Dashboard'!$G49:N49)),0)</f>
        <v>0</v>
      </c>
      <c r="N45" s="48">
        <f ca="1">IF(VALUE(Remaining_Cost[#Headers])&lt;='Construction Dashboard'!$F49,IFERROR(VLOOKUP(Remaining_Cost[[#This Row],[Cost]],Upgrades[],MATCH("C"&amp;Remaining_Cost[#Headers],Upgrades[#Headers],0),FALSE),0)*MAX(0,SUM('Construction Dashboard'!$G49:O49)),0)</f>
        <v>0</v>
      </c>
      <c r="O45" s="48">
        <f ca="1">IF(VALUE(Remaining_Cost[#Headers])&lt;='Construction Dashboard'!$F49,IFERROR(VLOOKUP(Remaining_Cost[[#This Row],[Cost]],Upgrades[],MATCH("C"&amp;Remaining_Cost[#Headers],Upgrades[#Headers],0),FALSE),0)*MAX(0,SUM('Construction Dashboard'!$G49:P49)),0)</f>
        <v>0</v>
      </c>
      <c r="P45" s="48">
        <f ca="1">IF(VALUE(Remaining_Cost[#Headers])&lt;='Construction Dashboard'!$F49,IFERROR(VLOOKUP(Remaining_Cost[[#This Row],[Cost]],Upgrades[],MATCH("C"&amp;Remaining_Cost[#Headers],Upgrades[#Headers],0),FALSE),0)*MAX(0,SUM('Construction Dashboard'!$G49:Q49)),0)</f>
        <v>0</v>
      </c>
      <c r="Q45" s="48">
        <f ca="1">IF(VALUE(Remaining_Cost[#Headers])&lt;='Construction Dashboard'!$F49,IFERROR(VLOOKUP(Remaining_Cost[[#This Row],[Cost]],Upgrades[],MATCH("C"&amp;Remaining_Cost[#Headers],Upgrades[#Headers],0),FALSE),0)*MAX(0,SUM('Construction Dashboard'!$G49:R49)),0)</f>
        <v>0</v>
      </c>
      <c r="R45" s="48">
        <f ca="1">IF(Remaining_Cost[[#This Row],[MatchStr]]="IGNORE",0,SUM(Remaining_Cost[[#This Row],[1]:[12]]))</f>
        <v>0</v>
      </c>
    </row>
    <row r="46" spans="1:18">
      <c r="A46" s="11" t="s">
        <v>28</v>
      </c>
      <c r="B46" s="11" t="str">
        <f>VLOOKUP(Remaining_Cost[[#This Row],[Cost]],Upgrades[],2,FALSE)</f>
        <v>Building</v>
      </c>
      <c r="C46" s="11" t="str">
        <f>VLOOKUP(Remaining_Cost[[#This Row],[Cost]],Upgrades[],3,FALSE)</f>
        <v>Gold</v>
      </c>
      <c r="D46" s="115" t="str">
        <f>IF(COUNTIF(Skips,Remaining_Cost[[#This Row],[Cost]])&gt;0,"IGNORE",Remaining_Cost[Kind]&amp;"-"&amp;Remaining_Cost[Resource])</f>
        <v>Building-Gold</v>
      </c>
      <c r="E46" s="47" t="str">
        <f ca="1">IFERROR(VLOOKUP(Remaining_Cost[[#This Row],[Cost]],Upgrades[],MATCH("C"&amp;MATCH(TRUE,INDEX(Remaining_Cost[[#This Row],[1]:[12]]&lt;&gt;0,),0),Upgrades[#Headers],0),FALSE),"")</f>
        <v/>
      </c>
      <c r="F46" s="48">
        <f ca="1">IF(VALUE(Remaining_Cost[#Headers])&lt;='Construction Dashboard'!$F50,IFERROR(VLOOKUP(Remaining_Cost[[#This Row],[Cost]],Upgrades[],MATCH("C"&amp;Remaining_Cost[#Headers],Upgrades[#Headers],0),FALSE),0)*MAX(0,SUM('Construction Dashboard'!$G50:G50)),0)</f>
        <v>0</v>
      </c>
      <c r="G46" s="48">
        <f ca="1">IF(VALUE(Remaining_Cost[#Headers])&lt;='Construction Dashboard'!$F50,IFERROR(VLOOKUP(Remaining_Cost[[#This Row],[Cost]],Upgrades[],MATCH("C"&amp;Remaining_Cost[#Headers],Upgrades[#Headers],0),FALSE),0)*MAX(0,SUM('Construction Dashboard'!$G50:H50)),0)</f>
        <v>0</v>
      </c>
      <c r="H46" s="48">
        <f ca="1">IF(VALUE(Remaining_Cost[#Headers])&lt;='Construction Dashboard'!$F50,IFERROR(VLOOKUP(Remaining_Cost[[#This Row],[Cost]],Upgrades[],MATCH("C"&amp;Remaining_Cost[#Headers],Upgrades[#Headers],0),FALSE),0)*MAX(0,SUM('Construction Dashboard'!$G50:I50)),0)</f>
        <v>0</v>
      </c>
      <c r="I46" s="48">
        <f ca="1">IF(VALUE(Remaining_Cost[#Headers])&lt;='Construction Dashboard'!$F50,IFERROR(VLOOKUP(Remaining_Cost[[#This Row],[Cost]],Upgrades[],MATCH("C"&amp;Remaining_Cost[#Headers],Upgrades[#Headers],0),FALSE),0)*MAX(0,SUM('Construction Dashboard'!$G50:J50)),0)</f>
        <v>0</v>
      </c>
      <c r="J46" s="48">
        <f ca="1">IF(VALUE(Remaining_Cost[#Headers])&lt;='Construction Dashboard'!$F50,IFERROR(VLOOKUP(Remaining_Cost[[#This Row],[Cost]],Upgrades[],MATCH("C"&amp;Remaining_Cost[#Headers],Upgrades[#Headers],0),FALSE),0)*MAX(0,SUM('Construction Dashboard'!$G50:K50)),0)</f>
        <v>0</v>
      </c>
      <c r="K46" s="48">
        <f ca="1">IF(VALUE(Remaining_Cost[#Headers])&lt;='Construction Dashboard'!$F50,IFERROR(VLOOKUP(Remaining_Cost[[#This Row],[Cost]],Upgrades[],MATCH("C"&amp;Remaining_Cost[#Headers],Upgrades[#Headers],0),FALSE),0)*MAX(0,SUM('Construction Dashboard'!$G50:L50)),0)</f>
        <v>0</v>
      </c>
      <c r="L46" s="48">
        <f ca="1">IF(VALUE(Remaining_Cost[#Headers])&lt;='Construction Dashboard'!$F50,IFERROR(VLOOKUP(Remaining_Cost[[#This Row],[Cost]],Upgrades[],MATCH("C"&amp;Remaining_Cost[#Headers],Upgrades[#Headers],0),FALSE),0)*MAX(0,SUM('Construction Dashboard'!$G50:M50)),0)</f>
        <v>0</v>
      </c>
      <c r="M46" s="48">
        <f ca="1">IF(VALUE(Remaining_Cost[#Headers])&lt;='Construction Dashboard'!$F50,IFERROR(VLOOKUP(Remaining_Cost[[#This Row],[Cost]],Upgrades[],MATCH("C"&amp;Remaining_Cost[#Headers],Upgrades[#Headers],0),FALSE),0)*MAX(0,SUM('Construction Dashboard'!$G50:N50)),0)</f>
        <v>0</v>
      </c>
      <c r="N46" s="48">
        <f ca="1">IF(VALUE(Remaining_Cost[#Headers])&lt;='Construction Dashboard'!$F50,IFERROR(VLOOKUP(Remaining_Cost[[#This Row],[Cost]],Upgrades[],MATCH("C"&amp;Remaining_Cost[#Headers],Upgrades[#Headers],0),FALSE),0)*MAX(0,SUM('Construction Dashboard'!$G50:O50)),0)</f>
        <v>0</v>
      </c>
      <c r="O46" s="48">
        <f ca="1">IF(VALUE(Remaining_Cost[#Headers])&lt;='Construction Dashboard'!$F50,IFERROR(VLOOKUP(Remaining_Cost[[#This Row],[Cost]],Upgrades[],MATCH("C"&amp;Remaining_Cost[#Headers],Upgrades[#Headers],0),FALSE),0)*MAX(0,SUM('Construction Dashboard'!$G50:P50)),0)</f>
        <v>0</v>
      </c>
      <c r="P46" s="48">
        <f ca="1">IF(VALUE(Remaining_Cost[#Headers])&lt;='Construction Dashboard'!$F50,IFERROR(VLOOKUP(Remaining_Cost[[#This Row],[Cost]],Upgrades[],MATCH("C"&amp;Remaining_Cost[#Headers],Upgrades[#Headers],0),FALSE),0)*MAX(0,SUM('Construction Dashboard'!$G50:Q50)),0)</f>
        <v>0</v>
      </c>
      <c r="Q46" s="48">
        <f ca="1">IF(VALUE(Remaining_Cost[#Headers])&lt;='Construction Dashboard'!$F50,IFERROR(VLOOKUP(Remaining_Cost[[#This Row],[Cost]],Upgrades[],MATCH("C"&amp;Remaining_Cost[#Headers],Upgrades[#Headers],0),FALSE),0)*MAX(0,SUM('Construction Dashboard'!$G50:R50)),0)</f>
        <v>0</v>
      </c>
      <c r="R46" s="48">
        <f ca="1">IF(Remaining_Cost[[#This Row],[MatchStr]]="IGNORE",0,SUM(Remaining_Cost[[#This Row],[1]:[12]]))</f>
        <v>0</v>
      </c>
    </row>
    <row r="47" spans="1:18">
      <c r="A47" s="11" t="s">
        <v>105</v>
      </c>
      <c r="B47" s="49" t="str">
        <f>VLOOKUP(Remaining_Cost[[#This Row],[Cost]],Upgrades[],2,FALSE)</f>
        <v>Building</v>
      </c>
      <c r="C47" s="49" t="str">
        <f>VLOOKUP(Remaining_Cost[[#This Row],[Cost]],Upgrades[],3,FALSE)</f>
        <v>Dark Elixir</v>
      </c>
      <c r="D47" s="116" t="str">
        <f>IF(COUNTIF(Skips,Remaining_Cost[[#This Row],[Cost]])&gt;0,"IGNORE",Remaining_Cost[Kind]&amp;"-"&amp;Remaining_Cost[Resource])</f>
        <v>Building-Dark Elixir</v>
      </c>
      <c r="E47" s="47" t="str">
        <f ca="1">IFERROR(VLOOKUP(Remaining_Cost[[#This Row],[Cost]],Upgrades[],MATCH("C"&amp;MATCH(TRUE,INDEX(Remaining_Cost[[#This Row],[1]:[12]]&lt;&gt;0,),0),Upgrades[#Headers],0),FALSE),"")</f>
        <v/>
      </c>
      <c r="F47" s="48">
        <f ca="1">IF(VALUE(Remaining_Cost[#Headers])&lt;='Construction Dashboard'!$F51,IFERROR(VLOOKUP(Remaining_Cost[[#This Row],[Cost]],Upgrades[],MATCH("C"&amp;Remaining_Cost[#Headers],Upgrades[#Headers],0),FALSE),0)*MAX(0,SUM('Construction Dashboard'!$G51:G51)),0)</f>
        <v>0</v>
      </c>
      <c r="G47" s="48">
        <f ca="1">IF(VALUE(Remaining_Cost[#Headers])&lt;='Construction Dashboard'!$F51,IFERROR(VLOOKUP(Remaining_Cost[[#This Row],[Cost]],Upgrades[],MATCH("C"&amp;Remaining_Cost[#Headers],Upgrades[#Headers],0),FALSE),0)*MAX(0,SUM('Construction Dashboard'!$G51:H51)),0)</f>
        <v>0</v>
      </c>
      <c r="H47" s="48">
        <f ca="1">IF(VALUE(Remaining_Cost[#Headers])&lt;='Construction Dashboard'!$F51,IFERROR(VLOOKUP(Remaining_Cost[[#This Row],[Cost]],Upgrades[],MATCH("C"&amp;Remaining_Cost[#Headers],Upgrades[#Headers],0),FALSE),0)*MAX(0,SUM('Construction Dashboard'!$G51:I51)),0)</f>
        <v>0</v>
      </c>
      <c r="I47" s="48">
        <f ca="1">IF(VALUE(Remaining_Cost[#Headers])&lt;='Construction Dashboard'!$F51,IFERROR(VLOOKUP(Remaining_Cost[[#This Row],[Cost]],Upgrades[],MATCH("C"&amp;Remaining_Cost[#Headers],Upgrades[#Headers],0),FALSE),0)*MAX(0,SUM('Construction Dashboard'!$G51:J51)),0)</f>
        <v>0</v>
      </c>
      <c r="J47" s="48">
        <f ca="1">IF(VALUE(Remaining_Cost[#Headers])&lt;='Construction Dashboard'!$F51,IFERROR(VLOOKUP(Remaining_Cost[[#This Row],[Cost]],Upgrades[],MATCH("C"&amp;Remaining_Cost[#Headers],Upgrades[#Headers],0),FALSE),0)*MAX(0,SUM('Construction Dashboard'!$G51:K51)),0)</f>
        <v>0</v>
      </c>
      <c r="K47" s="48">
        <f ca="1">IF(VALUE(Remaining_Cost[#Headers])&lt;='Construction Dashboard'!$F51,IFERROR(VLOOKUP(Remaining_Cost[[#This Row],[Cost]],Upgrades[],MATCH("C"&amp;Remaining_Cost[#Headers],Upgrades[#Headers],0),FALSE),0)*MAX(0,SUM('Construction Dashboard'!$G51:L51)),0)</f>
        <v>0</v>
      </c>
      <c r="L47" s="48">
        <f ca="1">IF(VALUE(Remaining_Cost[#Headers])&lt;='Construction Dashboard'!$F51,IFERROR(VLOOKUP(Remaining_Cost[[#This Row],[Cost]],Upgrades[],MATCH("C"&amp;Remaining_Cost[#Headers],Upgrades[#Headers],0),FALSE),0)*MAX(0,SUM('Construction Dashboard'!$G51:M51)),0)</f>
        <v>0</v>
      </c>
      <c r="M47" s="48">
        <f ca="1">IF(VALUE(Remaining_Cost[#Headers])&lt;='Construction Dashboard'!$F51,IFERROR(VLOOKUP(Remaining_Cost[[#This Row],[Cost]],Upgrades[],MATCH("C"&amp;Remaining_Cost[#Headers],Upgrades[#Headers],0),FALSE),0)*MAX(0,SUM('Construction Dashboard'!$G51:N51)),0)</f>
        <v>0</v>
      </c>
      <c r="N47" s="48">
        <f ca="1">IF(VALUE(Remaining_Cost[#Headers])&lt;='Construction Dashboard'!$F51,IFERROR(VLOOKUP(Remaining_Cost[[#This Row],[Cost]],Upgrades[],MATCH("C"&amp;Remaining_Cost[#Headers],Upgrades[#Headers],0),FALSE),0)*MAX(0,SUM('Construction Dashboard'!$G51:O51)),0)</f>
        <v>0</v>
      </c>
      <c r="O47" s="48">
        <f ca="1">IF(VALUE(Remaining_Cost[#Headers])&lt;='Construction Dashboard'!$F51,IFERROR(VLOOKUP(Remaining_Cost[[#This Row],[Cost]],Upgrades[],MATCH("C"&amp;Remaining_Cost[#Headers],Upgrades[#Headers],0),FALSE),0)*MAX(0,SUM('Construction Dashboard'!$G51:P51)),0)</f>
        <v>0</v>
      </c>
      <c r="P47" s="48">
        <f ca="1">IF(VALUE(Remaining_Cost[#Headers])&lt;='Construction Dashboard'!$F51,IFERROR(VLOOKUP(Remaining_Cost[[#This Row],[Cost]],Upgrades[],MATCH("C"&amp;Remaining_Cost[#Headers],Upgrades[#Headers],0),FALSE),0)*MAX(0,SUM('Construction Dashboard'!$G51:Q51)),0)</f>
        <v>0</v>
      </c>
      <c r="Q47" s="48">
        <f ca="1">IF(VALUE(Remaining_Cost[#Headers])&lt;='Construction Dashboard'!$F51,IFERROR(VLOOKUP(Remaining_Cost[[#This Row],[Cost]],Upgrades[],MATCH("C"&amp;Remaining_Cost[#Headers],Upgrades[#Headers],0),FALSE),0)*MAX(0,SUM('Construction Dashboard'!$G51:R51)),0)</f>
        <v>0</v>
      </c>
      <c r="R47" s="48">
        <f ca="1">IF(Remaining_Cost[[#This Row],[MatchStr]]="IGNORE",0,SUM(Remaining_Cost[[#This Row],[1]:[12]]))</f>
        <v>0</v>
      </c>
    </row>
    <row r="48" spans="1:18">
      <c r="A48" s="11" t="s">
        <v>106</v>
      </c>
      <c r="B48" s="49" t="str">
        <f>VLOOKUP(Remaining_Cost[[#This Row],[Cost]],Upgrades[],2,FALSE)</f>
        <v>Building</v>
      </c>
      <c r="C48" s="49" t="str">
        <f>VLOOKUP(Remaining_Cost[[#This Row],[Cost]],Upgrades[],3,FALSE)</f>
        <v>Dark Elixir</v>
      </c>
      <c r="D48" s="116" t="str">
        <f>IF(COUNTIF(Skips,Remaining_Cost[[#This Row],[Cost]])&gt;0,"IGNORE",Remaining_Cost[Kind]&amp;"-"&amp;Remaining_Cost[Resource])</f>
        <v>Building-Dark Elixir</v>
      </c>
      <c r="E48" s="47" t="str">
        <f ca="1">IFERROR(VLOOKUP(Remaining_Cost[[#This Row],[Cost]],Upgrades[],MATCH("C"&amp;MATCH(TRUE,INDEX(Remaining_Cost[[#This Row],[1]:[12]]&lt;&gt;0,),0),Upgrades[#Headers],0),FALSE),"")</f>
        <v/>
      </c>
      <c r="F48" s="48">
        <f ca="1">IF(VALUE(Remaining_Cost[#Headers])&lt;='Construction Dashboard'!$F52,IFERROR(VLOOKUP(Remaining_Cost[[#This Row],[Cost]],Upgrades[],MATCH("C"&amp;Remaining_Cost[#Headers],Upgrades[#Headers],0),FALSE),0)*MAX(0,SUM('Construction Dashboard'!$G52:G52)),0)</f>
        <v>0</v>
      </c>
      <c r="G48" s="48">
        <f ca="1">IF(VALUE(Remaining_Cost[#Headers])&lt;='Construction Dashboard'!$F52,IFERROR(VLOOKUP(Remaining_Cost[[#This Row],[Cost]],Upgrades[],MATCH("C"&amp;Remaining_Cost[#Headers],Upgrades[#Headers],0),FALSE),0)*MAX(0,SUM('Construction Dashboard'!$G52:H52)),0)</f>
        <v>0</v>
      </c>
      <c r="H48" s="48">
        <f ca="1">IF(VALUE(Remaining_Cost[#Headers])&lt;='Construction Dashboard'!$F52,IFERROR(VLOOKUP(Remaining_Cost[[#This Row],[Cost]],Upgrades[],MATCH("C"&amp;Remaining_Cost[#Headers],Upgrades[#Headers],0),FALSE),0)*MAX(0,SUM('Construction Dashboard'!$G52:I52)),0)</f>
        <v>0</v>
      </c>
      <c r="I48" s="48">
        <f ca="1">IF(VALUE(Remaining_Cost[#Headers])&lt;='Construction Dashboard'!$F52,IFERROR(VLOOKUP(Remaining_Cost[[#This Row],[Cost]],Upgrades[],MATCH("C"&amp;Remaining_Cost[#Headers],Upgrades[#Headers],0),FALSE),0)*MAX(0,SUM('Construction Dashboard'!$G52:J52)),0)</f>
        <v>0</v>
      </c>
      <c r="J48" s="48">
        <f ca="1">IF(VALUE(Remaining_Cost[#Headers])&lt;='Construction Dashboard'!$F52,IFERROR(VLOOKUP(Remaining_Cost[[#This Row],[Cost]],Upgrades[],MATCH("C"&amp;Remaining_Cost[#Headers],Upgrades[#Headers],0),FALSE),0)*MAX(0,SUM('Construction Dashboard'!$G52:K52)),0)</f>
        <v>0</v>
      </c>
      <c r="K48" s="48">
        <f ca="1">IF(VALUE(Remaining_Cost[#Headers])&lt;='Construction Dashboard'!$F52,IFERROR(VLOOKUP(Remaining_Cost[[#This Row],[Cost]],Upgrades[],MATCH("C"&amp;Remaining_Cost[#Headers],Upgrades[#Headers],0),FALSE),0)*MAX(0,SUM('Construction Dashboard'!$G52:L52)),0)</f>
        <v>0</v>
      </c>
      <c r="L48" s="48">
        <f ca="1">IF(VALUE(Remaining_Cost[#Headers])&lt;='Construction Dashboard'!$F52,IFERROR(VLOOKUP(Remaining_Cost[[#This Row],[Cost]],Upgrades[],MATCH("C"&amp;Remaining_Cost[#Headers],Upgrades[#Headers],0),FALSE),0)*MAX(0,SUM('Construction Dashboard'!$G52:M52)),0)</f>
        <v>0</v>
      </c>
      <c r="M48" s="48">
        <f ca="1">IF(VALUE(Remaining_Cost[#Headers])&lt;='Construction Dashboard'!$F52,IFERROR(VLOOKUP(Remaining_Cost[[#This Row],[Cost]],Upgrades[],MATCH("C"&amp;Remaining_Cost[#Headers],Upgrades[#Headers],0),FALSE),0)*MAX(0,SUM('Construction Dashboard'!$G52:N52)),0)</f>
        <v>0</v>
      </c>
      <c r="N48" s="48">
        <f ca="1">IF(VALUE(Remaining_Cost[#Headers])&lt;='Construction Dashboard'!$F52,IFERROR(VLOOKUP(Remaining_Cost[[#This Row],[Cost]],Upgrades[],MATCH("C"&amp;Remaining_Cost[#Headers],Upgrades[#Headers],0),FALSE),0)*MAX(0,SUM('Construction Dashboard'!$G52:O52)),0)</f>
        <v>0</v>
      </c>
      <c r="O48" s="48">
        <f ca="1">IF(VALUE(Remaining_Cost[#Headers])&lt;='Construction Dashboard'!$F52,IFERROR(VLOOKUP(Remaining_Cost[[#This Row],[Cost]],Upgrades[],MATCH("C"&amp;Remaining_Cost[#Headers],Upgrades[#Headers],0),FALSE),0)*MAX(0,SUM('Construction Dashboard'!$G52:P52)),0)</f>
        <v>0</v>
      </c>
      <c r="P48" s="48">
        <f ca="1">IF(VALUE(Remaining_Cost[#Headers])&lt;='Construction Dashboard'!$F52,IFERROR(VLOOKUP(Remaining_Cost[[#This Row],[Cost]],Upgrades[],MATCH("C"&amp;Remaining_Cost[#Headers],Upgrades[#Headers],0),FALSE),0)*MAX(0,SUM('Construction Dashboard'!$G52:Q52)),0)</f>
        <v>0</v>
      </c>
      <c r="Q48" s="48">
        <f ca="1">IF(VALUE(Remaining_Cost[#Headers])&lt;='Construction Dashboard'!$F52,IFERROR(VLOOKUP(Remaining_Cost[[#This Row],[Cost]],Upgrades[],MATCH("C"&amp;Remaining_Cost[#Headers],Upgrades[#Headers],0),FALSE),0)*MAX(0,SUM('Construction Dashboard'!$G52:R52)),0)</f>
        <v>0</v>
      </c>
      <c r="R48" s="48">
        <f ca="1">IF(Remaining_Cost[[#This Row],[MatchStr]]="IGNORE",0,SUM(Remaining_Cost[[#This Row],[1]:[12]]))</f>
        <v>0</v>
      </c>
    </row>
    <row r="49" spans="1:18">
      <c r="A49" s="11" t="s">
        <v>82</v>
      </c>
      <c r="B49" s="49" t="str">
        <f>VLOOKUP(Remaining_Cost[[#This Row],[Cost]],Upgrades[],2,FALSE)</f>
        <v>Upgrade</v>
      </c>
      <c r="C49" s="49" t="str">
        <f>VLOOKUP(Remaining_Cost[[#This Row],[Cost]],Upgrades[],3,FALSE)</f>
        <v>Elixir</v>
      </c>
      <c r="D49" s="116" t="str">
        <f>IF(COUNTIF(Skips,Remaining_Cost[[#This Row],[Cost]])&gt;0,"IGNORE",Remaining_Cost[Kind]&amp;"-"&amp;Remaining_Cost[Resource])</f>
        <v>Upgrade-Elixir</v>
      </c>
      <c r="E49" s="47" t="str">
        <f ca="1">IFERROR(VLOOKUP(Remaining_Cost[[#This Row],[Cost]],Upgrades[],MATCH("C"&amp;MATCH(TRUE,INDEX(Remaining_Cost[[#This Row],[1]:[12]]&lt;&gt;0,),0),Upgrades[#Headers],0),FALSE),"")</f>
        <v/>
      </c>
      <c r="F49" s="48">
        <f ca="1">IF(VALUE(Remaining_Cost[#Headers])&lt;='Construction Dashboard'!$F53,IFERROR(VLOOKUP(Remaining_Cost[[#This Row],[Cost]],Upgrades[],MATCH("C"&amp;Remaining_Cost[#Headers],Upgrades[#Headers],0),FALSE),0)*MAX(0,SUM('Construction Dashboard'!$G53:G53)),0)</f>
        <v>0</v>
      </c>
      <c r="G49" s="48">
        <f ca="1">IF(VALUE(Remaining_Cost[#Headers])&lt;='Construction Dashboard'!$F53,IFERROR(VLOOKUP(Remaining_Cost[[#This Row],[Cost]],Upgrades[],MATCH("C"&amp;Remaining_Cost[#Headers],Upgrades[#Headers],0),FALSE),0)*MAX(0,SUM('Construction Dashboard'!$G53:H53)),0)</f>
        <v>0</v>
      </c>
      <c r="H49" s="48">
        <f ca="1">IF(VALUE(Remaining_Cost[#Headers])&lt;='Construction Dashboard'!$F53,IFERROR(VLOOKUP(Remaining_Cost[[#This Row],[Cost]],Upgrades[],MATCH("C"&amp;Remaining_Cost[#Headers],Upgrades[#Headers],0),FALSE),0)*MAX(0,SUM('Construction Dashboard'!$G53:I53)),0)</f>
        <v>0</v>
      </c>
      <c r="I49" s="48">
        <f ca="1">IF(VALUE(Remaining_Cost[#Headers])&lt;='Construction Dashboard'!$F53,IFERROR(VLOOKUP(Remaining_Cost[[#This Row],[Cost]],Upgrades[],MATCH("C"&amp;Remaining_Cost[#Headers],Upgrades[#Headers],0),FALSE),0)*MAX(0,SUM('Construction Dashboard'!$G53:J53)),0)</f>
        <v>0</v>
      </c>
      <c r="J49" s="48">
        <f ca="1">IF(VALUE(Remaining_Cost[#Headers])&lt;='Construction Dashboard'!$F53,IFERROR(VLOOKUP(Remaining_Cost[[#This Row],[Cost]],Upgrades[],MATCH("C"&amp;Remaining_Cost[#Headers],Upgrades[#Headers],0),FALSE),0)*MAX(0,SUM('Construction Dashboard'!$G53:K53)),0)</f>
        <v>0</v>
      </c>
      <c r="K49" s="48">
        <f ca="1">IF(VALUE(Remaining_Cost[#Headers])&lt;='Construction Dashboard'!$F53,IFERROR(VLOOKUP(Remaining_Cost[[#This Row],[Cost]],Upgrades[],MATCH("C"&amp;Remaining_Cost[#Headers],Upgrades[#Headers],0),FALSE),0)*MAX(0,SUM('Construction Dashboard'!$G53:L53)),0)</f>
        <v>0</v>
      </c>
      <c r="L49" s="48">
        <f ca="1">IF(VALUE(Remaining_Cost[#Headers])&lt;='Construction Dashboard'!$F53,IFERROR(VLOOKUP(Remaining_Cost[[#This Row],[Cost]],Upgrades[],MATCH("C"&amp;Remaining_Cost[#Headers],Upgrades[#Headers],0),FALSE),0)*MAX(0,SUM('Construction Dashboard'!$G53:M53)),0)</f>
        <v>0</v>
      </c>
      <c r="M49" s="48">
        <f ca="1">IF(VALUE(Remaining_Cost[#Headers])&lt;='Construction Dashboard'!$F53,IFERROR(VLOOKUP(Remaining_Cost[[#This Row],[Cost]],Upgrades[],MATCH("C"&amp;Remaining_Cost[#Headers],Upgrades[#Headers],0),FALSE),0)*MAX(0,SUM('Construction Dashboard'!$G53:N53)),0)</f>
        <v>0</v>
      </c>
      <c r="N49" s="48">
        <f ca="1">IF(VALUE(Remaining_Cost[#Headers])&lt;='Construction Dashboard'!$F53,IFERROR(VLOOKUP(Remaining_Cost[[#This Row],[Cost]],Upgrades[],MATCH("C"&amp;Remaining_Cost[#Headers],Upgrades[#Headers],0),FALSE),0)*MAX(0,SUM('Construction Dashboard'!$G53:O53)),0)</f>
        <v>0</v>
      </c>
      <c r="O49" s="48">
        <f ca="1">IF(VALUE(Remaining_Cost[#Headers])&lt;='Construction Dashboard'!$F53,IFERROR(VLOOKUP(Remaining_Cost[[#This Row],[Cost]],Upgrades[],MATCH("C"&amp;Remaining_Cost[#Headers],Upgrades[#Headers],0),FALSE),0)*MAX(0,SUM('Construction Dashboard'!$G53:P53)),0)</f>
        <v>0</v>
      </c>
      <c r="P49" s="48">
        <f ca="1">IF(VALUE(Remaining_Cost[#Headers])&lt;='Construction Dashboard'!$F53,IFERROR(VLOOKUP(Remaining_Cost[[#This Row],[Cost]],Upgrades[],MATCH("C"&amp;Remaining_Cost[#Headers],Upgrades[#Headers],0),FALSE),0)*MAX(0,SUM('Construction Dashboard'!$G53:Q53)),0)</f>
        <v>0</v>
      </c>
      <c r="Q49" s="48">
        <f ca="1">IF(VALUE(Remaining_Cost[#Headers])&lt;='Construction Dashboard'!$F53,IFERROR(VLOOKUP(Remaining_Cost[[#This Row],[Cost]],Upgrades[],MATCH("C"&amp;Remaining_Cost[#Headers],Upgrades[#Headers],0),FALSE),0)*MAX(0,SUM('Construction Dashboard'!$G53:R53)),0)</f>
        <v>0</v>
      </c>
      <c r="R49" s="48">
        <f ca="1">IF(Remaining_Cost[[#This Row],[MatchStr]]="IGNORE",0,SUM(Remaining_Cost[[#This Row],[1]:[12]]))</f>
        <v>0</v>
      </c>
    </row>
    <row r="50" spans="1:18">
      <c r="A50" s="11" t="s">
        <v>83</v>
      </c>
      <c r="B50" s="49" t="str">
        <f>VLOOKUP(Remaining_Cost[[#This Row],[Cost]],Upgrades[],2,FALSE)</f>
        <v>Upgrade</v>
      </c>
      <c r="C50" s="49" t="str">
        <f>VLOOKUP(Remaining_Cost[[#This Row],[Cost]],Upgrades[],3,FALSE)</f>
        <v>Elixir</v>
      </c>
      <c r="D50" s="116" t="str">
        <f>IF(COUNTIF(Skips,Remaining_Cost[[#This Row],[Cost]])&gt;0,"IGNORE",Remaining_Cost[Kind]&amp;"-"&amp;Remaining_Cost[Resource])</f>
        <v>Upgrade-Elixir</v>
      </c>
      <c r="E50" s="47" t="str">
        <f ca="1">IFERROR(VLOOKUP(Remaining_Cost[[#This Row],[Cost]],Upgrades[],MATCH("C"&amp;MATCH(TRUE,INDEX(Remaining_Cost[[#This Row],[1]:[12]]&lt;&gt;0,),0),Upgrades[#Headers],0),FALSE),"")</f>
        <v/>
      </c>
      <c r="F50" s="48">
        <f ca="1">IF(VALUE(Remaining_Cost[#Headers])&lt;='Construction Dashboard'!$F54,IFERROR(VLOOKUP(Remaining_Cost[[#This Row],[Cost]],Upgrades[],MATCH("C"&amp;Remaining_Cost[#Headers],Upgrades[#Headers],0),FALSE),0)*MAX(0,SUM('Construction Dashboard'!$G54:G54)),0)</f>
        <v>0</v>
      </c>
      <c r="G50" s="48">
        <f ca="1">IF(VALUE(Remaining_Cost[#Headers])&lt;='Construction Dashboard'!$F54,IFERROR(VLOOKUP(Remaining_Cost[[#This Row],[Cost]],Upgrades[],MATCH("C"&amp;Remaining_Cost[#Headers],Upgrades[#Headers],0),FALSE),0)*MAX(0,SUM('Construction Dashboard'!$G54:H54)),0)</f>
        <v>0</v>
      </c>
      <c r="H50" s="48">
        <f ca="1">IF(VALUE(Remaining_Cost[#Headers])&lt;='Construction Dashboard'!$F54,IFERROR(VLOOKUP(Remaining_Cost[[#This Row],[Cost]],Upgrades[],MATCH("C"&amp;Remaining_Cost[#Headers],Upgrades[#Headers],0),FALSE),0)*MAX(0,SUM('Construction Dashboard'!$G54:I54)),0)</f>
        <v>0</v>
      </c>
      <c r="I50" s="48">
        <f ca="1">IF(VALUE(Remaining_Cost[#Headers])&lt;='Construction Dashboard'!$F54,IFERROR(VLOOKUP(Remaining_Cost[[#This Row],[Cost]],Upgrades[],MATCH("C"&amp;Remaining_Cost[#Headers],Upgrades[#Headers],0),FALSE),0)*MAX(0,SUM('Construction Dashboard'!$G54:J54)),0)</f>
        <v>0</v>
      </c>
      <c r="J50" s="48">
        <f ca="1">IF(VALUE(Remaining_Cost[#Headers])&lt;='Construction Dashboard'!$F54,IFERROR(VLOOKUP(Remaining_Cost[[#This Row],[Cost]],Upgrades[],MATCH("C"&amp;Remaining_Cost[#Headers],Upgrades[#Headers],0),FALSE),0)*MAX(0,SUM('Construction Dashboard'!$G54:K54)),0)</f>
        <v>0</v>
      </c>
      <c r="K50" s="48">
        <f ca="1">IF(VALUE(Remaining_Cost[#Headers])&lt;='Construction Dashboard'!$F54,IFERROR(VLOOKUP(Remaining_Cost[[#This Row],[Cost]],Upgrades[],MATCH("C"&amp;Remaining_Cost[#Headers],Upgrades[#Headers],0),FALSE),0)*MAX(0,SUM('Construction Dashboard'!$G54:L54)),0)</f>
        <v>0</v>
      </c>
      <c r="L50" s="48">
        <f ca="1">IF(VALUE(Remaining_Cost[#Headers])&lt;='Construction Dashboard'!$F54,IFERROR(VLOOKUP(Remaining_Cost[[#This Row],[Cost]],Upgrades[],MATCH("C"&amp;Remaining_Cost[#Headers],Upgrades[#Headers],0),FALSE),0)*MAX(0,SUM('Construction Dashboard'!$G54:M54)),0)</f>
        <v>0</v>
      </c>
      <c r="M50" s="48">
        <f ca="1">IF(VALUE(Remaining_Cost[#Headers])&lt;='Construction Dashboard'!$F54,IFERROR(VLOOKUP(Remaining_Cost[[#This Row],[Cost]],Upgrades[],MATCH("C"&amp;Remaining_Cost[#Headers],Upgrades[#Headers],0),FALSE),0)*MAX(0,SUM('Construction Dashboard'!$G54:N54)),0)</f>
        <v>0</v>
      </c>
      <c r="N50" s="48">
        <f ca="1">IF(VALUE(Remaining_Cost[#Headers])&lt;='Construction Dashboard'!$F54,IFERROR(VLOOKUP(Remaining_Cost[[#This Row],[Cost]],Upgrades[],MATCH("C"&amp;Remaining_Cost[#Headers],Upgrades[#Headers],0),FALSE),0)*MAX(0,SUM('Construction Dashboard'!$G54:O54)),0)</f>
        <v>0</v>
      </c>
      <c r="O50" s="48">
        <f ca="1">IF(VALUE(Remaining_Cost[#Headers])&lt;='Construction Dashboard'!$F54,IFERROR(VLOOKUP(Remaining_Cost[[#This Row],[Cost]],Upgrades[],MATCH("C"&amp;Remaining_Cost[#Headers],Upgrades[#Headers],0),FALSE),0)*MAX(0,SUM('Construction Dashboard'!$G54:P54)),0)</f>
        <v>0</v>
      </c>
      <c r="P50" s="48">
        <f ca="1">IF(VALUE(Remaining_Cost[#Headers])&lt;='Construction Dashboard'!$F54,IFERROR(VLOOKUP(Remaining_Cost[[#This Row],[Cost]],Upgrades[],MATCH("C"&amp;Remaining_Cost[#Headers],Upgrades[#Headers],0),FALSE),0)*MAX(0,SUM('Construction Dashboard'!$G54:Q54)),0)</f>
        <v>0</v>
      </c>
      <c r="Q50" s="48">
        <f ca="1">IF(VALUE(Remaining_Cost[#Headers])&lt;='Construction Dashboard'!$F54,IFERROR(VLOOKUP(Remaining_Cost[[#This Row],[Cost]],Upgrades[],MATCH("C"&amp;Remaining_Cost[#Headers],Upgrades[#Headers],0),FALSE),0)*MAX(0,SUM('Construction Dashboard'!$G54:R54)),0)</f>
        <v>0</v>
      </c>
      <c r="R50" s="48">
        <f ca="1">IF(Remaining_Cost[[#This Row],[MatchStr]]="IGNORE",0,SUM(Remaining_Cost[[#This Row],[1]:[12]]))</f>
        <v>0</v>
      </c>
    </row>
    <row r="51" spans="1:18">
      <c r="A51" s="11" t="s">
        <v>84</v>
      </c>
      <c r="B51" s="49" t="str">
        <f>VLOOKUP(Remaining_Cost[[#This Row],[Cost]],Upgrades[],2,FALSE)</f>
        <v>Upgrade</v>
      </c>
      <c r="C51" s="49" t="str">
        <f>VLOOKUP(Remaining_Cost[[#This Row],[Cost]],Upgrades[],3,FALSE)</f>
        <v>Elixir</v>
      </c>
      <c r="D51" s="116" t="str">
        <f>IF(COUNTIF(Skips,Remaining_Cost[[#This Row],[Cost]])&gt;0,"IGNORE",Remaining_Cost[Kind]&amp;"-"&amp;Remaining_Cost[Resource])</f>
        <v>Upgrade-Elixir</v>
      </c>
      <c r="E51" s="47" t="str">
        <f ca="1">IFERROR(VLOOKUP(Remaining_Cost[[#This Row],[Cost]],Upgrades[],MATCH("C"&amp;MATCH(TRUE,INDEX(Remaining_Cost[[#This Row],[1]:[12]]&lt;&gt;0,),0),Upgrades[#Headers],0),FALSE),"")</f>
        <v/>
      </c>
      <c r="F51" s="48">
        <f ca="1">IF(VALUE(Remaining_Cost[#Headers])&lt;='Construction Dashboard'!$F55,IFERROR(VLOOKUP(Remaining_Cost[[#This Row],[Cost]],Upgrades[],MATCH("C"&amp;Remaining_Cost[#Headers],Upgrades[#Headers],0),FALSE),0)*MAX(0,SUM('Construction Dashboard'!$G55:G55)),0)</f>
        <v>0</v>
      </c>
      <c r="G51" s="48">
        <f ca="1">IF(VALUE(Remaining_Cost[#Headers])&lt;='Construction Dashboard'!$F55,IFERROR(VLOOKUP(Remaining_Cost[[#This Row],[Cost]],Upgrades[],MATCH("C"&amp;Remaining_Cost[#Headers],Upgrades[#Headers],0),FALSE),0)*MAX(0,SUM('Construction Dashboard'!$G55:H55)),0)</f>
        <v>0</v>
      </c>
      <c r="H51" s="48">
        <f ca="1">IF(VALUE(Remaining_Cost[#Headers])&lt;='Construction Dashboard'!$F55,IFERROR(VLOOKUP(Remaining_Cost[[#This Row],[Cost]],Upgrades[],MATCH("C"&amp;Remaining_Cost[#Headers],Upgrades[#Headers],0),FALSE),0)*MAX(0,SUM('Construction Dashboard'!$G55:I55)),0)</f>
        <v>0</v>
      </c>
      <c r="I51" s="48">
        <f ca="1">IF(VALUE(Remaining_Cost[#Headers])&lt;='Construction Dashboard'!$F55,IFERROR(VLOOKUP(Remaining_Cost[[#This Row],[Cost]],Upgrades[],MATCH("C"&amp;Remaining_Cost[#Headers],Upgrades[#Headers],0),FALSE),0)*MAX(0,SUM('Construction Dashboard'!$G55:J55)),0)</f>
        <v>0</v>
      </c>
      <c r="J51" s="48">
        <f ca="1">IF(VALUE(Remaining_Cost[#Headers])&lt;='Construction Dashboard'!$F55,IFERROR(VLOOKUP(Remaining_Cost[[#This Row],[Cost]],Upgrades[],MATCH("C"&amp;Remaining_Cost[#Headers],Upgrades[#Headers],0),FALSE),0)*MAX(0,SUM('Construction Dashboard'!$G55:K55)),0)</f>
        <v>0</v>
      </c>
      <c r="K51" s="48">
        <f ca="1">IF(VALUE(Remaining_Cost[#Headers])&lt;='Construction Dashboard'!$F55,IFERROR(VLOOKUP(Remaining_Cost[[#This Row],[Cost]],Upgrades[],MATCH("C"&amp;Remaining_Cost[#Headers],Upgrades[#Headers],0),FALSE),0)*MAX(0,SUM('Construction Dashboard'!$G55:L55)),0)</f>
        <v>0</v>
      </c>
      <c r="L51" s="48">
        <f ca="1">IF(VALUE(Remaining_Cost[#Headers])&lt;='Construction Dashboard'!$F55,IFERROR(VLOOKUP(Remaining_Cost[[#This Row],[Cost]],Upgrades[],MATCH("C"&amp;Remaining_Cost[#Headers],Upgrades[#Headers],0),FALSE),0)*MAX(0,SUM('Construction Dashboard'!$G55:M55)),0)</f>
        <v>0</v>
      </c>
      <c r="M51" s="48">
        <f ca="1">IF(VALUE(Remaining_Cost[#Headers])&lt;='Construction Dashboard'!$F55,IFERROR(VLOOKUP(Remaining_Cost[[#This Row],[Cost]],Upgrades[],MATCH("C"&amp;Remaining_Cost[#Headers],Upgrades[#Headers],0),FALSE),0)*MAX(0,SUM('Construction Dashboard'!$G55:N55)),0)</f>
        <v>0</v>
      </c>
      <c r="N51" s="48">
        <f ca="1">IF(VALUE(Remaining_Cost[#Headers])&lt;='Construction Dashboard'!$F55,IFERROR(VLOOKUP(Remaining_Cost[[#This Row],[Cost]],Upgrades[],MATCH("C"&amp;Remaining_Cost[#Headers],Upgrades[#Headers],0),FALSE),0)*MAX(0,SUM('Construction Dashboard'!$G55:O55)),0)</f>
        <v>0</v>
      </c>
      <c r="O51" s="48">
        <f ca="1">IF(VALUE(Remaining_Cost[#Headers])&lt;='Construction Dashboard'!$F55,IFERROR(VLOOKUP(Remaining_Cost[[#This Row],[Cost]],Upgrades[],MATCH("C"&amp;Remaining_Cost[#Headers],Upgrades[#Headers],0),FALSE),0)*MAX(0,SUM('Construction Dashboard'!$G55:P55)),0)</f>
        <v>0</v>
      </c>
      <c r="P51" s="48">
        <f ca="1">IF(VALUE(Remaining_Cost[#Headers])&lt;='Construction Dashboard'!$F55,IFERROR(VLOOKUP(Remaining_Cost[[#This Row],[Cost]],Upgrades[],MATCH("C"&amp;Remaining_Cost[#Headers],Upgrades[#Headers],0),FALSE),0)*MAX(0,SUM('Construction Dashboard'!$G55:Q55)),0)</f>
        <v>0</v>
      </c>
      <c r="Q51" s="48">
        <f ca="1">IF(VALUE(Remaining_Cost[#Headers])&lt;='Construction Dashboard'!$F55,IFERROR(VLOOKUP(Remaining_Cost[[#This Row],[Cost]],Upgrades[],MATCH("C"&amp;Remaining_Cost[#Headers],Upgrades[#Headers],0),FALSE),0)*MAX(0,SUM('Construction Dashboard'!$G55:R55)),0)</f>
        <v>0</v>
      </c>
      <c r="R51" s="48">
        <f ca="1">IF(Remaining_Cost[[#This Row],[MatchStr]]="IGNORE",0,SUM(Remaining_Cost[[#This Row],[1]:[12]]))</f>
        <v>0</v>
      </c>
    </row>
    <row r="52" spans="1:18">
      <c r="A52" s="11" t="s">
        <v>85</v>
      </c>
      <c r="B52" s="49" t="str">
        <f>VLOOKUP(Remaining_Cost[[#This Row],[Cost]],Upgrades[],2,FALSE)</f>
        <v>Upgrade</v>
      </c>
      <c r="C52" s="49" t="str">
        <f>VLOOKUP(Remaining_Cost[[#This Row],[Cost]],Upgrades[],3,FALSE)</f>
        <v>Elixir</v>
      </c>
      <c r="D52" s="116" t="str">
        <f>IF(COUNTIF(Skips,Remaining_Cost[[#This Row],[Cost]])&gt;0,"IGNORE",Remaining_Cost[Kind]&amp;"-"&amp;Remaining_Cost[Resource])</f>
        <v>Upgrade-Elixir</v>
      </c>
      <c r="E52" s="47" t="str">
        <f ca="1">IFERROR(VLOOKUP(Remaining_Cost[[#This Row],[Cost]],Upgrades[],MATCH("C"&amp;MATCH(TRUE,INDEX(Remaining_Cost[[#This Row],[1]:[12]]&lt;&gt;0,),0),Upgrades[#Headers],0),FALSE),"")</f>
        <v/>
      </c>
      <c r="F52" s="48">
        <f ca="1">IF(VALUE(Remaining_Cost[#Headers])&lt;='Construction Dashboard'!$F56,IFERROR(VLOOKUP(Remaining_Cost[[#This Row],[Cost]],Upgrades[],MATCH("C"&amp;Remaining_Cost[#Headers],Upgrades[#Headers],0),FALSE),0)*MAX(0,SUM('Construction Dashboard'!$G56:G56)),0)</f>
        <v>0</v>
      </c>
      <c r="G52" s="48">
        <f ca="1">IF(VALUE(Remaining_Cost[#Headers])&lt;='Construction Dashboard'!$F56,IFERROR(VLOOKUP(Remaining_Cost[[#This Row],[Cost]],Upgrades[],MATCH("C"&amp;Remaining_Cost[#Headers],Upgrades[#Headers],0),FALSE),0)*MAX(0,SUM('Construction Dashboard'!$G56:H56)),0)</f>
        <v>0</v>
      </c>
      <c r="H52" s="48">
        <f ca="1">IF(VALUE(Remaining_Cost[#Headers])&lt;='Construction Dashboard'!$F56,IFERROR(VLOOKUP(Remaining_Cost[[#This Row],[Cost]],Upgrades[],MATCH("C"&amp;Remaining_Cost[#Headers],Upgrades[#Headers],0),FALSE),0)*MAX(0,SUM('Construction Dashboard'!$G56:I56)),0)</f>
        <v>0</v>
      </c>
      <c r="I52" s="48">
        <f ca="1">IF(VALUE(Remaining_Cost[#Headers])&lt;='Construction Dashboard'!$F56,IFERROR(VLOOKUP(Remaining_Cost[[#This Row],[Cost]],Upgrades[],MATCH("C"&amp;Remaining_Cost[#Headers],Upgrades[#Headers],0),FALSE),0)*MAX(0,SUM('Construction Dashboard'!$G56:J56)),0)</f>
        <v>0</v>
      </c>
      <c r="J52" s="48">
        <f ca="1">IF(VALUE(Remaining_Cost[#Headers])&lt;='Construction Dashboard'!$F56,IFERROR(VLOOKUP(Remaining_Cost[[#This Row],[Cost]],Upgrades[],MATCH("C"&amp;Remaining_Cost[#Headers],Upgrades[#Headers],0),FALSE),0)*MAX(0,SUM('Construction Dashboard'!$G56:K56)),0)</f>
        <v>0</v>
      </c>
      <c r="K52" s="48">
        <f ca="1">IF(VALUE(Remaining_Cost[#Headers])&lt;='Construction Dashboard'!$F56,IFERROR(VLOOKUP(Remaining_Cost[[#This Row],[Cost]],Upgrades[],MATCH("C"&amp;Remaining_Cost[#Headers],Upgrades[#Headers],0),FALSE),0)*MAX(0,SUM('Construction Dashboard'!$G56:L56)),0)</f>
        <v>0</v>
      </c>
      <c r="L52" s="48">
        <f ca="1">IF(VALUE(Remaining_Cost[#Headers])&lt;='Construction Dashboard'!$F56,IFERROR(VLOOKUP(Remaining_Cost[[#This Row],[Cost]],Upgrades[],MATCH("C"&amp;Remaining_Cost[#Headers],Upgrades[#Headers],0),FALSE),0)*MAX(0,SUM('Construction Dashboard'!$G56:M56)),0)</f>
        <v>0</v>
      </c>
      <c r="M52" s="48">
        <f ca="1">IF(VALUE(Remaining_Cost[#Headers])&lt;='Construction Dashboard'!$F56,IFERROR(VLOOKUP(Remaining_Cost[[#This Row],[Cost]],Upgrades[],MATCH("C"&amp;Remaining_Cost[#Headers],Upgrades[#Headers],0),FALSE),0)*MAX(0,SUM('Construction Dashboard'!$G56:N56)),0)</f>
        <v>0</v>
      </c>
      <c r="N52" s="48">
        <f ca="1">IF(VALUE(Remaining_Cost[#Headers])&lt;='Construction Dashboard'!$F56,IFERROR(VLOOKUP(Remaining_Cost[[#This Row],[Cost]],Upgrades[],MATCH("C"&amp;Remaining_Cost[#Headers],Upgrades[#Headers],0),FALSE),0)*MAX(0,SUM('Construction Dashboard'!$G56:O56)),0)</f>
        <v>0</v>
      </c>
      <c r="O52" s="48">
        <f ca="1">IF(VALUE(Remaining_Cost[#Headers])&lt;='Construction Dashboard'!$F56,IFERROR(VLOOKUP(Remaining_Cost[[#This Row],[Cost]],Upgrades[],MATCH("C"&amp;Remaining_Cost[#Headers],Upgrades[#Headers],0),FALSE),0)*MAX(0,SUM('Construction Dashboard'!$G56:P56)),0)</f>
        <v>0</v>
      </c>
      <c r="P52" s="48">
        <f ca="1">IF(VALUE(Remaining_Cost[#Headers])&lt;='Construction Dashboard'!$F56,IFERROR(VLOOKUP(Remaining_Cost[[#This Row],[Cost]],Upgrades[],MATCH("C"&amp;Remaining_Cost[#Headers],Upgrades[#Headers],0),FALSE),0)*MAX(0,SUM('Construction Dashboard'!$G56:Q56)),0)</f>
        <v>0</v>
      </c>
      <c r="Q52" s="48">
        <f ca="1">IF(VALUE(Remaining_Cost[#Headers])&lt;='Construction Dashboard'!$F56,IFERROR(VLOOKUP(Remaining_Cost[[#This Row],[Cost]],Upgrades[],MATCH("C"&amp;Remaining_Cost[#Headers],Upgrades[#Headers],0),FALSE),0)*MAX(0,SUM('Construction Dashboard'!$G56:R56)),0)</f>
        <v>0</v>
      </c>
      <c r="R52" s="48">
        <f ca="1">IF(Remaining_Cost[[#This Row],[MatchStr]]="IGNORE",0,SUM(Remaining_Cost[[#This Row],[1]:[12]]))</f>
        <v>0</v>
      </c>
    </row>
    <row r="53" spans="1:18">
      <c r="A53" s="11" t="s">
        <v>86</v>
      </c>
      <c r="B53" s="49" t="str">
        <f>VLOOKUP(Remaining_Cost[[#This Row],[Cost]],Upgrades[],2,FALSE)</f>
        <v>Upgrade</v>
      </c>
      <c r="C53" s="49" t="str">
        <f>VLOOKUP(Remaining_Cost[[#This Row],[Cost]],Upgrades[],3,FALSE)</f>
        <v>Elixir</v>
      </c>
      <c r="D53" s="116" t="str">
        <f>IF(COUNTIF(Skips,Remaining_Cost[[#This Row],[Cost]])&gt;0,"IGNORE",Remaining_Cost[Kind]&amp;"-"&amp;Remaining_Cost[Resource])</f>
        <v>Upgrade-Elixir</v>
      </c>
      <c r="E53" s="47" t="str">
        <f ca="1">IFERROR(VLOOKUP(Remaining_Cost[[#This Row],[Cost]],Upgrades[],MATCH("C"&amp;MATCH(TRUE,INDEX(Remaining_Cost[[#This Row],[1]:[12]]&lt;&gt;0,),0),Upgrades[#Headers],0),FALSE),"")</f>
        <v/>
      </c>
      <c r="F53" s="48">
        <f ca="1">IF(VALUE(Remaining_Cost[#Headers])&lt;='Construction Dashboard'!$F57,IFERROR(VLOOKUP(Remaining_Cost[[#This Row],[Cost]],Upgrades[],MATCH("C"&amp;Remaining_Cost[#Headers],Upgrades[#Headers],0),FALSE),0)*MAX(0,SUM('Construction Dashboard'!$G57:G57)),0)</f>
        <v>0</v>
      </c>
      <c r="G53" s="48">
        <f ca="1">IF(VALUE(Remaining_Cost[#Headers])&lt;='Construction Dashboard'!$F57,IFERROR(VLOOKUP(Remaining_Cost[[#This Row],[Cost]],Upgrades[],MATCH("C"&amp;Remaining_Cost[#Headers],Upgrades[#Headers],0),FALSE),0)*MAX(0,SUM('Construction Dashboard'!$G57:H57)),0)</f>
        <v>0</v>
      </c>
      <c r="H53" s="48">
        <f ca="1">IF(VALUE(Remaining_Cost[#Headers])&lt;='Construction Dashboard'!$F57,IFERROR(VLOOKUP(Remaining_Cost[[#This Row],[Cost]],Upgrades[],MATCH("C"&amp;Remaining_Cost[#Headers],Upgrades[#Headers],0),FALSE),0)*MAX(0,SUM('Construction Dashboard'!$G57:I57)),0)</f>
        <v>0</v>
      </c>
      <c r="I53" s="48">
        <f ca="1">IF(VALUE(Remaining_Cost[#Headers])&lt;='Construction Dashboard'!$F57,IFERROR(VLOOKUP(Remaining_Cost[[#This Row],[Cost]],Upgrades[],MATCH("C"&amp;Remaining_Cost[#Headers],Upgrades[#Headers],0),FALSE),0)*MAX(0,SUM('Construction Dashboard'!$G57:J57)),0)</f>
        <v>0</v>
      </c>
      <c r="J53" s="48">
        <f ca="1">IF(VALUE(Remaining_Cost[#Headers])&lt;='Construction Dashboard'!$F57,IFERROR(VLOOKUP(Remaining_Cost[[#This Row],[Cost]],Upgrades[],MATCH("C"&amp;Remaining_Cost[#Headers],Upgrades[#Headers],0),FALSE),0)*MAX(0,SUM('Construction Dashboard'!$G57:K57)),0)</f>
        <v>0</v>
      </c>
      <c r="K53" s="48">
        <f ca="1">IF(VALUE(Remaining_Cost[#Headers])&lt;='Construction Dashboard'!$F57,IFERROR(VLOOKUP(Remaining_Cost[[#This Row],[Cost]],Upgrades[],MATCH("C"&amp;Remaining_Cost[#Headers],Upgrades[#Headers],0),FALSE),0)*MAX(0,SUM('Construction Dashboard'!$G57:L57)),0)</f>
        <v>0</v>
      </c>
      <c r="L53" s="48">
        <f ca="1">IF(VALUE(Remaining_Cost[#Headers])&lt;='Construction Dashboard'!$F57,IFERROR(VLOOKUP(Remaining_Cost[[#This Row],[Cost]],Upgrades[],MATCH("C"&amp;Remaining_Cost[#Headers],Upgrades[#Headers],0),FALSE),0)*MAX(0,SUM('Construction Dashboard'!$G57:M57)),0)</f>
        <v>0</v>
      </c>
      <c r="M53" s="48">
        <f ca="1">IF(VALUE(Remaining_Cost[#Headers])&lt;='Construction Dashboard'!$F57,IFERROR(VLOOKUP(Remaining_Cost[[#This Row],[Cost]],Upgrades[],MATCH("C"&amp;Remaining_Cost[#Headers],Upgrades[#Headers],0),FALSE),0)*MAX(0,SUM('Construction Dashboard'!$G57:N57)),0)</f>
        <v>0</v>
      </c>
      <c r="N53" s="48">
        <f ca="1">IF(VALUE(Remaining_Cost[#Headers])&lt;='Construction Dashboard'!$F57,IFERROR(VLOOKUP(Remaining_Cost[[#This Row],[Cost]],Upgrades[],MATCH("C"&amp;Remaining_Cost[#Headers],Upgrades[#Headers],0),FALSE),0)*MAX(0,SUM('Construction Dashboard'!$G57:O57)),0)</f>
        <v>0</v>
      </c>
      <c r="O53" s="48">
        <f ca="1">IF(VALUE(Remaining_Cost[#Headers])&lt;='Construction Dashboard'!$F57,IFERROR(VLOOKUP(Remaining_Cost[[#This Row],[Cost]],Upgrades[],MATCH("C"&amp;Remaining_Cost[#Headers],Upgrades[#Headers],0),FALSE),0)*MAX(0,SUM('Construction Dashboard'!$G57:P57)),0)</f>
        <v>0</v>
      </c>
      <c r="P53" s="48">
        <f ca="1">IF(VALUE(Remaining_Cost[#Headers])&lt;='Construction Dashboard'!$F57,IFERROR(VLOOKUP(Remaining_Cost[[#This Row],[Cost]],Upgrades[],MATCH("C"&amp;Remaining_Cost[#Headers],Upgrades[#Headers],0),FALSE),0)*MAX(0,SUM('Construction Dashboard'!$G57:Q57)),0)</f>
        <v>0</v>
      </c>
      <c r="Q53" s="48">
        <f ca="1">IF(VALUE(Remaining_Cost[#Headers])&lt;='Construction Dashboard'!$F57,IFERROR(VLOOKUP(Remaining_Cost[[#This Row],[Cost]],Upgrades[],MATCH("C"&amp;Remaining_Cost[#Headers],Upgrades[#Headers],0),FALSE),0)*MAX(0,SUM('Construction Dashboard'!$G57:R57)),0)</f>
        <v>0</v>
      </c>
      <c r="R53" s="48">
        <f ca="1">IF(Remaining_Cost[[#This Row],[MatchStr]]="IGNORE",0,SUM(Remaining_Cost[[#This Row],[1]:[12]]))</f>
        <v>0</v>
      </c>
    </row>
    <row r="54" spans="1:18">
      <c r="A54" s="11" t="s">
        <v>87</v>
      </c>
      <c r="B54" s="49" t="str">
        <f>VLOOKUP(Remaining_Cost[[#This Row],[Cost]],Upgrades[],2,FALSE)</f>
        <v>Upgrade</v>
      </c>
      <c r="C54" s="49" t="str">
        <f>VLOOKUP(Remaining_Cost[[#This Row],[Cost]],Upgrades[],3,FALSE)</f>
        <v>Elixir</v>
      </c>
      <c r="D54" s="116" t="str">
        <f>IF(COUNTIF(Skips,Remaining_Cost[[#This Row],[Cost]])&gt;0,"IGNORE",Remaining_Cost[Kind]&amp;"-"&amp;Remaining_Cost[Resource])</f>
        <v>IGNORE</v>
      </c>
      <c r="E54" s="47">
        <f ca="1">IFERROR(VLOOKUP(Remaining_Cost[[#This Row],[Cost]],Upgrades[],MATCH("C"&amp;MATCH(TRUE,INDEX(Remaining_Cost[[#This Row],[1]:[12]]&lt;&gt;0,),0),Upgrades[#Headers],0),FALSE),"")</f>
        <v>450000</v>
      </c>
      <c r="F54" s="48">
        <f ca="1">IF(VALUE(Remaining_Cost[#Headers])&lt;='Construction Dashboard'!$F58,IFERROR(VLOOKUP(Remaining_Cost[[#This Row],[Cost]],Upgrades[],MATCH("C"&amp;Remaining_Cost[#Headers],Upgrades[#Headers],0),FALSE),0)*MAX(0,SUM('Construction Dashboard'!$G58:G58)),0)</f>
        <v>0</v>
      </c>
      <c r="G54" s="48">
        <f ca="1">IF(VALUE(Remaining_Cost[#Headers])&lt;='Construction Dashboard'!$F58,IFERROR(VLOOKUP(Remaining_Cost[[#This Row],[Cost]],Upgrades[],MATCH("C"&amp;Remaining_Cost[#Headers],Upgrades[#Headers],0),FALSE),0)*MAX(0,SUM('Construction Dashboard'!$G58:H58)),0)</f>
        <v>0</v>
      </c>
      <c r="H54" s="48">
        <f ca="1">IF(VALUE(Remaining_Cost[#Headers])&lt;='Construction Dashboard'!$F58,IFERROR(VLOOKUP(Remaining_Cost[[#This Row],[Cost]],Upgrades[],MATCH("C"&amp;Remaining_Cost[#Headers],Upgrades[#Headers],0),FALSE),0)*MAX(0,SUM('Construction Dashboard'!$G58:I58)),0)</f>
        <v>450000</v>
      </c>
      <c r="I54" s="48">
        <f ca="1">IF(VALUE(Remaining_Cost[#Headers])&lt;='Construction Dashboard'!$F58,IFERROR(VLOOKUP(Remaining_Cost[[#This Row],[Cost]],Upgrades[],MATCH("C"&amp;Remaining_Cost[#Headers],Upgrades[#Headers],0),FALSE),0)*MAX(0,SUM('Construction Dashboard'!$G58:J58)),0)</f>
        <v>1350000</v>
      </c>
      <c r="J54" s="48">
        <f ca="1">IF(VALUE(Remaining_Cost[#Headers])&lt;='Construction Dashboard'!$F58,IFERROR(VLOOKUP(Remaining_Cost[[#This Row],[Cost]],Upgrades[],MATCH("C"&amp;Remaining_Cost[#Headers],Upgrades[#Headers],0),FALSE),0)*MAX(0,SUM('Construction Dashboard'!$G58:K58)),0)</f>
        <v>0</v>
      </c>
      <c r="K54" s="48">
        <f ca="1">IF(VALUE(Remaining_Cost[#Headers])&lt;='Construction Dashboard'!$F58,IFERROR(VLOOKUP(Remaining_Cost[[#This Row],[Cost]],Upgrades[],MATCH("C"&amp;Remaining_Cost[#Headers],Upgrades[#Headers],0),FALSE),0)*MAX(0,SUM('Construction Dashboard'!$G58:L58)),0)</f>
        <v>0</v>
      </c>
      <c r="L54" s="48">
        <f ca="1">IF(VALUE(Remaining_Cost[#Headers])&lt;='Construction Dashboard'!$F58,IFERROR(VLOOKUP(Remaining_Cost[[#This Row],[Cost]],Upgrades[],MATCH("C"&amp;Remaining_Cost[#Headers],Upgrades[#Headers],0),FALSE),0)*MAX(0,SUM('Construction Dashboard'!$G58:M58)),0)</f>
        <v>0</v>
      </c>
      <c r="M54" s="48">
        <f ca="1">IF(VALUE(Remaining_Cost[#Headers])&lt;='Construction Dashboard'!$F58,IFERROR(VLOOKUP(Remaining_Cost[[#This Row],[Cost]],Upgrades[],MATCH("C"&amp;Remaining_Cost[#Headers],Upgrades[#Headers],0),FALSE),0)*MAX(0,SUM('Construction Dashboard'!$G58:N58)),0)</f>
        <v>0</v>
      </c>
      <c r="N54" s="48">
        <f ca="1">IF(VALUE(Remaining_Cost[#Headers])&lt;='Construction Dashboard'!$F58,IFERROR(VLOOKUP(Remaining_Cost[[#This Row],[Cost]],Upgrades[],MATCH("C"&amp;Remaining_Cost[#Headers],Upgrades[#Headers],0),FALSE),0)*MAX(0,SUM('Construction Dashboard'!$G58:O58)),0)</f>
        <v>0</v>
      </c>
      <c r="O54" s="48">
        <f ca="1">IF(VALUE(Remaining_Cost[#Headers])&lt;='Construction Dashboard'!$F58,IFERROR(VLOOKUP(Remaining_Cost[[#This Row],[Cost]],Upgrades[],MATCH("C"&amp;Remaining_Cost[#Headers],Upgrades[#Headers],0),FALSE),0)*MAX(0,SUM('Construction Dashboard'!$G58:P58)),0)</f>
        <v>0</v>
      </c>
      <c r="P54" s="48">
        <f ca="1">IF(VALUE(Remaining_Cost[#Headers])&lt;='Construction Dashboard'!$F58,IFERROR(VLOOKUP(Remaining_Cost[[#This Row],[Cost]],Upgrades[],MATCH("C"&amp;Remaining_Cost[#Headers],Upgrades[#Headers],0),FALSE),0)*MAX(0,SUM('Construction Dashboard'!$G58:Q58)),0)</f>
        <v>0</v>
      </c>
      <c r="Q54" s="48">
        <f ca="1">IF(VALUE(Remaining_Cost[#Headers])&lt;='Construction Dashboard'!$F58,IFERROR(VLOOKUP(Remaining_Cost[[#This Row],[Cost]],Upgrades[],MATCH("C"&amp;Remaining_Cost[#Headers],Upgrades[#Headers],0),FALSE),0)*MAX(0,SUM('Construction Dashboard'!$G58:R58)),0)</f>
        <v>0</v>
      </c>
      <c r="R54" s="48">
        <f>IF(Remaining_Cost[[#This Row],[MatchStr]]="IGNORE",0,SUM(Remaining_Cost[[#This Row],[1]:[12]]))</f>
        <v>0</v>
      </c>
    </row>
    <row r="55" spans="1:18">
      <c r="A55" s="11" t="s">
        <v>88</v>
      </c>
      <c r="B55" s="49" t="str">
        <f>VLOOKUP(Remaining_Cost[[#This Row],[Cost]],Upgrades[],2,FALSE)</f>
        <v>Upgrade</v>
      </c>
      <c r="C55" s="49" t="str">
        <f>VLOOKUP(Remaining_Cost[[#This Row],[Cost]],Upgrades[],3,FALSE)</f>
        <v>Elixir</v>
      </c>
      <c r="D55" s="116" t="str">
        <f>IF(COUNTIF(Skips,Remaining_Cost[[#This Row],[Cost]])&gt;0,"IGNORE",Remaining_Cost[Kind]&amp;"-"&amp;Remaining_Cost[Resource])</f>
        <v>Upgrade-Elixir</v>
      </c>
      <c r="E55" s="47" t="str">
        <f ca="1">IFERROR(VLOOKUP(Remaining_Cost[[#This Row],[Cost]],Upgrades[],MATCH("C"&amp;MATCH(TRUE,INDEX(Remaining_Cost[[#This Row],[1]:[12]]&lt;&gt;0,),0),Upgrades[#Headers],0),FALSE),"")</f>
        <v/>
      </c>
      <c r="F55" s="48">
        <f ca="1">IF(VALUE(Remaining_Cost[#Headers])&lt;='Construction Dashboard'!$F59,IFERROR(VLOOKUP(Remaining_Cost[[#This Row],[Cost]],Upgrades[],MATCH("C"&amp;Remaining_Cost[#Headers],Upgrades[#Headers],0),FALSE),0)*MAX(0,SUM('Construction Dashboard'!$G59:G59)),0)</f>
        <v>0</v>
      </c>
      <c r="G55" s="48">
        <f ca="1">IF(VALUE(Remaining_Cost[#Headers])&lt;='Construction Dashboard'!$F59,IFERROR(VLOOKUP(Remaining_Cost[[#This Row],[Cost]],Upgrades[],MATCH("C"&amp;Remaining_Cost[#Headers],Upgrades[#Headers],0),FALSE),0)*MAX(0,SUM('Construction Dashboard'!$G59:H59)),0)</f>
        <v>0</v>
      </c>
      <c r="H55" s="48">
        <f ca="1">IF(VALUE(Remaining_Cost[#Headers])&lt;='Construction Dashboard'!$F59,IFERROR(VLOOKUP(Remaining_Cost[[#This Row],[Cost]],Upgrades[],MATCH("C"&amp;Remaining_Cost[#Headers],Upgrades[#Headers],0),FALSE),0)*MAX(0,SUM('Construction Dashboard'!$G59:I59)),0)</f>
        <v>0</v>
      </c>
      <c r="I55" s="48">
        <f ca="1">IF(VALUE(Remaining_Cost[#Headers])&lt;='Construction Dashboard'!$F59,IFERROR(VLOOKUP(Remaining_Cost[[#This Row],[Cost]],Upgrades[],MATCH("C"&amp;Remaining_Cost[#Headers],Upgrades[#Headers],0),FALSE),0)*MAX(0,SUM('Construction Dashboard'!$G59:J59)),0)</f>
        <v>0</v>
      </c>
      <c r="J55" s="48">
        <f ca="1">IF(VALUE(Remaining_Cost[#Headers])&lt;='Construction Dashboard'!$F59,IFERROR(VLOOKUP(Remaining_Cost[[#This Row],[Cost]],Upgrades[],MATCH("C"&amp;Remaining_Cost[#Headers],Upgrades[#Headers],0),FALSE),0)*MAX(0,SUM('Construction Dashboard'!$G59:K59)),0)</f>
        <v>0</v>
      </c>
      <c r="K55" s="48">
        <f ca="1">IF(VALUE(Remaining_Cost[#Headers])&lt;='Construction Dashboard'!$F59,IFERROR(VLOOKUP(Remaining_Cost[[#This Row],[Cost]],Upgrades[],MATCH("C"&amp;Remaining_Cost[#Headers],Upgrades[#Headers],0),FALSE),0)*MAX(0,SUM('Construction Dashboard'!$G59:L59)),0)</f>
        <v>0</v>
      </c>
      <c r="L55" s="48">
        <f ca="1">IF(VALUE(Remaining_Cost[#Headers])&lt;='Construction Dashboard'!$F59,IFERROR(VLOOKUP(Remaining_Cost[[#This Row],[Cost]],Upgrades[],MATCH("C"&amp;Remaining_Cost[#Headers],Upgrades[#Headers],0),FALSE),0)*MAX(0,SUM('Construction Dashboard'!$G59:M59)),0)</f>
        <v>0</v>
      </c>
      <c r="M55" s="48">
        <f ca="1">IF(VALUE(Remaining_Cost[#Headers])&lt;='Construction Dashboard'!$F59,IFERROR(VLOOKUP(Remaining_Cost[[#This Row],[Cost]],Upgrades[],MATCH("C"&amp;Remaining_Cost[#Headers],Upgrades[#Headers],0),FALSE),0)*MAX(0,SUM('Construction Dashboard'!$G59:N59)),0)</f>
        <v>0</v>
      </c>
      <c r="N55" s="48">
        <f ca="1">IF(VALUE(Remaining_Cost[#Headers])&lt;='Construction Dashboard'!$F59,IFERROR(VLOOKUP(Remaining_Cost[[#This Row],[Cost]],Upgrades[],MATCH("C"&amp;Remaining_Cost[#Headers],Upgrades[#Headers],0),FALSE),0)*MAX(0,SUM('Construction Dashboard'!$G59:O59)),0)</f>
        <v>0</v>
      </c>
      <c r="O55" s="48">
        <f ca="1">IF(VALUE(Remaining_Cost[#Headers])&lt;='Construction Dashboard'!$F59,IFERROR(VLOOKUP(Remaining_Cost[[#This Row],[Cost]],Upgrades[],MATCH("C"&amp;Remaining_Cost[#Headers],Upgrades[#Headers],0),FALSE),0)*MAX(0,SUM('Construction Dashboard'!$G59:P59)),0)</f>
        <v>0</v>
      </c>
      <c r="P55" s="48">
        <f ca="1">IF(VALUE(Remaining_Cost[#Headers])&lt;='Construction Dashboard'!$F59,IFERROR(VLOOKUP(Remaining_Cost[[#This Row],[Cost]],Upgrades[],MATCH("C"&amp;Remaining_Cost[#Headers],Upgrades[#Headers],0),FALSE),0)*MAX(0,SUM('Construction Dashboard'!$G59:Q59)),0)</f>
        <v>0</v>
      </c>
      <c r="Q55" s="48">
        <f ca="1">IF(VALUE(Remaining_Cost[#Headers])&lt;='Construction Dashboard'!$F59,IFERROR(VLOOKUP(Remaining_Cost[[#This Row],[Cost]],Upgrades[],MATCH("C"&amp;Remaining_Cost[#Headers],Upgrades[#Headers],0),FALSE),0)*MAX(0,SUM('Construction Dashboard'!$G59:R59)),0)</f>
        <v>0</v>
      </c>
      <c r="R55" s="48">
        <f ca="1">IF(Remaining_Cost[[#This Row],[MatchStr]]="IGNORE",0,SUM(Remaining_Cost[[#This Row],[1]:[12]]))</f>
        <v>0</v>
      </c>
    </row>
    <row r="56" spans="1:18">
      <c r="A56" s="11" t="s">
        <v>89</v>
      </c>
      <c r="B56" s="49" t="str">
        <f>VLOOKUP(Remaining_Cost[[#This Row],[Cost]],Upgrades[],2,FALSE)</f>
        <v>Upgrade</v>
      </c>
      <c r="C56" s="49" t="str">
        <f>VLOOKUP(Remaining_Cost[[#This Row],[Cost]],Upgrades[],3,FALSE)</f>
        <v>Elixir</v>
      </c>
      <c r="D56" s="116" t="str">
        <f>IF(COUNTIF(Skips,Remaining_Cost[[#This Row],[Cost]])&gt;0,"IGNORE",Remaining_Cost[Kind]&amp;"-"&amp;Remaining_Cost[Resource])</f>
        <v>Upgrade-Elixir</v>
      </c>
      <c r="E56" s="47" t="str">
        <f ca="1">IFERROR(VLOOKUP(Remaining_Cost[[#This Row],[Cost]],Upgrades[],MATCH("C"&amp;MATCH(TRUE,INDEX(Remaining_Cost[[#This Row],[1]:[12]]&lt;&gt;0,),0),Upgrades[#Headers],0),FALSE),"")</f>
        <v/>
      </c>
      <c r="F56" s="48">
        <f ca="1">IF(VALUE(Remaining_Cost[#Headers])&lt;='Construction Dashboard'!$F60,IFERROR(VLOOKUP(Remaining_Cost[[#This Row],[Cost]],Upgrades[],MATCH("C"&amp;Remaining_Cost[#Headers],Upgrades[#Headers],0),FALSE),0)*MAX(0,SUM('Construction Dashboard'!$G60:G60)),0)</f>
        <v>0</v>
      </c>
      <c r="G56" s="48">
        <f ca="1">IF(VALUE(Remaining_Cost[#Headers])&lt;='Construction Dashboard'!$F60,IFERROR(VLOOKUP(Remaining_Cost[[#This Row],[Cost]],Upgrades[],MATCH("C"&amp;Remaining_Cost[#Headers],Upgrades[#Headers],0),FALSE),0)*MAX(0,SUM('Construction Dashboard'!$G60:H60)),0)</f>
        <v>0</v>
      </c>
      <c r="H56" s="48">
        <f ca="1">IF(VALUE(Remaining_Cost[#Headers])&lt;='Construction Dashboard'!$F60,IFERROR(VLOOKUP(Remaining_Cost[[#This Row],[Cost]],Upgrades[],MATCH("C"&amp;Remaining_Cost[#Headers],Upgrades[#Headers],0),FALSE),0)*MAX(0,SUM('Construction Dashboard'!$G60:I60)),0)</f>
        <v>0</v>
      </c>
      <c r="I56" s="48">
        <f ca="1">IF(VALUE(Remaining_Cost[#Headers])&lt;='Construction Dashboard'!$F60,IFERROR(VLOOKUP(Remaining_Cost[[#This Row],[Cost]],Upgrades[],MATCH("C"&amp;Remaining_Cost[#Headers],Upgrades[#Headers],0),FALSE),0)*MAX(0,SUM('Construction Dashboard'!$G60:J60)),0)</f>
        <v>0</v>
      </c>
      <c r="J56" s="48">
        <f ca="1">IF(VALUE(Remaining_Cost[#Headers])&lt;='Construction Dashboard'!$F60,IFERROR(VLOOKUP(Remaining_Cost[[#This Row],[Cost]],Upgrades[],MATCH("C"&amp;Remaining_Cost[#Headers],Upgrades[#Headers],0),FALSE),0)*MAX(0,SUM('Construction Dashboard'!$G60:K60)),0)</f>
        <v>0</v>
      </c>
      <c r="K56" s="48">
        <f ca="1">IF(VALUE(Remaining_Cost[#Headers])&lt;='Construction Dashboard'!$F60,IFERROR(VLOOKUP(Remaining_Cost[[#This Row],[Cost]],Upgrades[],MATCH("C"&amp;Remaining_Cost[#Headers],Upgrades[#Headers],0),FALSE),0)*MAX(0,SUM('Construction Dashboard'!$G60:L60)),0)</f>
        <v>0</v>
      </c>
      <c r="L56" s="48">
        <f ca="1">IF(VALUE(Remaining_Cost[#Headers])&lt;='Construction Dashboard'!$F60,IFERROR(VLOOKUP(Remaining_Cost[[#This Row],[Cost]],Upgrades[],MATCH("C"&amp;Remaining_Cost[#Headers],Upgrades[#Headers],0),FALSE),0)*MAX(0,SUM('Construction Dashboard'!$G60:M60)),0)</f>
        <v>0</v>
      </c>
      <c r="M56" s="48">
        <f ca="1">IF(VALUE(Remaining_Cost[#Headers])&lt;='Construction Dashboard'!$F60,IFERROR(VLOOKUP(Remaining_Cost[[#This Row],[Cost]],Upgrades[],MATCH("C"&amp;Remaining_Cost[#Headers],Upgrades[#Headers],0),FALSE),0)*MAX(0,SUM('Construction Dashboard'!$G60:N60)),0)</f>
        <v>0</v>
      </c>
      <c r="N56" s="48">
        <f ca="1">IF(VALUE(Remaining_Cost[#Headers])&lt;='Construction Dashboard'!$F60,IFERROR(VLOOKUP(Remaining_Cost[[#This Row],[Cost]],Upgrades[],MATCH("C"&amp;Remaining_Cost[#Headers],Upgrades[#Headers],0),FALSE),0)*MAX(0,SUM('Construction Dashboard'!$G60:O60)),0)</f>
        <v>0</v>
      </c>
      <c r="O56" s="48">
        <f ca="1">IF(VALUE(Remaining_Cost[#Headers])&lt;='Construction Dashboard'!$F60,IFERROR(VLOOKUP(Remaining_Cost[[#This Row],[Cost]],Upgrades[],MATCH("C"&amp;Remaining_Cost[#Headers],Upgrades[#Headers],0),FALSE),0)*MAX(0,SUM('Construction Dashboard'!$G60:P60)),0)</f>
        <v>0</v>
      </c>
      <c r="P56" s="48">
        <f ca="1">IF(VALUE(Remaining_Cost[#Headers])&lt;='Construction Dashboard'!$F60,IFERROR(VLOOKUP(Remaining_Cost[[#This Row],[Cost]],Upgrades[],MATCH("C"&amp;Remaining_Cost[#Headers],Upgrades[#Headers],0),FALSE),0)*MAX(0,SUM('Construction Dashboard'!$G60:Q60)),0)</f>
        <v>0</v>
      </c>
      <c r="Q56" s="48">
        <f ca="1">IF(VALUE(Remaining_Cost[#Headers])&lt;='Construction Dashboard'!$F60,IFERROR(VLOOKUP(Remaining_Cost[[#This Row],[Cost]],Upgrades[],MATCH("C"&amp;Remaining_Cost[#Headers],Upgrades[#Headers],0),FALSE),0)*MAX(0,SUM('Construction Dashboard'!$G60:R60)),0)</f>
        <v>0</v>
      </c>
      <c r="R56" s="48">
        <f ca="1">IF(Remaining_Cost[[#This Row],[MatchStr]]="IGNORE",0,SUM(Remaining_Cost[[#This Row],[1]:[12]]))</f>
        <v>0</v>
      </c>
    </row>
    <row r="57" spans="1:18">
      <c r="A57" s="11" t="s">
        <v>90</v>
      </c>
      <c r="B57" s="49" t="str">
        <f>VLOOKUP(Remaining_Cost[[#This Row],[Cost]],Upgrades[],2,FALSE)</f>
        <v>Upgrade</v>
      </c>
      <c r="C57" s="49" t="str">
        <f>VLOOKUP(Remaining_Cost[[#This Row],[Cost]],Upgrades[],3,FALSE)</f>
        <v>Elixir</v>
      </c>
      <c r="D57" s="116" t="str">
        <f>IF(COUNTIF(Skips,Remaining_Cost[[#This Row],[Cost]])&gt;0,"IGNORE",Remaining_Cost[Kind]&amp;"-"&amp;Remaining_Cost[Resource])</f>
        <v>Upgrade-Elixir</v>
      </c>
      <c r="E57" s="47" t="str">
        <f ca="1">IFERROR(VLOOKUP(Remaining_Cost[[#This Row],[Cost]],Upgrades[],MATCH("C"&amp;MATCH(TRUE,INDEX(Remaining_Cost[[#This Row],[1]:[12]]&lt;&gt;0,),0),Upgrades[#Headers],0),FALSE),"")</f>
        <v/>
      </c>
      <c r="F57" s="48">
        <f ca="1">IF(VALUE(Remaining_Cost[#Headers])&lt;='Construction Dashboard'!$F61,IFERROR(VLOOKUP(Remaining_Cost[[#This Row],[Cost]],Upgrades[],MATCH("C"&amp;Remaining_Cost[#Headers],Upgrades[#Headers],0),FALSE),0)*MAX(0,SUM('Construction Dashboard'!$G61:G61)),0)</f>
        <v>0</v>
      </c>
      <c r="G57" s="48">
        <f ca="1">IF(VALUE(Remaining_Cost[#Headers])&lt;='Construction Dashboard'!$F61,IFERROR(VLOOKUP(Remaining_Cost[[#This Row],[Cost]],Upgrades[],MATCH("C"&amp;Remaining_Cost[#Headers],Upgrades[#Headers],0),FALSE),0)*MAX(0,SUM('Construction Dashboard'!$G61:H61)),0)</f>
        <v>0</v>
      </c>
      <c r="H57" s="48">
        <f ca="1">IF(VALUE(Remaining_Cost[#Headers])&lt;='Construction Dashboard'!$F61,IFERROR(VLOOKUP(Remaining_Cost[[#This Row],[Cost]],Upgrades[],MATCH("C"&amp;Remaining_Cost[#Headers],Upgrades[#Headers],0),FALSE),0)*MAX(0,SUM('Construction Dashboard'!$G61:I61)),0)</f>
        <v>0</v>
      </c>
      <c r="I57" s="48">
        <f ca="1">IF(VALUE(Remaining_Cost[#Headers])&lt;='Construction Dashboard'!$F61,IFERROR(VLOOKUP(Remaining_Cost[[#This Row],[Cost]],Upgrades[],MATCH("C"&amp;Remaining_Cost[#Headers],Upgrades[#Headers],0),FALSE),0)*MAX(0,SUM('Construction Dashboard'!$G61:J61)),0)</f>
        <v>0</v>
      </c>
      <c r="J57" s="48">
        <f ca="1">IF(VALUE(Remaining_Cost[#Headers])&lt;='Construction Dashboard'!$F61,IFERROR(VLOOKUP(Remaining_Cost[[#This Row],[Cost]],Upgrades[],MATCH("C"&amp;Remaining_Cost[#Headers],Upgrades[#Headers],0),FALSE),0)*MAX(0,SUM('Construction Dashboard'!$G61:K61)),0)</f>
        <v>0</v>
      </c>
      <c r="K57" s="48">
        <f ca="1">IF(VALUE(Remaining_Cost[#Headers])&lt;='Construction Dashboard'!$F61,IFERROR(VLOOKUP(Remaining_Cost[[#This Row],[Cost]],Upgrades[],MATCH("C"&amp;Remaining_Cost[#Headers],Upgrades[#Headers],0),FALSE),0)*MAX(0,SUM('Construction Dashboard'!$G61:L61)),0)</f>
        <v>0</v>
      </c>
      <c r="L57" s="48">
        <f ca="1">IF(VALUE(Remaining_Cost[#Headers])&lt;='Construction Dashboard'!$F61,IFERROR(VLOOKUP(Remaining_Cost[[#This Row],[Cost]],Upgrades[],MATCH("C"&amp;Remaining_Cost[#Headers],Upgrades[#Headers],0),FALSE),0)*MAX(0,SUM('Construction Dashboard'!$G61:M61)),0)</f>
        <v>0</v>
      </c>
      <c r="M57" s="48">
        <f ca="1">IF(VALUE(Remaining_Cost[#Headers])&lt;='Construction Dashboard'!$F61,IFERROR(VLOOKUP(Remaining_Cost[[#This Row],[Cost]],Upgrades[],MATCH("C"&amp;Remaining_Cost[#Headers],Upgrades[#Headers],0),FALSE),0)*MAX(0,SUM('Construction Dashboard'!$G61:N61)),0)</f>
        <v>0</v>
      </c>
      <c r="N57" s="48">
        <f ca="1">IF(VALUE(Remaining_Cost[#Headers])&lt;='Construction Dashboard'!$F61,IFERROR(VLOOKUP(Remaining_Cost[[#This Row],[Cost]],Upgrades[],MATCH("C"&amp;Remaining_Cost[#Headers],Upgrades[#Headers],0),FALSE),0)*MAX(0,SUM('Construction Dashboard'!$G61:O61)),0)</f>
        <v>0</v>
      </c>
      <c r="O57" s="48">
        <f ca="1">IF(VALUE(Remaining_Cost[#Headers])&lt;='Construction Dashboard'!$F61,IFERROR(VLOOKUP(Remaining_Cost[[#This Row],[Cost]],Upgrades[],MATCH("C"&amp;Remaining_Cost[#Headers],Upgrades[#Headers],0),FALSE),0)*MAX(0,SUM('Construction Dashboard'!$G61:P61)),0)</f>
        <v>0</v>
      </c>
      <c r="P57" s="48">
        <f ca="1">IF(VALUE(Remaining_Cost[#Headers])&lt;='Construction Dashboard'!$F61,IFERROR(VLOOKUP(Remaining_Cost[[#This Row],[Cost]],Upgrades[],MATCH("C"&amp;Remaining_Cost[#Headers],Upgrades[#Headers],0),FALSE),0)*MAX(0,SUM('Construction Dashboard'!$G61:Q61)),0)</f>
        <v>0</v>
      </c>
      <c r="Q57" s="48">
        <f ca="1">IF(VALUE(Remaining_Cost[#Headers])&lt;='Construction Dashboard'!$F61,IFERROR(VLOOKUP(Remaining_Cost[[#This Row],[Cost]],Upgrades[],MATCH("C"&amp;Remaining_Cost[#Headers],Upgrades[#Headers],0),FALSE),0)*MAX(0,SUM('Construction Dashboard'!$G61:R61)),0)</f>
        <v>0</v>
      </c>
      <c r="R57" s="48">
        <f ca="1">IF(Remaining_Cost[[#This Row],[MatchStr]]="IGNORE",0,SUM(Remaining_Cost[[#This Row],[1]:[12]]))</f>
        <v>0</v>
      </c>
    </row>
    <row r="58" spans="1:18">
      <c r="A58" s="11" t="s">
        <v>91</v>
      </c>
      <c r="B58" s="49" t="str">
        <f>VLOOKUP(Remaining_Cost[[#This Row],[Cost]],Upgrades[],2,FALSE)</f>
        <v>Upgrade</v>
      </c>
      <c r="C58" s="49" t="str">
        <f>VLOOKUP(Remaining_Cost[[#This Row],[Cost]],Upgrades[],3,FALSE)</f>
        <v>Elixir</v>
      </c>
      <c r="D58" s="116" t="str">
        <f>IF(COUNTIF(Skips,Remaining_Cost[[#This Row],[Cost]])&gt;0,"IGNORE",Remaining_Cost[Kind]&amp;"-"&amp;Remaining_Cost[Resource])</f>
        <v>Upgrade-Elixir</v>
      </c>
      <c r="E58" s="47" t="str">
        <f ca="1">IFERROR(VLOOKUP(Remaining_Cost[[#This Row],[Cost]],Upgrades[],MATCH("C"&amp;MATCH(TRUE,INDEX(Remaining_Cost[[#This Row],[1]:[12]]&lt;&gt;0,),0),Upgrades[#Headers],0),FALSE),"")</f>
        <v/>
      </c>
      <c r="F58" s="48">
        <f ca="1">IF(VALUE(Remaining_Cost[#Headers])&lt;='Construction Dashboard'!$F62,IFERROR(VLOOKUP(Remaining_Cost[[#This Row],[Cost]],Upgrades[],MATCH("C"&amp;Remaining_Cost[#Headers],Upgrades[#Headers],0),FALSE),0)*MAX(0,SUM('Construction Dashboard'!$G62:G62)),0)</f>
        <v>0</v>
      </c>
      <c r="G58" s="48">
        <f ca="1">IF(VALUE(Remaining_Cost[#Headers])&lt;='Construction Dashboard'!$F62,IFERROR(VLOOKUP(Remaining_Cost[[#This Row],[Cost]],Upgrades[],MATCH("C"&amp;Remaining_Cost[#Headers],Upgrades[#Headers],0),FALSE),0)*MAX(0,SUM('Construction Dashboard'!$G62:H62)),0)</f>
        <v>0</v>
      </c>
      <c r="H58" s="48">
        <f ca="1">IF(VALUE(Remaining_Cost[#Headers])&lt;='Construction Dashboard'!$F62,IFERROR(VLOOKUP(Remaining_Cost[[#This Row],[Cost]],Upgrades[],MATCH("C"&amp;Remaining_Cost[#Headers],Upgrades[#Headers],0),FALSE),0)*MAX(0,SUM('Construction Dashboard'!$G62:I62)),0)</f>
        <v>0</v>
      </c>
      <c r="I58" s="48">
        <f ca="1">IF(VALUE(Remaining_Cost[#Headers])&lt;='Construction Dashboard'!$F62,IFERROR(VLOOKUP(Remaining_Cost[[#This Row],[Cost]],Upgrades[],MATCH("C"&amp;Remaining_Cost[#Headers],Upgrades[#Headers],0),FALSE),0)*MAX(0,SUM('Construction Dashboard'!$G62:J62)),0)</f>
        <v>0</v>
      </c>
      <c r="J58" s="48">
        <f ca="1">IF(VALUE(Remaining_Cost[#Headers])&lt;='Construction Dashboard'!$F62,IFERROR(VLOOKUP(Remaining_Cost[[#This Row],[Cost]],Upgrades[],MATCH("C"&amp;Remaining_Cost[#Headers],Upgrades[#Headers],0),FALSE),0)*MAX(0,SUM('Construction Dashboard'!$G62:K62)),0)</f>
        <v>0</v>
      </c>
      <c r="K58" s="48">
        <f ca="1">IF(VALUE(Remaining_Cost[#Headers])&lt;='Construction Dashboard'!$F62,IFERROR(VLOOKUP(Remaining_Cost[[#This Row],[Cost]],Upgrades[],MATCH("C"&amp;Remaining_Cost[#Headers],Upgrades[#Headers],0),FALSE),0)*MAX(0,SUM('Construction Dashboard'!$G62:L62)),0)</f>
        <v>0</v>
      </c>
      <c r="L58" s="48">
        <f ca="1">IF(VALUE(Remaining_Cost[#Headers])&lt;='Construction Dashboard'!$F62,IFERROR(VLOOKUP(Remaining_Cost[[#This Row],[Cost]],Upgrades[],MATCH("C"&amp;Remaining_Cost[#Headers],Upgrades[#Headers],0),FALSE),0)*MAX(0,SUM('Construction Dashboard'!$G62:M62)),0)</f>
        <v>0</v>
      </c>
      <c r="M58" s="48">
        <f ca="1">IF(VALUE(Remaining_Cost[#Headers])&lt;='Construction Dashboard'!$F62,IFERROR(VLOOKUP(Remaining_Cost[[#This Row],[Cost]],Upgrades[],MATCH("C"&amp;Remaining_Cost[#Headers],Upgrades[#Headers],0),FALSE),0)*MAX(0,SUM('Construction Dashboard'!$G62:N62)),0)</f>
        <v>0</v>
      </c>
      <c r="N58" s="48">
        <f ca="1">IF(VALUE(Remaining_Cost[#Headers])&lt;='Construction Dashboard'!$F62,IFERROR(VLOOKUP(Remaining_Cost[[#This Row],[Cost]],Upgrades[],MATCH("C"&amp;Remaining_Cost[#Headers],Upgrades[#Headers],0),FALSE),0)*MAX(0,SUM('Construction Dashboard'!$G62:O62)),0)</f>
        <v>0</v>
      </c>
      <c r="O58" s="48">
        <f ca="1">IF(VALUE(Remaining_Cost[#Headers])&lt;='Construction Dashboard'!$F62,IFERROR(VLOOKUP(Remaining_Cost[[#This Row],[Cost]],Upgrades[],MATCH("C"&amp;Remaining_Cost[#Headers],Upgrades[#Headers],0),FALSE),0)*MAX(0,SUM('Construction Dashboard'!$G62:P62)),0)</f>
        <v>0</v>
      </c>
      <c r="P58" s="48">
        <f ca="1">IF(VALUE(Remaining_Cost[#Headers])&lt;='Construction Dashboard'!$F62,IFERROR(VLOOKUP(Remaining_Cost[[#This Row],[Cost]],Upgrades[],MATCH("C"&amp;Remaining_Cost[#Headers],Upgrades[#Headers],0),FALSE),0)*MAX(0,SUM('Construction Dashboard'!$G62:Q62)),0)</f>
        <v>0</v>
      </c>
      <c r="Q58" s="48">
        <f ca="1">IF(VALUE(Remaining_Cost[#Headers])&lt;='Construction Dashboard'!$F62,IFERROR(VLOOKUP(Remaining_Cost[[#This Row],[Cost]],Upgrades[],MATCH("C"&amp;Remaining_Cost[#Headers],Upgrades[#Headers],0),FALSE),0)*MAX(0,SUM('Construction Dashboard'!$G62:R62)),0)</f>
        <v>0</v>
      </c>
      <c r="R58" s="48">
        <f ca="1">IF(Remaining_Cost[[#This Row],[MatchStr]]="IGNORE",0,SUM(Remaining_Cost[[#This Row],[1]:[12]]))</f>
        <v>0</v>
      </c>
    </row>
    <row r="59" spans="1:18">
      <c r="A59" s="11" t="s">
        <v>92</v>
      </c>
      <c r="B59" s="49" t="str">
        <f>VLOOKUP(Remaining_Cost[[#This Row],[Cost]],Upgrades[],2,FALSE)</f>
        <v>Upgrade</v>
      </c>
      <c r="C59" s="49" t="str">
        <f>VLOOKUP(Remaining_Cost[[#This Row],[Cost]],Upgrades[],3,FALSE)</f>
        <v>Elixir</v>
      </c>
      <c r="D59" s="116" t="str">
        <f>IF(COUNTIF(Skips,Remaining_Cost[[#This Row],[Cost]])&gt;0,"IGNORE",Remaining_Cost[Kind]&amp;"-"&amp;Remaining_Cost[Resource])</f>
        <v>Upgrade-Elixir</v>
      </c>
      <c r="E59" s="47" t="str">
        <f ca="1">IFERROR(VLOOKUP(Remaining_Cost[[#This Row],[Cost]],Upgrades[],MATCH("C"&amp;MATCH(TRUE,INDEX(Remaining_Cost[[#This Row],[1]:[12]]&lt;&gt;0,),0),Upgrades[#Headers],0),FALSE),"")</f>
        <v/>
      </c>
      <c r="F59" s="48">
        <f ca="1">IF(VALUE(Remaining_Cost[#Headers])&lt;='Construction Dashboard'!$F63,IFERROR(VLOOKUP(Remaining_Cost[[#This Row],[Cost]],Upgrades[],MATCH("C"&amp;Remaining_Cost[#Headers],Upgrades[#Headers],0),FALSE),0)*MAX(0,SUM('Construction Dashboard'!$G63:G63)),0)</f>
        <v>0</v>
      </c>
      <c r="G59" s="48">
        <f ca="1">IF(VALUE(Remaining_Cost[#Headers])&lt;='Construction Dashboard'!$F63,IFERROR(VLOOKUP(Remaining_Cost[[#This Row],[Cost]],Upgrades[],MATCH("C"&amp;Remaining_Cost[#Headers],Upgrades[#Headers],0),FALSE),0)*MAX(0,SUM('Construction Dashboard'!$G63:H63)),0)</f>
        <v>0</v>
      </c>
      <c r="H59" s="48">
        <f ca="1">IF(VALUE(Remaining_Cost[#Headers])&lt;='Construction Dashboard'!$F63,IFERROR(VLOOKUP(Remaining_Cost[[#This Row],[Cost]],Upgrades[],MATCH("C"&amp;Remaining_Cost[#Headers],Upgrades[#Headers],0),FALSE),0)*MAX(0,SUM('Construction Dashboard'!$G63:I63)),0)</f>
        <v>0</v>
      </c>
      <c r="I59" s="48">
        <f ca="1">IF(VALUE(Remaining_Cost[#Headers])&lt;='Construction Dashboard'!$F63,IFERROR(VLOOKUP(Remaining_Cost[[#This Row],[Cost]],Upgrades[],MATCH("C"&amp;Remaining_Cost[#Headers],Upgrades[#Headers],0),FALSE),0)*MAX(0,SUM('Construction Dashboard'!$G63:J63)),0)</f>
        <v>0</v>
      </c>
      <c r="J59" s="48">
        <f ca="1">IF(VALUE(Remaining_Cost[#Headers])&lt;='Construction Dashboard'!$F63,IFERROR(VLOOKUP(Remaining_Cost[[#This Row],[Cost]],Upgrades[],MATCH("C"&amp;Remaining_Cost[#Headers],Upgrades[#Headers],0),FALSE),0)*MAX(0,SUM('Construction Dashboard'!$G63:K63)),0)</f>
        <v>0</v>
      </c>
      <c r="K59" s="48">
        <f ca="1">IF(VALUE(Remaining_Cost[#Headers])&lt;='Construction Dashboard'!$F63,IFERROR(VLOOKUP(Remaining_Cost[[#This Row],[Cost]],Upgrades[],MATCH("C"&amp;Remaining_Cost[#Headers],Upgrades[#Headers],0),FALSE),0)*MAX(0,SUM('Construction Dashboard'!$G63:L63)),0)</f>
        <v>0</v>
      </c>
      <c r="L59" s="48">
        <f ca="1">IF(VALUE(Remaining_Cost[#Headers])&lt;='Construction Dashboard'!$F63,IFERROR(VLOOKUP(Remaining_Cost[[#This Row],[Cost]],Upgrades[],MATCH("C"&amp;Remaining_Cost[#Headers],Upgrades[#Headers],0),FALSE),0)*MAX(0,SUM('Construction Dashboard'!$G63:M63)),0)</f>
        <v>0</v>
      </c>
      <c r="M59" s="48">
        <f ca="1">IF(VALUE(Remaining_Cost[#Headers])&lt;='Construction Dashboard'!$F63,IFERROR(VLOOKUP(Remaining_Cost[[#This Row],[Cost]],Upgrades[],MATCH("C"&amp;Remaining_Cost[#Headers],Upgrades[#Headers],0),FALSE),0)*MAX(0,SUM('Construction Dashboard'!$G63:N63)),0)</f>
        <v>0</v>
      </c>
      <c r="N59" s="48">
        <f ca="1">IF(VALUE(Remaining_Cost[#Headers])&lt;='Construction Dashboard'!$F63,IFERROR(VLOOKUP(Remaining_Cost[[#This Row],[Cost]],Upgrades[],MATCH("C"&amp;Remaining_Cost[#Headers],Upgrades[#Headers],0),FALSE),0)*MAX(0,SUM('Construction Dashboard'!$G63:O63)),0)</f>
        <v>0</v>
      </c>
      <c r="O59" s="48">
        <f ca="1">IF(VALUE(Remaining_Cost[#Headers])&lt;='Construction Dashboard'!$F63,IFERROR(VLOOKUP(Remaining_Cost[[#This Row],[Cost]],Upgrades[],MATCH("C"&amp;Remaining_Cost[#Headers],Upgrades[#Headers],0),FALSE),0)*MAX(0,SUM('Construction Dashboard'!$G63:P63)),0)</f>
        <v>0</v>
      </c>
      <c r="P59" s="48">
        <f ca="1">IF(VALUE(Remaining_Cost[#Headers])&lt;='Construction Dashboard'!$F63,IFERROR(VLOOKUP(Remaining_Cost[[#This Row],[Cost]],Upgrades[],MATCH("C"&amp;Remaining_Cost[#Headers],Upgrades[#Headers],0),FALSE),0)*MAX(0,SUM('Construction Dashboard'!$G63:Q63)),0)</f>
        <v>0</v>
      </c>
      <c r="Q59" s="48">
        <f ca="1">IF(VALUE(Remaining_Cost[#Headers])&lt;='Construction Dashboard'!$F63,IFERROR(VLOOKUP(Remaining_Cost[[#This Row],[Cost]],Upgrades[],MATCH("C"&amp;Remaining_Cost[#Headers],Upgrades[#Headers],0),FALSE),0)*MAX(0,SUM('Construction Dashboard'!$G63:R63)),0)</f>
        <v>0</v>
      </c>
      <c r="R59" s="48">
        <f ca="1">IF(Remaining_Cost[[#This Row],[MatchStr]]="IGNORE",0,SUM(Remaining_Cost[[#This Row],[1]:[12]]))</f>
        <v>0</v>
      </c>
    </row>
    <row r="60" spans="1:18">
      <c r="A60" s="11" t="s">
        <v>93</v>
      </c>
      <c r="B60" s="49" t="str">
        <f>VLOOKUP(Remaining_Cost[[#This Row],[Cost]],Upgrades[],2,FALSE)</f>
        <v>Upgrade</v>
      </c>
      <c r="C60" s="49" t="str">
        <f>VLOOKUP(Remaining_Cost[[#This Row],[Cost]],Upgrades[],3,FALSE)</f>
        <v>Elixir</v>
      </c>
      <c r="D60" s="116" t="str">
        <f>IF(COUNTIF(Skips,Remaining_Cost[[#This Row],[Cost]])&gt;0,"IGNORE",Remaining_Cost[Kind]&amp;"-"&amp;Remaining_Cost[Resource])</f>
        <v>Upgrade-Elixir</v>
      </c>
      <c r="E60" s="47" t="str">
        <f ca="1">IFERROR(VLOOKUP(Remaining_Cost[[#This Row],[Cost]],Upgrades[],MATCH("C"&amp;MATCH(TRUE,INDEX(Remaining_Cost[[#This Row],[1]:[12]]&lt;&gt;0,),0),Upgrades[#Headers],0),FALSE),"")</f>
        <v/>
      </c>
      <c r="F60" s="48">
        <f ca="1">IF(VALUE(Remaining_Cost[#Headers])&lt;='Construction Dashboard'!$F64,IFERROR(VLOOKUP(Remaining_Cost[[#This Row],[Cost]],Upgrades[],MATCH("C"&amp;Remaining_Cost[#Headers],Upgrades[#Headers],0),FALSE),0)*MAX(0,SUM('Construction Dashboard'!$G64:G64)),0)</f>
        <v>0</v>
      </c>
      <c r="G60" s="48">
        <f ca="1">IF(VALUE(Remaining_Cost[#Headers])&lt;='Construction Dashboard'!$F64,IFERROR(VLOOKUP(Remaining_Cost[[#This Row],[Cost]],Upgrades[],MATCH("C"&amp;Remaining_Cost[#Headers],Upgrades[#Headers],0),FALSE),0)*MAX(0,SUM('Construction Dashboard'!$G64:H64)),0)</f>
        <v>0</v>
      </c>
      <c r="H60" s="48">
        <f ca="1">IF(VALUE(Remaining_Cost[#Headers])&lt;='Construction Dashboard'!$F64,IFERROR(VLOOKUP(Remaining_Cost[[#This Row],[Cost]],Upgrades[],MATCH("C"&amp;Remaining_Cost[#Headers],Upgrades[#Headers],0),FALSE),0)*MAX(0,SUM('Construction Dashboard'!$G64:I64)),0)</f>
        <v>0</v>
      </c>
      <c r="I60" s="48">
        <f ca="1">IF(VALUE(Remaining_Cost[#Headers])&lt;='Construction Dashboard'!$F64,IFERROR(VLOOKUP(Remaining_Cost[[#This Row],[Cost]],Upgrades[],MATCH("C"&amp;Remaining_Cost[#Headers],Upgrades[#Headers],0),FALSE),0)*MAX(0,SUM('Construction Dashboard'!$G64:J64)),0)</f>
        <v>0</v>
      </c>
      <c r="J60" s="48">
        <f ca="1">IF(VALUE(Remaining_Cost[#Headers])&lt;='Construction Dashboard'!$F64,IFERROR(VLOOKUP(Remaining_Cost[[#This Row],[Cost]],Upgrades[],MATCH("C"&amp;Remaining_Cost[#Headers],Upgrades[#Headers],0),FALSE),0)*MAX(0,SUM('Construction Dashboard'!$G64:K64)),0)</f>
        <v>0</v>
      </c>
      <c r="K60" s="48">
        <f ca="1">IF(VALUE(Remaining_Cost[#Headers])&lt;='Construction Dashboard'!$F64,IFERROR(VLOOKUP(Remaining_Cost[[#This Row],[Cost]],Upgrades[],MATCH("C"&amp;Remaining_Cost[#Headers],Upgrades[#Headers],0),FALSE),0)*MAX(0,SUM('Construction Dashboard'!$G64:L64)),0)</f>
        <v>0</v>
      </c>
      <c r="L60" s="48">
        <f ca="1">IF(VALUE(Remaining_Cost[#Headers])&lt;='Construction Dashboard'!$F64,IFERROR(VLOOKUP(Remaining_Cost[[#This Row],[Cost]],Upgrades[],MATCH("C"&amp;Remaining_Cost[#Headers],Upgrades[#Headers],0),FALSE),0)*MAX(0,SUM('Construction Dashboard'!$G64:M64)),0)</f>
        <v>0</v>
      </c>
      <c r="M60" s="48">
        <f ca="1">IF(VALUE(Remaining_Cost[#Headers])&lt;='Construction Dashboard'!$F64,IFERROR(VLOOKUP(Remaining_Cost[[#This Row],[Cost]],Upgrades[],MATCH("C"&amp;Remaining_Cost[#Headers],Upgrades[#Headers],0),FALSE),0)*MAX(0,SUM('Construction Dashboard'!$G64:N64)),0)</f>
        <v>0</v>
      </c>
      <c r="N60" s="48">
        <f ca="1">IF(VALUE(Remaining_Cost[#Headers])&lt;='Construction Dashboard'!$F64,IFERROR(VLOOKUP(Remaining_Cost[[#This Row],[Cost]],Upgrades[],MATCH("C"&amp;Remaining_Cost[#Headers],Upgrades[#Headers],0),FALSE),0)*MAX(0,SUM('Construction Dashboard'!$G64:O64)),0)</f>
        <v>0</v>
      </c>
      <c r="O60" s="48">
        <f ca="1">IF(VALUE(Remaining_Cost[#Headers])&lt;='Construction Dashboard'!$F64,IFERROR(VLOOKUP(Remaining_Cost[[#This Row],[Cost]],Upgrades[],MATCH("C"&amp;Remaining_Cost[#Headers],Upgrades[#Headers],0),FALSE),0)*MAX(0,SUM('Construction Dashboard'!$G64:P64)),0)</f>
        <v>0</v>
      </c>
      <c r="P60" s="48">
        <f ca="1">IF(VALUE(Remaining_Cost[#Headers])&lt;='Construction Dashboard'!$F64,IFERROR(VLOOKUP(Remaining_Cost[[#This Row],[Cost]],Upgrades[],MATCH("C"&amp;Remaining_Cost[#Headers],Upgrades[#Headers],0),FALSE),0)*MAX(0,SUM('Construction Dashboard'!$G64:Q64)),0)</f>
        <v>0</v>
      </c>
      <c r="Q60" s="48">
        <f ca="1">IF(VALUE(Remaining_Cost[#Headers])&lt;='Construction Dashboard'!$F64,IFERROR(VLOOKUP(Remaining_Cost[[#This Row],[Cost]],Upgrades[],MATCH("C"&amp;Remaining_Cost[#Headers],Upgrades[#Headers],0),FALSE),0)*MAX(0,SUM('Construction Dashboard'!$G64:R64)),0)</f>
        <v>0</v>
      </c>
      <c r="R60" s="48">
        <f ca="1">IF(Remaining_Cost[[#This Row],[MatchStr]]="IGNORE",0,SUM(Remaining_Cost[[#This Row],[1]:[12]]))</f>
        <v>0</v>
      </c>
    </row>
    <row r="61" spans="1:18">
      <c r="A61" s="11" t="s">
        <v>94</v>
      </c>
      <c r="B61" s="49" t="str">
        <f>VLOOKUP(Remaining_Cost[[#This Row],[Cost]],Upgrades[],2,FALSE)</f>
        <v>Upgrade</v>
      </c>
      <c r="C61" s="49" t="str">
        <f>VLOOKUP(Remaining_Cost[[#This Row],[Cost]],Upgrades[],3,FALSE)</f>
        <v>Elixir</v>
      </c>
      <c r="D61" s="116" t="str">
        <f>IF(COUNTIF(Skips,Remaining_Cost[[#This Row],[Cost]])&gt;0,"IGNORE",Remaining_Cost[Kind]&amp;"-"&amp;Remaining_Cost[Resource])</f>
        <v>Upgrade-Elixir</v>
      </c>
      <c r="E61" s="47" t="str">
        <f ca="1">IFERROR(VLOOKUP(Remaining_Cost[[#This Row],[Cost]],Upgrades[],MATCH("C"&amp;MATCH(TRUE,INDEX(Remaining_Cost[[#This Row],[1]:[12]]&lt;&gt;0,),0),Upgrades[#Headers],0),FALSE),"")</f>
        <v/>
      </c>
      <c r="F61" s="48">
        <f ca="1">IF(VALUE(Remaining_Cost[#Headers])&lt;='Construction Dashboard'!$F65,IFERROR(VLOOKUP(Remaining_Cost[[#This Row],[Cost]],Upgrades[],MATCH("C"&amp;Remaining_Cost[#Headers],Upgrades[#Headers],0),FALSE),0)*MAX(0,SUM('Construction Dashboard'!$G65:G65)),0)</f>
        <v>0</v>
      </c>
      <c r="G61" s="48">
        <f ca="1">IF(VALUE(Remaining_Cost[#Headers])&lt;='Construction Dashboard'!$F65,IFERROR(VLOOKUP(Remaining_Cost[[#This Row],[Cost]],Upgrades[],MATCH("C"&amp;Remaining_Cost[#Headers],Upgrades[#Headers],0),FALSE),0)*MAX(0,SUM('Construction Dashboard'!$G65:H65)),0)</f>
        <v>0</v>
      </c>
      <c r="H61" s="48">
        <f ca="1">IF(VALUE(Remaining_Cost[#Headers])&lt;='Construction Dashboard'!$F65,IFERROR(VLOOKUP(Remaining_Cost[[#This Row],[Cost]],Upgrades[],MATCH("C"&amp;Remaining_Cost[#Headers],Upgrades[#Headers],0),FALSE),0)*MAX(0,SUM('Construction Dashboard'!$G65:I65)),0)</f>
        <v>0</v>
      </c>
      <c r="I61" s="48">
        <f ca="1">IF(VALUE(Remaining_Cost[#Headers])&lt;='Construction Dashboard'!$F65,IFERROR(VLOOKUP(Remaining_Cost[[#This Row],[Cost]],Upgrades[],MATCH("C"&amp;Remaining_Cost[#Headers],Upgrades[#Headers],0),FALSE),0)*MAX(0,SUM('Construction Dashboard'!$G65:J65)),0)</f>
        <v>0</v>
      </c>
      <c r="J61" s="48">
        <f ca="1">IF(VALUE(Remaining_Cost[#Headers])&lt;='Construction Dashboard'!$F65,IFERROR(VLOOKUP(Remaining_Cost[[#This Row],[Cost]],Upgrades[],MATCH("C"&amp;Remaining_Cost[#Headers],Upgrades[#Headers],0),FALSE),0)*MAX(0,SUM('Construction Dashboard'!$G65:K65)),0)</f>
        <v>0</v>
      </c>
      <c r="K61" s="48">
        <f ca="1">IF(VALUE(Remaining_Cost[#Headers])&lt;='Construction Dashboard'!$F65,IFERROR(VLOOKUP(Remaining_Cost[[#This Row],[Cost]],Upgrades[],MATCH("C"&amp;Remaining_Cost[#Headers],Upgrades[#Headers],0),FALSE),0)*MAX(0,SUM('Construction Dashboard'!$G65:L65)),0)</f>
        <v>0</v>
      </c>
      <c r="L61" s="48">
        <f ca="1">IF(VALUE(Remaining_Cost[#Headers])&lt;='Construction Dashboard'!$F65,IFERROR(VLOOKUP(Remaining_Cost[[#This Row],[Cost]],Upgrades[],MATCH("C"&amp;Remaining_Cost[#Headers],Upgrades[#Headers],0),FALSE),0)*MAX(0,SUM('Construction Dashboard'!$G65:M65)),0)</f>
        <v>0</v>
      </c>
      <c r="M61" s="48">
        <f ca="1">IF(VALUE(Remaining_Cost[#Headers])&lt;='Construction Dashboard'!$F65,IFERROR(VLOOKUP(Remaining_Cost[[#This Row],[Cost]],Upgrades[],MATCH("C"&amp;Remaining_Cost[#Headers],Upgrades[#Headers],0),FALSE),0)*MAX(0,SUM('Construction Dashboard'!$G65:N65)),0)</f>
        <v>0</v>
      </c>
      <c r="N61" s="48">
        <f ca="1">IF(VALUE(Remaining_Cost[#Headers])&lt;='Construction Dashboard'!$F65,IFERROR(VLOOKUP(Remaining_Cost[[#This Row],[Cost]],Upgrades[],MATCH("C"&amp;Remaining_Cost[#Headers],Upgrades[#Headers],0),FALSE),0)*MAX(0,SUM('Construction Dashboard'!$G65:O65)),0)</f>
        <v>0</v>
      </c>
      <c r="O61" s="48">
        <f ca="1">IF(VALUE(Remaining_Cost[#Headers])&lt;='Construction Dashboard'!$F65,IFERROR(VLOOKUP(Remaining_Cost[[#This Row],[Cost]],Upgrades[],MATCH("C"&amp;Remaining_Cost[#Headers],Upgrades[#Headers],0),FALSE),0)*MAX(0,SUM('Construction Dashboard'!$G65:P65)),0)</f>
        <v>0</v>
      </c>
      <c r="P61" s="48">
        <f ca="1">IF(VALUE(Remaining_Cost[#Headers])&lt;='Construction Dashboard'!$F65,IFERROR(VLOOKUP(Remaining_Cost[[#This Row],[Cost]],Upgrades[],MATCH("C"&amp;Remaining_Cost[#Headers],Upgrades[#Headers],0),FALSE),0)*MAX(0,SUM('Construction Dashboard'!$G65:Q65)),0)</f>
        <v>0</v>
      </c>
      <c r="Q61" s="48">
        <f ca="1">IF(VALUE(Remaining_Cost[#Headers])&lt;='Construction Dashboard'!$F65,IFERROR(VLOOKUP(Remaining_Cost[[#This Row],[Cost]],Upgrades[],MATCH("C"&amp;Remaining_Cost[#Headers],Upgrades[#Headers],0),FALSE),0)*MAX(0,SUM('Construction Dashboard'!$G65:R65)),0)</f>
        <v>0</v>
      </c>
      <c r="R61" s="48">
        <f ca="1">IF(Remaining_Cost[[#This Row],[MatchStr]]="IGNORE",0,SUM(Remaining_Cost[[#This Row],[1]:[12]]))</f>
        <v>0</v>
      </c>
    </row>
    <row r="62" spans="1:18">
      <c r="A62" s="11" t="s">
        <v>95</v>
      </c>
      <c r="B62" s="49" t="str">
        <f>VLOOKUP(Remaining_Cost[[#This Row],[Cost]],Upgrades[],2,FALSE)</f>
        <v>Upgrade</v>
      </c>
      <c r="C62" s="49" t="str">
        <f>VLOOKUP(Remaining_Cost[[#This Row],[Cost]],Upgrades[],3,FALSE)</f>
        <v>Elixir</v>
      </c>
      <c r="D62" s="116" t="str">
        <f>IF(COUNTIF(Skips,Remaining_Cost[[#This Row],[Cost]])&gt;0,"IGNORE",Remaining_Cost[Kind]&amp;"-"&amp;Remaining_Cost[Resource])</f>
        <v>Upgrade-Elixir</v>
      </c>
      <c r="E62" s="47" t="str">
        <f ca="1">IFERROR(VLOOKUP(Remaining_Cost[[#This Row],[Cost]],Upgrades[],MATCH("C"&amp;MATCH(TRUE,INDEX(Remaining_Cost[[#This Row],[1]:[12]]&lt;&gt;0,),0),Upgrades[#Headers],0),FALSE),"")</f>
        <v/>
      </c>
      <c r="F62" s="48">
        <f ca="1">IF(VALUE(Remaining_Cost[#Headers])&lt;='Construction Dashboard'!$F66,IFERROR(VLOOKUP(Remaining_Cost[[#This Row],[Cost]],Upgrades[],MATCH("C"&amp;Remaining_Cost[#Headers],Upgrades[#Headers],0),FALSE),0)*MAX(0,SUM('Construction Dashboard'!$G66:G66)),0)</f>
        <v>0</v>
      </c>
      <c r="G62" s="48">
        <f ca="1">IF(VALUE(Remaining_Cost[#Headers])&lt;='Construction Dashboard'!$F66,IFERROR(VLOOKUP(Remaining_Cost[[#This Row],[Cost]],Upgrades[],MATCH("C"&amp;Remaining_Cost[#Headers],Upgrades[#Headers],0),FALSE),0)*MAX(0,SUM('Construction Dashboard'!$G66:H66)),0)</f>
        <v>0</v>
      </c>
      <c r="H62" s="48">
        <f ca="1">IF(VALUE(Remaining_Cost[#Headers])&lt;='Construction Dashboard'!$F66,IFERROR(VLOOKUP(Remaining_Cost[[#This Row],[Cost]],Upgrades[],MATCH("C"&amp;Remaining_Cost[#Headers],Upgrades[#Headers],0),FALSE),0)*MAX(0,SUM('Construction Dashboard'!$G66:I66)),0)</f>
        <v>0</v>
      </c>
      <c r="I62" s="48">
        <f ca="1">IF(VALUE(Remaining_Cost[#Headers])&lt;='Construction Dashboard'!$F66,IFERROR(VLOOKUP(Remaining_Cost[[#This Row],[Cost]],Upgrades[],MATCH("C"&amp;Remaining_Cost[#Headers],Upgrades[#Headers],0),FALSE),0)*MAX(0,SUM('Construction Dashboard'!$G66:J66)),0)</f>
        <v>0</v>
      </c>
      <c r="J62" s="48">
        <f ca="1">IF(VALUE(Remaining_Cost[#Headers])&lt;='Construction Dashboard'!$F66,IFERROR(VLOOKUP(Remaining_Cost[[#This Row],[Cost]],Upgrades[],MATCH("C"&amp;Remaining_Cost[#Headers],Upgrades[#Headers],0),FALSE),0)*MAX(0,SUM('Construction Dashboard'!$G66:K66)),0)</f>
        <v>0</v>
      </c>
      <c r="K62" s="48">
        <f ca="1">IF(VALUE(Remaining_Cost[#Headers])&lt;='Construction Dashboard'!$F66,IFERROR(VLOOKUP(Remaining_Cost[[#This Row],[Cost]],Upgrades[],MATCH("C"&amp;Remaining_Cost[#Headers],Upgrades[#Headers],0),FALSE),0)*MAX(0,SUM('Construction Dashboard'!$G66:L66)),0)</f>
        <v>0</v>
      </c>
      <c r="L62" s="48">
        <f ca="1">IF(VALUE(Remaining_Cost[#Headers])&lt;='Construction Dashboard'!$F66,IFERROR(VLOOKUP(Remaining_Cost[[#This Row],[Cost]],Upgrades[],MATCH("C"&amp;Remaining_Cost[#Headers],Upgrades[#Headers],0),FALSE),0)*MAX(0,SUM('Construction Dashboard'!$G66:M66)),0)</f>
        <v>0</v>
      </c>
      <c r="M62" s="48">
        <f ca="1">IF(VALUE(Remaining_Cost[#Headers])&lt;='Construction Dashboard'!$F66,IFERROR(VLOOKUP(Remaining_Cost[[#This Row],[Cost]],Upgrades[],MATCH("C"&amp;Remaining_Cost[#Headers],Upgrades[#Headers],0),FALSE),0)*MAX(0,SUM('Construction Dashboard'!$G66:N66)),0)</f>
        <v>0</v>
      </c>
      <c r="N62" s="48">
        <f ca="1">IF(VALUE(Remaining_Cost[#Headers])&lt;='Construction Dashboard'!$F66,IFERROR(VLOOKUP(Remaining_Cost[[#This Row],[Cost]],Upgrades[],MATCH("C"&amp;Remaining_Cost[#Headers],Upgrades[#Headers],0),FALSE),0)*MAX(0,SUM('Construction Dashboard'!$G66:O66)),0)</f>
        <v>0</v>
      </c>
      <c r="O62" s="48">
        <f ca="1">IF(VALUE(Remaining_Cost[#Headers])&lt;='Construction Dashboard'!$F66,IFERROR(VLOOKUP(Remaining_Cost[[#This Row],[Cost]],Upgrades[],MATCH("C"&amp;Remaining_Cost[#Headers],Upgrades[#Headers],0),FALSE),0)*MAX(0,SUM('Construction Dashboard'!$G66:P66)),0)</f>
        <v>0</v>
      </c>
      <c r="P62" s="48">
        <f ca="1">IF(VALUE(Remaining_Cost[#Headers])&lt;='Construction Dashboard'!$F66,IFERROR(VLOOKUP(Remaining_Cost[[#This Row],[Cost]],Upgrades[],MATCH("C"&amp;Remaining_Cost[#Headers],Upgrades[#Headers],0),FALSE),0)*MAX(0,SUM('Construction Dashboard'!$G66:Q66)),0)</f>
        <v>0</v>
      </c>
      <c r="Q62" s="48">
        <f ca="1">IF(VALUE(Remaining_Cost[#Headers])&lt;='Construction Dashboard'!$F66,IFERROR(VLOOKUP(Remaining_Cost[[#This Row],[Cost]],Upgrades[],MATCH("C"&amp;Remaining_Cost[#Headers],Upgrades[#Headers],0),FALSE),0)*MAX(0,SUM('Construction Dashboard'!$G66:R66)),0)</f>
        <v>0</v>
      </c>
      <c r="R62" s="48">
        <f ca="1">IF(Remaining_Cost[[#This Row],[MatchStr]]="IGNORE",0,SUM(Remaining_Cost[[#This Row],[1]:[12]]))</f>
        <v>0</v>
      </c>
    </row>
    <row r="63" spans="1:18">
      <c r="A63" s="11" t="s">
        <v>96</v>
      </c>
      <c r="B63" s="49" t="str">
        <f>VLOOKUP(Remaining_Cost[[#This Row],[Cost]],Upgrades[],2,FALSE)</f>
        <v>Upgrade</v>
      </c>
      <c r="C63" s="49" t="str">
        <f>VLOOKUP(Remaining_Cost[[#This Row],[Cost]],Upgrades[],3,FALSE)</f>
        <v>Elixir</v>
      </c>
      <c r="D63" s="116" t="str">
        <f>IF(COUNTIF(Skips,Remaining_Cost[[#This Row],[Cost]])&gt;0,"IGNORE",Remaining_Cost[Kind]&amp;"-"&amp;Remaining_Cost[Resource])</f>
        <v>Upgrade-Elixir</v>
      </c>
      <c r="E63" s="47" t="str">
        <f ca="1">IFERROR(VLOOKUP(Remaining_Cost[[#This Row],[Cost]],Upgrades[],MATCH("C"&amp;MATCH(TRUE,INDEX(Remaining_Cost[[#This Row],[1]:[12]]&lt;&gt;0,),0),Upgrades[#Headers],0),FALSE),"")</f>
        <v/>
      </c>
      <c r="F63" s="48">
        <f ca="1">IF(VALUE(Remaining_Cost[#Headers])&lt;='Construction Dashboard'!$F67,IFERROR(VLOOKUP(Remaining_Cost[[#This Row],[Cost]],Upgrades[],MATCH("C"&amp;Remaining_Cost[#Headers],Upgrades[#Headers],0),FALSE),0)*MAX(0,SUM('Construction Dashboard'!$G67:G67)),0)</f>
        <v>0</v>
      </c>
      <c r="G63" s="48">
        <f ca="1">IF(VALUE(Remaining_Cost[#Headers])&lt;='Construction Dashboard'!$F67,IFERROR(VLOOKUP(Remaining_Cost[[#This Row],[Cost]],Upgrades[],MATCH("C"&amp;Remaining_Cost[#Headers],Upgrades[#Headers],0),FALSE),0)*MAX(0,SUM('Construction Dashboard'!$G67:H67)),0)</f>
        <v>0</v>
      </c>
      <c r="H63" s="48">
        <f ca="1">IF(VALUE(Remaining_Cost[#Headers])&lt;='Construction Dashboard'!$F67,IFERROR(VLOOKUP(Remaining_Cost[[#This Row],[Cost]],Upgrades[],MATCH("C"&amp;Remaining_Cost[#Headers],Upgrades[#Headers],0),FALSE),0)*MAX(0,SUM('Construction Dashboard'!$G67:I67)),0)</f>
        <v>0</v>
      </c>
      <c r="I63" s="48">
        <f ca="1">IF(VALUE(Remaining_Cost[#Headers])&lt;='Construction Dashboard'!$F67,IFERROR(VLOOKUP(Remaining_Cost[[#This Row],[Cost]],Upgrades[],MATCH("C"&amp;Remaining_Cost[#Headers],Upgrades[#Headers],0),FALSE),0)*MAX(0,SUM('Construction Dashboard'!$G67:J67)),0)</f>
        <v>0</v>
      </c>
      <c r="J63" s="48">
        <f ca="1">IF(VALUE(Remaining_Cost[#Headers])&lt;='Construction Dashboard'!$F67,IFERROR(VLOOKUP(Remaining_Cost[[#This Row],[Cost]],Upgrades[],MATCH("C"&amp;Remaining_Cost[#Headers],Upgrades[#Headers],0),FALSE),0)*MAX(0,SUM('Construction Dashboard'!$G67:K67)),0)</f>
        <v>0</v>
      </c>
      <c r="K63" s="48">
        <f ca="1">IF(VALUE(Remaining_Cost[#Headers])&lt;='Construction Dashboard'!$F67,IFERROR(VLOOKUP(Remaining_Cost[[#This Row],[Cost]],Upgrades[],MATCH("C"&amp;Remaining_Cost[#Headers],Upgrades[#Headers],0),FALSE),0)*MAX(0,SUM('Construction Dashboard'!$G67:L67)),0)</f>
        <v>0</v>
      </c>
      <c r="L63" s="48">
        <f ca="1">IF(VALUE(Remaining_Cost[#Headers])&lt;='Construction Dashboard'!$F67,IFERROR(VLOOKUP(Remaining_Cost[[#This Row],[Cost]],Upgrades[],MATCH("C"&amp;Remaining_Cost[#Headers],Upgrades[#Headers],0),FALSE),0)*MAX(0,SUM('Construction Dashboard'!$G67:M67)),0)</f>
        <v>0</v>
      </c>
      <c r="M63" s="48">
        <f ca="1">IF(VALUE(Remaining_Cost[#Headers])&lt;='Construction Dashboard'!$F67,IFERROR(VLOOKUP(Remaining_Cost[[#This Row],[Cost]],Upgrades[],MATCH("C"&amp;Remaining_Cost[#Headers],Upgrades[#Headers],0),FALSE),0)*MAX(0,SUM('Construction Dashboard'!$G67:N67)),0)</f>
        <v>0</v>
      </c>
      <c r="N63" s="48">
        <f ca="1">IF(VALUE(Remaining_Cost[#Headers])&lt;='Construction Dashboard'!$F67,IFERROR(VLOOKUP(Remaining_Cost[[#This Row],[Cost]],Upgrades[],MATCH("C"&amp;Remaining_Cost[#Headers],Upgrades[#Headers],0),FALSE),0)*MAX(0,SUM('Construction Dashboard'!$G67:O67)),0)</f>
        <v>0</v>
      </c>
      <c r="O63" s="48">
        <f ca="1">IF(VALUE(Remaining_Cost[#Headers])&lt;='Construction Dashboard'!$F67,IFERROR(VLOOKUP(Remaining_Cost[[#This Row],[Cost]],Upgrades[],MATCH("C"&amp;Remaining_Cost[#Headers],Upgrades[#Headers],0),FALSE),0)*MAX(0,SUM('Construction Dashboard'!$G67:P67)),0)</f>
        <v>0</v>
      </c>
      <c r="P63" s="48">
        <f ca="1">IF(VALUE(Remaining_Cost[#Headers])&lt;='Construction Dashboard'!$F67,IFERROR(VLOOKUP(Remaining_Cost[[#This Row],[Cost]],Upgrades[],MATCH("C"&amp;Remaining_Cost[#Headers],Upgrades[#Headers],0),FALSE),0)*MAX(0,SUM('Construction Dashboard'!$G67:Q67)),0)</f>
        <v>0</v>
      </c>
      <c r="Q63" s="48">
        <f ca="1">IF(VALUE(Remaining_Cost[#Headers])&lt;='Construction Dashboard'!$F67,IFERROR(VLOOKUP(Remaining_Cost[[#This Row],[Cost]],Upgrades[],MATCH("C"&amp;Remaining_Cost[#Headers],Upgrades[#Headers],0),FALSE),0)*MAX(0,SUM('Construction Dashboard'!$G67:R67)),0)</f>
        <v>0</v>
      </c>
      <c r="R63" s="48">
        <f ca="1">IF(Remaining_Cost[[#This Row],[MatchStr]]="IGNORE",0,SUM(Remaining_Cost[[#This Row],[1]:[12]]))</f>
        <v>0</v>
      </c>
    </row>
    <row r="64" spans="1:18">
      <c r="A64" s="11" t="s">
        <v>97</v>
      </c>
      <c r="B64" s="49" t="str">
        <f>VLOOKUP(Remaining_Cost[[#This Row],[Cost]],Upgrades[],2,FALSE)</f>
        <v>Upgrade</v>
      </c>
      <c r="C64" s="49" t="str">
        <f>VLOOKUP(Remaining_Cost[[#This Row],[Cost]],Upgrades[],3,FALSE)</f>
        <v>Dark Elixir</v>
      </c>
      <c r="D64" s="116" t="str">
        <f>IF(COUNTIF(Skips,Remaining_Cost[[#This Row],[Cost]])&gt;0,"IGNORE",Remaining_Cost[Kind]&amp;"-"&amp;Remaining_Cost[Resource])</f>
        <v>IGNORE</v>
      </c>
      <c r="E64" s="47">
        <f ca="1">IFERROR(VLOOKUP(Remaining_Cost[[#This Row],[Cost]],Upgrades[],MATCH("C"&amp;MATCH(TRUE,INDEX(Remaining_Cost[[#This Row],[1]:[12]]&lt;&gt;0,),0),Upgrades[#Headers],0),FALSE),"")</f>
        <v>10000</v>
      </c>
      <c r="F64" s="48">
        <f ca="1">IF(VALUE(Remaining_Cost[#Headers])&lt;='Construction Dashboard'!$F68,IFERROR(VLOOKUP(Remaining_Cost[[#This Row],[Cost]],Upgrades[],MATCH("C"&amp;Remaining_Cost[#Headers],Upgrades[#Headers],0),FALSE),0)*MAX(0,SUM('Construction Dashboard'!$G68:G68)),0)</f>
        <v>0</v>
      </c>
      <c r="G64" s="48">
        <f ca="1">IF(VALUE(Remaining_Cost[#Headers])&lt;='Construction Dashboard'!$F68,IFERROR(VLOOKUP(Remaining_Cost[[#This Row],[Cost]],Upgrades[],MATCH("C"&amp;Remaining_Cost[#Headers],Upgrades[#Headers],0),FALSE),0)*MAX(0,SUM('Construction Dashboard'!$G68:H68)),0)</f>
        <v>10000</v>
      </c>
      <c r="H64" s="48">
        <f ca="1">IF(VALUE(Remaining_Cost[#Headers])&lt;='Construction Dashboard'!$F68,IFERROR(VLOOKUP(Remaining_Cost[[#This Row],[Cost]],Upgrades[],MATCH("C"&amp;Remaining_Cost[#Headers],Upgrades[#Headers],0),FALSE),0)*MAX(0,SUM('Construction Dashboard'!$G68:I68)),0)</f>
        <v>0</v>
      </c>
      <c r="I64" s="48">
        <f ca="1">IF(VALUE(Remaining_Cost[#Headers])&lt;='Construction Dashboard'!$F68,IFERROR(VLOOKUP(Remaining_Cost[[#This Row],[Cost]],Upgrades[],MATCH("C"&amp;Remaining_Cost[#Headers],Upgrades[#Headers],0),FALSE),0)*MAX(0,SUM('Construction Dashboard'!$G68:J68)),0)</f>
        <v>0</v>
      </c>
      <c r="J64" s="48">
        <f ca="1">IF(VALUE(Remaining_Cost[#Headers])&lt;='Construction Dashboard'!$F68,IFERROR(VLOOKUP(Remaining_Cost[[#This Row],[Cost]],Upgrades[],MATCH("C"&amp;Remaining_Cost[#Headers],Upgrades[#Headers],0),FALSE),0)*MAX(0,SUM('Construction Dashboard'!$G68:K68)),0)</f>
        <v>0</v>
      </c>
      <c r="K64" s="48">
        <f ca="1">IF(VALUE(Remaining_Cost[#Headers])&lt;='Construction Dashboard'!$F68,IFERROR(VLOOKUP(Remaining_Cost[[#This Row],[Cost]],Upgrades[],MATCH("C"&amp;Remaining_Cost[#Headers],Upgrades[#Headers],0),FALSE),0)*MAX(0,SUM('Construction Dashboard'!$G68:L68)),0)</f>
        <v>0</v>
      </c>
      <c r="L64" s="48">
        <f ca="1">IF(VALUE(Remaining_Cost[#Headers])&lt;='Construction Dashboard'!$F68,IFERROR(VLOOKUP(Remaining_Cost[[#This Row],[Cost]],Upgrades[],MATCH("C"&amp;Remaining_Cost[#Headers],Upgrades[#Headers],0),FALSE),0)*MAX(0,SUM('Construction Dashboard'!$G68:M68)),0)</f>
        <v>0</v>
      </c>
      <c r="M64" s="48">
        <f ca="1">IF(VALUE(Remaining_Cost[#Headers])&lt;='Construction Dashboard'!$F68,IFERROR(VLOOKUP(Remaining_Cost[[#This Row],[Cost]],Upgrades[],MATCH("C"&amp;Remaining_Cost[#Headers],Upgrades[#Headers],0),FALSE),0)*MAX(0,SUM('Construction Dashboard'!$G68:N68)),0)</f>
        <v>0</v>
      </c>
      <c r="N64" s="48">
        <f ca="1">IF(VALUE(Remaining_Cost[#Headers])&lt;='Construction Dashboard'!$F68,IFERROR(VLOOKUP(Remaining_Cost[[#This Row],[Cost]],Upgrades[],MATCH("C"&amp;Remaining_Cost[#Headers],Upgrades[#Headers],0),FALSE),0)*MAX(0,SUM('Construction Dashboard'!$G68:O68)),0)</f>
        <v>0</v>
      </c>
      <c r="O64" s="48">
        <f ca="1">IF(VALUE(Remaining_Cost[#Headers])&lt;='Construction Dashboard'!$F68,IFERROR(VLOOKUP(Remaining_Cost[[#This Row],[Cost]],Upgrades[],MATCH("C"&amp;Remaining_Cost[#Headers],Upgrades[#Headers],0),FALSE),0)*MAX(0,SUM('Construction Dashboard'!$G68:P68)),0)</f>
        <v>0</v>
      </c>
      <c r="P64" s="48">
        <f ca="1">IF(VALUE(Remaining_Cost[#Headers])&lt;='Construction Dashboard'!$F68,IFERROR(VLOOKUP(Remaining_Cost[[#This Row],[Cost]],Upgrades[],MATCH("C"&amp;Remaining_Cost[#Headers],Upgrades[#Headers],0),FALSE),0)*MAX(0,SUM('Construction Dashboard'!$G68:Q68)),0)</f>
        <v>0</v>
      </c>
      <c r="Q64" s="48">
        <f ca="1">IF(VALUE(Remaining_Cost[#Headers])&lt;='Construction Dashboard'!$F68,IFERROR(VLOOKUP(Remaining_Cost[[#This Row],[Cost]],Upgrades[],MATCH("C"&amp;Remaining_Cost[#Headers],Upgrades[#Headers],0),FALSE),0)*MAX(0,SUM('Construction Dashboard'!$G68:R68)),0)</f>
        <v>0</v>
      </c>
      <c r="R64" s="48">
        <f>IF(Remaining_Cost[[#This Row],[MatchStr]]="IGNORE",0,SUM(Remaining_Cost[[#This Row],[1]:[12]]))</f>
        <v>0</v>
      </c>
    </row>
    <row r="65" spans="1:27">
      <c r="A65" s="11" t="s">
        <v>98</v>
      </c>
      <c r="B65" s="49" t="str">
        <f>VLOOKUP(Remaining_Cost[[#This Row],[Cost]],Upgrades[],2,FALSE)</f>
        <v>Upgrade</v>
      </c>
      <c r="C65" s="49" t="str">
        <f>VLOOKUP(Remaining_Cost[[#This Row],[Cost]],Upgrades[],3,FALSE)</f>
        <v>Dark Elixir</v>
      </c>
      <c r="D65" s="116" t="str">
        <f>IF(COUNTIF(Skips,Remaining_Cost[[#This Row],[Cost]])&gt;0,"IGNORE",Remaining_Cost[Kind]&amp;"-"&amp;Remaining_Cost[Resource])</f>
        <v>Upgrade-Dark Elixir</v>
      </c>
      <c r="E65" s="47">
        <f ca="1">IFERROR(VLOOKUP(Remaining_Cost[[#This Row],[Cost]],Upgrades[],MATCH("C"&amp;MATCH(TRUE,INDEX(Remaining_Cost[[#This Row],[1]:[12]]&lt;&gt;0,),0),Upgrades[#Headers],0),FALSE),"")</f>
        <v>20000</v>
      </c>
      <c r="F65" s="48">
        <f ca="1">IF(VALUE(Remaining_Cost[#Headers])&lt;='Construction Dashboard'!$F69,IFERROR(VLOOKUP(Remaining_Cost[[#This Row],[Cost]],Upgrades[],MATCH("C"&amp;Remaining_Cost[#Headers],Upgrades[#Headers],0),FALSE),0)*MAX(0,SUM('Construction Dashboard'!$G69:G69)),0)</f>
        <v>0</v>
      </c>
      <c r="G65" s="48">
        <f ca="1">IF(VALUE(Remaining_Cost[#Headers])&lt;='Construction Dashboard'!$F69,IFERROR(VLOOKUP(Remaining_Cost[[#This Row],[Cost]],Upgrades[],MATCH("C"&amp;Remaining_Cost[#Headers],Upgrades[#Headers],0),FALSE),0)*MAX(0,SUM('Construction Dashboard'!$G69:H69)),0)</f>
        <v>20000</v>
      </c>
      <c r="H65" s="48">
        <f ca="1">IF(VALUE(Remaining_Cost[#Headers])&lt;='Construction Dashboard'!$F69,IFERROR(VLOOKUP(Remaining_Cost[[#This Row],[Cost]],Upgrades[],MATCH("C"&amp;Remaining_Cost[#Headers],Upgrades[#Headers],0),FALSE),0)*MAX(0,SUM('Construction Dashboard'!$G69:I69)),0)</f>
        <v>0</v>
      </c>
      <c r="I65" s="48">
        <f ca="1">IF(VALUE(Remaining_Cost[#Headers])&lt;='Construction Dashboard'!$F69,IFERROR(VLOOKUP(Remaining_Cost[[#This Row],[Cost]],Upgrades[],MATCH("C"&amp;Remaining_Cost[#Headers],Upgrades[#Headers],0),FALSE),0)*MAX(0,SUM('Construction Dashboard'!$G69:J69)),0)</f>
        <v>0</v>
      </c>
      <c r="J65" s="48">
        <f ca="1">IF(VALUE(Remaining_Cost[#Headers])&lt;='Construction Dashboard'!$F69,IFERROR(VLOOKUP(Remaining_Cost[[#This Row],[Cost]],Upgrades[],MATCH("C"&amp;Remaining_Cost[#Headers],Upgrades[#Headers],0),FALSE),0)*MAX(0,SUM('Construction Dashboard'!$G69:K69)),0)</f>
        <v>0</v>
      </c>
      <c r="K65" s="48">
        <f ca="1">IF(VALUE(Remaining_Cost[#Headers])&lt;='Construction Dashboard'!$F69,IFERROR(VLOOKUP(Remaining_Cost[[#This Row],[Cost]],Upgrades[],MATCH("C"&amp;Remaining_Cost[#Headers],Upgrades[#Headers],0),FALSE),0)*MAX(0,SUM('Construction Dashboard'!$G69:L69)),0)</f>
        <v>0</v>
      </c>
      <c r="L65" s="48">
        <f ca="1">IF(VALUE(Remaining_Cost[#Headers])&lt;='Construction Dashboard'!$F69,IFERROR(VLOOKUP(Remaining_Cost[[#This Row],[Cost]],Upgrades[],MATCH("C"&amp;Remaining_Cost[#Headers],Upgrades[#Headers],0),FALSE),0)*MAX(0,SUM('Construction Dashboard'!$G69:M69)),0)</f>
        <v>0</v>
      </c>
      <c r="M65" s="48">
        <f ca="1">IF(VALUE(Remaining_Cost[#Headers])&lt;='Construction Dashboard'!$F69,IFERROR(VLOOKUP(Remaining_Cost[[#This Row],[Cost]],Upgrades[],MATCH("C"&amp;Remaining_Cost[#Headers],Upgrades[#Headers],0),FALSE),0)*MAX(0,SUM('Construction Dashboard'!$G69:N69)),0)</f>
        <v>0</v>
      </c>
      <c r="N65" s="48">
        <f ca="1">IF(VALUE(Remaining_Cost[#Headers])&lt;='Construction Dashboard'!$F69,IFERROR(VLOOKUP(Remaining_Cost[[#This Row],[Cost]],Upgrades[],MATCH("C"&amp;Remaining_Cost[#Headers],Upgrades[#Headers],0),FALSE),0)*MAX(0,SUM('Construction Dashboard'!$G69:O69)),0)</f>
        <v>0</v>
      </c>
      <c r="O65" s="48">
        <f ca="1">IF(VALUE(Remaining_Cost[#Headers])&lt;='Construction Dashboard'!$F69,IFERROR(VLOOKUP(Remaining_Cost[[#This Row],[Cost]],Upgrades[],MATCH("C"&amp;Remaining_Cost[#Headers],Upgrades[#Headers],0),FALSE),0)*MAX(0,SUM('Construction Dashboard'!$G69:P69)),0)</f>
        <v>0</v>
      </c>
      <c r="P65" s="48">
        <f ca="1">IF(VALUE(Remaining_Cost[#Headers])&lt;='Construction Dashboard'!$F69,IFERROR(VLOOKUP(Remaining_Cost[[#This Row],[Cost]],Upgrades[],MATCH("C"&amp;Remaining_Cost[#Headers],Upgrades[#Headers],0),FALSE),0)*MAX(0,SUM('Construction Dashboard'!$G69:Q69)),0)</f>
        <v>0</v>
      </c>
      <c r="Q65" s="48">
        <f ca="1">IF(VALUE(Remaining_Cost[#Headers])&lt;='Construction Dashboard'!$F69,IFERROR(VLOOKUP(Remaining_Cost[[#This Row],[Cost]],Upgrades[],MATCH("C"&amp;Remaining_Cost[#Headers],Upgrades[#Headers],0),FALSE),0)*MAX(0,SUM('Construction Dashboard'!$G69:R69)),0)</f>
        <v>0</v>
      </c>
      <c r="R65" s="48">
        <f ca="1">IF(Remaining_Cost[[#This Row],[MatchStr]]="IGNORE",0,SUM(Remaining_Cost[[#This Row],[1]:[12]]))</f>
        <v>20000</v>
      </c>
    </row>
    <row r="66" spans="1:27">
      <c r="A66" s="11" t="s">
        <v>99</v>
      </c>
      <c r="B66" s="49" t="str">
        <f>VLOOKUP(Remaining_Cost[[#This Row],[Cost]],Upgrades[],2,FALSE)</f>
        <v>Upgrade</v>
      </c>
      <c r="C66" s="49" t="str">
        <f>VLOOKUP(Remaining_Cost[[#This Row],[Cost]],Upgrades[],3,FALSE)</f>
        <v>Dark Elixir</v>
      </c>
      <c r="D66" s="116" t="str">
        <f>IF(COUNTIF(Skips,Remaining_Cost[[#This Row],[Cost]])&gt;0,"IGNORE",Remaining_Cost[Kind]&amp;"-"&amp;Remaining_Cost[Resource])</f>
        <v>Upgrade-Dark Elixir</v>
      </c>
      <c r="E66" s="47" t="str">
        <f ca="1">IFERROR(VLOOKUP(Remaining_Cost[[#This Row],[Cost]],Upgrades[],MATCH("C"&amp;MATCH(TRUE,INDEX(Remaining_Cost[[#This Row],[1]:[12]]&lt;&gt;0,),0),Upgrades[#Headers],0),FALSE),"")</f>
        <v/>
      </c>
      <c r="F66" s="48">
        <f ca="1">IF(VALUE(Remaining_Cost[#Headers])&lt;='Construction Dashboard'!$F70,IFERROR(VLOOKUP(Remaining_Cost[[#This Row],[Cost]],Upgrades[],MATCH("C"&amp;Remaining_Cost[#Headers],Upgrades[#Headers],0),FALSE),0)*MAX(0,SUM('Construction Dashboard'!$G70:G70)),0)</f>
        <v>0</v>
      </c>
      <c r="G66" s="48">
        <f ca="1">IF(VALUE(Remaining_Cost[#Headers])&lt;='Construction Dashboard'!$F70,IFERROR(VLOOKUP(Remaining_Cost[[#This Row],[Cost]],Upgrades[],MATCH("C"&amp;Remaining_Cost[#Headers],Upgrades[#Headers],0),FALSE),0)*MAX(0,SUM('Construction Dashboard'!$G70:H70)),0)</f>
        <v>0</v>
      </c>
      <c r="H66" s="48">
        <f ca="1">IF(VALUE(Remaining_Cost[#Headers])&lt;='Construction Dashboard'!$F70,IFERROR(VLOOKUP(Remaining_Cost[[#This Row],[Cost]],Upgrades[],MATCH("C"&amp;Remaining_Cost[#Headers],Upgrades[#Headers],0),FALSE),0)*MAX(0,SUM('Construction Dashboard'!$G70:I70)),0)</f>
        <v>0</v>
      </c>
      <c r="I66" s="48">
        <f ca="1">IF(VALUE(Remaining_Cost[#Headers])&lt;='Construction Dashboard'!$F70,IFERROR(VLOOKUP(Remaining_Cost[[#This Row],[Cost]],Upgrades[],MATCH("C"&amp;Remaining_Cost[#Headers],Upgrades[#Headers],0),FALSE),0)*MAX(0,SUM('Construction Dashboard'!$G70:J70)),0)</f>
        <v>0</v>
      </c>
      <c r="J66" s="48">
        <f ca="1">IF(VALUE(Remaining_Cost[#Headers])&lt;='Construction Dashboard'!$F70,IFERROR(VLOOKUP(Remaining_Cost[[#This Row],[Cost]],Upgrades[],MATCH("C"&amp;Remaining_Cost[#Headers],Upgrades[#Headers],0),FALSE),0)*MAX(0,SUM('Construction Dashboard'!$G70:K70)),0)</f>
        <v>0</v>
      </c>
      <c r="K66" s="48">
        <f ca="1">IF(VALUE(Remaining_Cost[#Headers])&lt;='Construction Dashboard'!$F70,IFERROR(VLOOKUP(Remaining_Cost[[#This Row],[Cost]],Upgrades[],MATCH("C"&amp;Remaining_Cost[#Headers],Upgrades[#Headers],0),FALSE),0)*MAX(0,SUM('Construction Dashboard'!$G70:L70)),0)</f>
        <v>0</v>
      </c>
      <c r="L66" s="48">
        <f ca="1">IF(VALUE(Remaining_Cost[#Headers])&lt;='Construction Dashboard'!$F70,IFERROR(VLOOKUP(Remaining_Cost[[#This Row],[Cost]],Upgrades[],MATCH("C"&amp;Remaining_Cost[#Headers],Upgrades[#Headers],0),FALSE),0)*MAX(0,SUM('Construction Dashboard'!$G70:M70)),0)</f>
        <v>0</v>
      </c>
      <c r="M66" s="48">
        <f ca="1">IF(VALUE(Remaining_Cost[#Headers])&lt;='Construction Dashboard'!$F70,IFERROR(VLOOKUP(Remaining_Cost[[#This Row],[Cost]],Upgrades[],MATCH("C"&amp;Remaining_Cost[#Headers],Upgrades[#Headers],0),FALSE),0)*MAX(0,SUM('Construction Dashboard'!$G70:N70)),0)</f>
        <v>0</v>
      </c>
      <c r="N66" s="48">
        <f ca="1">IF(VALUE(Remaining_Cost[#Headers])&lt;='Construction Dashboard'!$F70,IFERROR(VLOOKUP(Remaining_Cost[[#This Row],[Cost]],Upgrades[],MATCH("C"&amp;Remaining_Cost[#Headers],Upgrades[#Headers],0),FALSE),0)*MAX(0,SUM('Construction Dashboard'!$G70:O70)),0)</f>
        <v>0</v>
      </c>
      <c r="O66" s="48">
        <f ca="1">IF(VALUE(Remaining_Cost[#Headers])&lt;='Construction Dashboard'!$F70,IFERROR(VLOOKUP(Remaining_Cost[[#This Row],[Cost]],Upgrades[],MATCH("C"&amp;Remaining_Cost[#Headers],Upgrades[#Headers],0),FALSE),0)*MAX(0,SUM('Construction Dashboard'!$G70:P70)),0)</f>
        <v>0</v>
      </c>
      <c r="P66" s="48">
        <f ca="1">IF(VALUE(Remaining_Cost[#Headers])&lt;='Construction Dashboard'!$F70,IFERROR(VLOOKUP(Remaining_Cost[[#This Row],[Cost]],Upgrades[],MATCH("C"&amp;Remaining_Cost[#Headers],Upgrades[#Headers],0),FALSE),0)*MAX(0,SUM('Construction Dashboard'!$G70:Q70)),0)</f>
        <v>0</v>
      </c>
      <c r="Q66" s="48">
        <f ca="1">IF(VALUE(Remaining_Cost[#Headers])&lt;='Construction Dashboard'!$F70,IFERROR(VLOOKUP(Remaining_Cost[[#This Row],[Cost]],Upgrades[],MATCH("C"&amp;Remaining_Cost[#Headers],Upgrades[#Headers],0),FALSE),0)*MAX(0,SUM('Construction Dashboard'!$G70:R70)),0)</f>
        <v>0</v>
      </c>
      <c r="R66" s="48">
        <f ca="1">IF(Remaining_Cost[[#This Row],[MatchStr]]="IGNORE",0,SUM(Remaining_Cost[[#This Row],[1]:[12]]))</f>
        <v>0</v>
      </c>
    </row>
    <row r="67" spans="1:27">
      <c r="A67" s="11" t="s">
        <v>100</v>
      </c>
      <c r="B67" s="49" t="str">
        <f>VLOOKUP(Remaining_Cost[[#This Row],[Cost]],Upgrades[],2,FALSE)</f>
        <v>Upgrade</v>
      </c>
      <c r="C67" s="49" t="str">
        <f>VLOOKUP(Remaining_Cost[[#This Row],[Cost]],Upgrades[],3,FALSE)</f>
        <v>Dark Elixir</v>
      </c>
      <c r="D67" s="116" t="str">
        <f>IF(COUNTIF(Skips,Remaining_Cost[[#This Row],[Cost]])&gt;0,"IGNORE",Remaining_Cost[Kind]&amp;"-"&amp;Remaining_Cost[Resource])</f>
        <v>Upgrade-Dark Elixir</v>
      </c>
      <c r="E67" s="47" t="str">
        <f ca="1">IFERROR(VLOOKUP(Remaining_Cost[[#This Row],[Cost]],Upgrades[],MATCH("C"&amp;MATCH(TRUE,INDEX(Remaining_Cost[[#This Row],[1]:[12]]&lt;&gt;0,),0),Upgrades[#Headers],0),FALSE),"")</f>
        <v/>
      </c>
      <c r="F67" s="48">
        <f ca="1">IF(VALUE(Remaining_Cost[#Headers])&lt;='Construction Dashboard'!$F71,IFERROR(VLOOKUP(Remaining_Cost[[#This Row],[Cost]],Upgrades[],MATCH("C"&amp;Remaining_Cost[#Headers],Upgrades[#Headers],0),FALSE),0)*MAX(0,SUM('Construction Dashboard'!$G71:G71)),0)</f>
        <v>0</v>
      </c>
      <c r="G67" s="48">
        <f ca="1">IF(VALUE(Remaining_Cost[#Headers])&lt;='Construction Dashboard'!$F71,IFERROR(VLOOKUP(Remaining_Cost[[#This Row],[Cost]],Upgrades[],MATCH("C"&amp;Remaining_Cost[#Headers],Upgrades[#Headers],0),FALSE),0)*MAX(0,SUM('Construction Dashboard'!$G71:H71)),0)</f>
        <v>0</v>
      </c>
      <c r="H67" s="48">
        <f ca="1">IF(VALUE(Remaining_Cost[#Headers])&lt;='Construction Dashboard'!$F71,IFERROR(VLOOKUP(Remaining_Cost[[#This Row],[Cost]],Upgrades[],MATCH("C"&amp;Remaining_Cost[#Headers],Upgrades[#Headers],0),FALSE),0)*MAX(0,SUM('Construction Dashboard'!$G71:I71)),0)</f>
        <v>0</v>
      </c>
      <c r="I67" s="48">
        <f ca="1">IF(VALUE(Remaining_Cost[#Headers])&lt;='Construction Dashboard'!$F71,IFERROR(VLOOKUP(Remaining_Cost[[#This Row],[Cost]],Upgrades[],MATCH("C"&amp;Remaining_Cost[#Headers],Upgrades[#Headers],0),FALSE),0)*MAX(0,SUM('Construction Dashboard'!$G71:J71)),0)</f>
        <v>0</v>
      </c>
      <c r="J67" s="48">
        <f ca="1">IF(VALUE(Remaining_Cost[#Headers])&lt;='Construction Dashboard'!$F71,IFERROR(VLOOKUP(Remaining_Cost[[#This Row],[Cost]],Upgrades[],MATCH("C"&amp;Remaining_Cost[#Headers],Upgrades[#Headers],0),FALSE),0)*MAX(0,SUM('Construction Dashboard'!$G71:K71)),0)</f>
        <v>0</v>
      </c>
      <c r="K67" s="48">
        <f ca="1">IF(VALUE(Remaining_Cost[#Headers])&lt;='Construction Dashboard'!$F71,IFERROR(VLOOKUP(Remaining_Cost[[#This Row],[Cost]],Upgrades[],MATCH("C"&amp;Remaining_Cost[#Headers],Upgrades[#Headers],0),FALSE),0)*MAX(0,SUM('Construction Dashboard'!$G71:L71)),0)</f>
        <v>0</v>
      </c>
      <c r="L67" s="48">
        <f ca="1">IF(VALUE(Remaining_Cost[#Headers])&lt;='Construction Dashboard'!$F71,IFERROR(VLOOKUP(Remaining_Cost[[#This Row],[Cost]],Upgrades[],MATCH("C"&amp;Remaining_Cost[#Headers],Upgrades[#Headers],0),FALSE),0)*MAX(0,SUM('Construction Dashboard'!$G71:M71)),0)</f>
        <v>0</v>
      </c>
      <c r="M67" s="48">
        <f ca="1">IF(VALUE(Remaining_Cost[#Headers])&lt;='Construction Dashboard'!$F71,IFERROR(VLOOKUP(Remaining_Cost[[#This Row],[Cost]],Upgrades[],MATCH("C"&amp;Remaining_Cost[#Headers],Upgrades[#Headers],0),FALSE),0)*MAX(0,SUM('Construction Dashboard'!$G71:N71)),0)</f>
        <v>0</v>
      </c>
      <c r="N67" s="48">
        <f ca="1">IF(VALUE(Remaining_Cost[#Headers])&lt;='Construction Dashboard'!$F71,IFERROR(VLOOKUP(Remaining_Cost[[#This Row],[Cost]],Upgrades[],MATCH("C"&amp;Remaining_Cost[#Headers],Upgrades[#Headers],0),FALSE),0)*MAX(0,SUM('Construction Dashboard'!$G71:O71)),0)</f>
        <v>0</v>
      </c>
      <c r="O67" s="48">
        <f ca="1">IF(VALUE(Remaining_Cost[#Headers])&lt;='Construction Dashboard'!$F71,IFERROR(VLOOKUP(Remaining_Cost[[#This Row],[Cost]],Upgrades[],MATCH("C"&amp;Remaining_Cost[#Headers],Upgrades[#Headers],0),FALSE),0)*MAX(0,SUM('Construction Dashboard'!$G71:P71)),0)</f>
        <v>0</v>
      </c>
      <c r="P67" s="48">
        <f ca="1">IF(VALUE(Remaining_Cost[#Headers])&lt;='Construction Dashboard'!$F71,IFERROR(VLOOKUP(Remaining_Cost[[#This Row],[Cost]],Upgrades[],MATCH("C"&amp;Remaining_Cost[#Headers],Upgrades[#Headers],0),FALSE),0)*MAX(0,SUM('Construction Dashboard'!$G71:Q71)),0)</f>
        <v>0</v>
      </c>
      <c r="Q67" s="48">
        <f ca="1">IF(VALUE(Remaining_Cost[#Headers])&lt;='Construction Dashboard'!$F71,IFERROR(VLOOKUP(Remaining_Cost[[#This Row],[Cost]],Upgrades[],MATCH("C"&amp;Remaining_Cost[#Headers],Upgrades[#Headers],0),FALSE),0)*MAX(0,SUM('Construction Dashboard'!$G71:R71)),0)</f>
        <v>0</v>
      </c>
      <c r="R67" s="48">
        <f ca="1">IF(Remaining_Cost[[#This Row],[MatchStr]]="IGNORE",0,SUM(Remaining_Cost[[#This Row],[1]:[12]]))</f>
        <v>0</v>
      </c>
    </row>
    <row r="68" spans="1:27">
      <c r="A68" s="50" t="s">
        <v>101</v>
      </c>
      <c r="B68" s="51" t="str">
        <f>VLOOKUP(Remaining_Cost[[#This Row],[Cost]],Upgrades[],2,FALSE)</f>
        <v>Upgrade</v>
      </c>
      <c r="C68" s="51" t="str">
        <f>VLOOKUP(Remaining_Cost[[#This Row],[Cost]],Upgrades[],3,FALSE)</f>
        <v>Dark Elixir</v>
      </c>
      <c r="D68" s="117" t="str">
        <f>IF(COUNTIF(Skips,Remaining_Cost[[#This Row],[Cost]])&gt;0,"IGNORE",Remaining_Cost[Kind]&amp;"-"&amp;Remaining_Cost[Resource])</f>
        <v>Upgrade-Dark Elixir</v>
      </c>
      <c r="E68" s="52" t="str">
        <f ca="1">IFERROR(VLOOKUP(Remaining_Cost[[#This Row],[Cost]],Upgrades[],MATCH("C"&amp;MATCH(TRUE,INDEX(Remaining_Cost[[#This Row],[1]:[12]]&lt;&gt;0,),0),Upgrades[#Headers],0),FALSE),"")</f>
        <v/>
      </c>
      <c r="F68" s="53">
        <f ca="1">IF(VALUE(Remaining_Cost[#Headers])&lt;='Construction Dashboard'!$F72,IFERROR(VLOOKUP(Remaining_Cost[[#This Row],[Cost]],Upgrades[],MATCH("C"&amp;Remaining_Cost[#Headers],Upgrades[#Headers],0),FALSE),0)*MAX(0,SUM('Construction Dashboard'!$G72:G72)),0)</f>
        <v>0</v>
      </c>
      <c r="G68" s="53">
        <f ca="1">IF(VALUE(Remaining_Cost[#Headers])&lt;='Construction Dashboard'!$F72,IFERROR(VLOOKUP(Remaining_Cost[[#This Row],[Cost]],Upgrades[],MATCH("C"&amp;Remaining_Cost[#Headers],Upgrades[#Headers],0),FALSE),0)*MAX(0,SUM('Construction Dashboard'!$G72:H72)),0)</f>
        <v>0</v>
      </c>
      <c r="H68" s="53">
        <f ca="1">IF(VALUE(Remaining_Cost[#Headers])&lt;='Construction Dashboard'!$F72,IFERROR(VLOOKUP(Remaining_Cost[[#This Row],[Cost]],Upgrades[],MATCH("C"&amp;Remaining_Cost[#Headers],Upgrades[#Headers],0),FALSE),0)*MAX(0,SUM('Construction Dashboard'!$G72:I72)),0)</f>
        <v>0</v>
      </c>
      <c r="I68" s="53">
        <f ca="1">IF(VALUE(Remaining_Cost[#Headers])&lt;='Construction Dashboard'!$F72,IFERROR(VLOOKUP(Remaining_Cost[[#This Row],[Cost]],Upgrades[],MATCH("C"&amp;Remaining_Cost[#Headers],Upgrades[#Headers],0),FALSE),0)*MAX(0,SUM('Construction Dashboard'!$G72:J72)),0)</f>
        <v>0</v>
      </c>
      <c r="J68" s="53">
        <f ca="1">IF(VALUE(Remaining_Cost[#Headers])&lt;='Construction Dashboard'!$F72,IFERROR(VLOOKUP(Remaining_Cost[[#This Row],[Cost]],Upgrades[],MATCH("C"&amp;Remaining_Cost[#Headers],Upgrades[#Headers],0),FALSE),0)*MAX(0,SUM('Construction Dashboard'!$G72:K72)),0)</f>
        <v>0</v>
      </c>
      <c r="K68" s="53">
        <f ca="1">IF(VALUE(Remaining_Cost[#Headers])&lt;='Construction Dashboard'!$F72,IFERROR(VLOOKUP(Remaining_Cost[[#This Row],[Cost]],Upgrades[],MATCH("C"&amp;Remaining_Cost[#Headers],Upgrades[#Headers],0),FALSE),0)*MAX(0,SUM('Construction Dashboard'!$G72:L72)),0)</f>
        <v>0</v>
      </c>
      <c r="L68" s="53">
        <f ca="1">IF(VALUE(Remaining_Cost[#Headers])&lt;='Construction Dashboard'!$F72,IFERROR(VLOOKUP(Remaining_Cost[[#This Row],[Cost]],Upgrades[],MATCH("C"&amp;Remaining_Cost[#Headers],Upgrades[#Headers],0),FALSE),0)*MAX(0,SUM('Construction Dashboard'!$G72:M72)),0)</f>
        <v>0</v>
      </c>
      <c r="M68" s="53">
        <f ca="1">IF(VALUE(Remaining_Cost[#Headers])&lt;='Construction Dashboard'!$F72,IFERROR(VLOOKUP(Remaining_Cost[[#This Row],[Cost]],Upgrades[],MATCH("C"&amp;Remaining_Cost[#Headers],Upgrades[#Headers],0),FALSE),0)*MAX(0,SUM('Construction Dashboard'!$G72:N72)),0)</f>
        <v>0</v>
      </c>
      <c r="N68" s="53">
        <f ca="1">IF(VALUE(Remaining_Cost[#Headers])&lt;='Construction Dashboard'!$F72,IFERROR(VLOOKUP(Remaining_Cost[[#This Row],[Cost]],Upgrades[],MATCH("C"&amp;Remaining_Cost[#Headers],Upgrades[#Headers],0),FALSE),0)*MAX(0,SUM('Construction Dashboard'!$G72:O72)),0)</f>
        <v>0</v>
      </c>
      <c r="O68" s="53">
        <f ca="1">IF(VALUE(Remaining_Cost[#Headers])&lt;='Construction Dashboard'!$F72,IFERROR(VLOOKUP(Remaining_Cost[[#This Row],[Cost]],Upgrades[],MATCH("C"&amp;Remaining_Cost[#Headers],Upgrades[#Headers],0),FALSE),0)*MAX(0,SUM('Construction Dashboard'!$G72:P72)),0)</f>
        <v>0</v>
      </c>
      <c r="P68" s="53">
        <f ca="1">IF(VALUE(Remaining_Cost[#Headers])&lt;='Construction Dashboard'!$F72,IFERROR(VLOOKUP(Remaining_Cost[[#This Row],[Cost]],Upgrades[],MATCH("C"&amp;Remaining_Cost[#Headers],Upgrades[#Headers],0),FALSE),0)*MAX(0,SUM('Construction Dashboard'!$G72:Q72)),0)</f>
        <v>0</v>
      </c>
      <c r="Q68" s="53">
        <f ca="1">IF(VALUE(Remaining_Cost[#Headers])&lt;='Construction Dashboard'!$F72,IFERROR(VLOOKUP(Remaining_Cost[[#This Row],[Cost]],Upgrades[],MATCH("C"&amp;Remaining_Cost[#Headers],Upgrades[#Headers],0),FALSE),0)*MAX(0,SUM('Construction Dashboard'!$G72:R72)),0)</f>
        <v>0</v>
      </c>
      <c r="R68" s="53">
        <f ca="1">IF(Remaining_Cost[[#This Row],[MatchStr]]="IGNORE",0,SUM(Remaining_Cost[[#This Row],[1]:[12]]))</f>
        <v>0</v>
      </c>
    </row>
    <row r="70" spans="1:27" ht="16" thickBot="1"/>
    <row r="71" spans="1:27" ht="32" thickTop="1" thickBot="1">
      <c r="A71" s="364" t="s">
        <v>195</v>
      </c>
      <c r="B71" s="365"/>
      <c r="C71" s="365"/>
      <c r="D71" s="365"/>
      <c r="E71" s="365"/>
      <c r="F71" s="365"/>
      <c r="G71" s="365"/>
      <c r="H71" s="365"/>
      <c r="I71" s="365"/>
      <c r="J71" s="365"/>
      <c r="K71" s="365"/>
      <c r="L71" s="365"/>
      <c r="M71" s="365"/>
      <c r="N71" s="365"/>
      <c r="O71" s="365"/>
      <c r="P71" s="365"/>
      <c r="Q71" s="365"/>
      <c r="R71" s="365"/>
      <c r="S71" s="365"/>
      <c r="T71" s="365"/>
      <c r="U71" s="365"/>
      <c r="V71" s="365"/>
      <c r="W71" s="365"/>
      <c r="X71" s="365"/>
      <c r="Y71" s="365"/>
      <c r="Z71" s="365"/>
      <c r="AA71" s="366"/>
    </row>
    <row r="72" spans="1:27" ht="16" thickTop="1">
      <c r="A72" s="11"/>
      <c r="B72" s="11"/>
      <c r="C72" s="11"/>
      <c r="D72" s="115"/>
      <c r="E72" s="11"/>
      <c r="F72" s="11"/>
      <c r="G72" s="11"/>
      <c r="H72" s="11"/>
      <c r="I72" s="11"/>
      <c r="J72" s="11"/>
      <c r="K72" s="11"/>
      <c r="L72" s="11"/>
      <c r="M72" s="11"/>
      <c r="N72" s="11"/>
      <c r="O72" s="11"/>
      <c r="P72" s="11"/>
      <c r="Q72" s="11"/>
      <c r="R72" s="11"/>
    </row>
    <row r="73" spans="1:27">
      <c r="A73" s="11" t="s">
        <v>0</v>
      </c>
      <c r="B73" s="11" t="s">
        <v>70</v>
      </c>
      <c r="C73" s="11" t="s">
        <v>30</v>
      </c>
      <c r="D73" s="115" t="s">
        <v>136</v>
      </c>
      <c r="E73" s="11" t="s">
        <v>69</v>
      </c>
      <c r="F73" s="11" t="s">
        <v>32</v>
      </c>
      <c r="G73" s="11" t="s">
        <v>33</v>
      </c>
      <c r="H73" s="11" t="s">
        <v>34</v>
      </c>
      <c r="I73" s="11" t="s">
        <v>35</v>
      </c>
      <c r="J73" s="11" t="s">
        <v>36</v>
      </c>
      <c r="K73" s="11" t="s">
        <v>37</v>
      </c>
      <c r="L73" s="11" t="s">
        <v>38</v>
      </c>
      <c r="M73" s="11" t="s">
        <v>39</v>
      </c>
      <c r="N73" s="11" t="s">
        <v>40</v>
      </c>
      <c r="O73" s="11" t="s">
        <v>41</v>
      </c>
      <c r="P73" s="11" t="s">
        <v>42</v>
      </c>
      <c r="Q73" s="11" t="s">
        <v>43</v>
      </c>
      <c r="R73" s="11" t="s">
        <v>68</v>
      </c>
    </row>
    <row r="74" spans="1:27">
      <c r="A74" s="11" t="s">
        <v>13</v>
      </c>
      <c r="B74" s="11" t="str">
        <f>VLOOKUP(Remaining_Time[[#This Row],[Time]],Upgrades[],MATCH("Kind",Upgrades[#Headers],0),FALSE)</f>
        <v>Building</v>
      </c>
      <c r="C74" s="11" t="str">
        <f>VLOOKUP(Remaining_Time[[#This Row],[Time]],Upgrades[],MATCH("Resource",Upgrades[#Headers],0),FALSE)</f>
        <v>Gold</v>
      </c>
      <c r="D74" s="115" t="str">
        <f>IF(COUNTIF(Skips,Remaining_Time[[#This Row],[Time]])&gt;0,"IGNORE",Remaining_Time[Kind]&amp;"-"&amp;Remaining_Time[Resource])</f>
        <v>Building-Gold</v>
      </c>
      <c r="E74" s="47">
        <f ca="1">IFERROR(VLOOKUP(Remaining_Time[[#This Row],[Time]],Upgrades[],MATCH("T"&amp;MATCH(TRUE,INDEX(Remaining_Time[[#This Row],[1]:[12]]&lt;&gt;0,),0),Upgrades[#Headers],0),FALSE),"")</f>
        <v>8</v>
      </c>
      <c r="F74" s="54">
        <f ca="1">IF(VALUE(Remaining_Time[#Headers])&lt;='Construction Dashboard'!$F24,IFERROR(VLOOKUP(Remaining_Time[[#This Row],[Time]],Upgrades[],MATCH("T"&amp;Remaining_Time[#Headers],Upgrades[#Headers],0),FALSE),0)*MAX(0,SUM('Construction Dashboard'!$G24:G24)),0)</f>
        <v>0</v>
      </c>
      <c r="G74" s="54">
        <f ca="1">IF(VALUE(Remaining_Time[#Headers])&lt;='Construction Dashboard'!$F24,IFERROR(VLOOKUP(Remaining_Time[[#This Row],[Time]],Upgrades[],MATCH("T"&amp;Remaining_Time[#Headers],Upgrades[#Headers],0),FALSE),0)*MAX(0,SUM('Construction Dashboard'!$G24:H24)),0)</f>
        <v>0</v>
      </c>
      <c r="H74" s="54">
        <f ca="1">IF(VALUE(Remaining_Time[#Headers])&lt;='Construction Dashboard'!$F24,IFERROR(VLOOKUP(Remaining_Time[[#This Row],[Time]],Upgrades[],MATCH("T"&amp;Remaining_Time[#Headers],Upgrades[#Headers],0),FALSE),0)*MAX(0,SUM('Construction Dashboard'!$G24:I24)),0)</f>
        <v>0</v>
      </c>
      <c r="I74" s="54">
        <f ca="1">IF(VALUE(Remaining_Time[#Headers])&lt;='Construction Dashboard'!$F24,IFERROR(VLOOKUP(Remaining_Time[[#This Row],[Time]],Upgrades[],MATCH("T"&amp;Remaining_Time[#Headers],Upgrades[#Headers],0),FALSE),0)*MAX(0,SUM('Construction Dashboard'!$G24:J24)),0)</f>
        <v>0</v>
      </c>
      <c r="J74" s="54">
        <f ca="1">IF(VALUE(Remaining_Time[#Headers])&lt;='Construction Dashboard'!$F24,IFERROR(VLOOKUP(Remaining_Time[[#This Row],[Time]],Upgrades[],MATCH("T"&amp;Remaining_Time[#Headers],Upgrades[#Headers],0),FALSE),0)*MAX(0,SUM('Construction Dashboard'!$G24:K24)),0)</f>
        <v>0</v>
      </c>
      <c r="K74" s="54">
        <f ca="1">IF(VALUE(Remaining_Time[#Headers])&lt;='Construction Dashboard'!$F24,IFERROR(VLOOKUP(Remaining_Time[[#This Row],[Time]],Upgrades[],MATCH("T"&amp;Remaining_Time[#Headers],Upgrades[#Headers],0),FALSE),0)*MAX(0,SUM('Construction Dashboard'!$G24:L24)),0)</f>
        <v>0</v>
      </c>
      <c r="L74" s="54">
        <f ca="1">IF(VALUE(Remaining_Time[#Headers])&lt;='Construction Dashboard'!$F24,IFERROR(VLOOKUP(Remaining_Time[[#This Row],[Time]],Upgrades[],MATCH("T"&amp;Remaining_Time[#Headers],Upgrades[#Headers],0),FALSE),0)*MAX(0,SUM('Construction Dashboard'!$G24:M24)),0)</f>
        <v>0</v>
      </c>
      <c r="M74" s="54">
        <f ca="1">IF(VALUE(Remaining_Time[#Headers])&lt;='Construction Dashboard'!$F24,IFERROR(VLOOKUP(Remaining_Time[[#This Row],[Time]],Upgrades[],MATCH("T"&amp;Remaining_Time[#Headers],Upgrades[#Headers],0),FALSE),0)*MAX(0,SUM('Construction Dashboard'!$G24:N24)),0)</f>
        <v>8</v>
      </c>
      <c r="N74" s="54">
        <f ca="1">IF(VALUE(Remaining_Time[#Headers])&lt;='Construction Dashboard'!$F24,IFERROR(VLOOKUP(Remaining_Time[[#This Row],[Time]],Upgrades[],MATCH("T"&amp;Remaining_Time[#Headers],Upgrades[#Headers],0),FALSE),0)*MAX(0,SUM('Construction Dashboard'!$G24:O24)),0)</f>
        <v>0</v>
      </c>
      <c r="O74" s="54">
        <f ca="1">IF(VALUE(Remaining_Time[#Headers])&lt;='Construction Dashboard'!$F24,IFERROR(VLOOKUP(Remaining_Time[[#This Row],[Time]],Upgrades[],MATCH("T"&amp;Remaining_Time[#Headers],Upgrades[#Headers],0),FALSE),0)*MAX(0,SUM('Construction Dashboard'!$G24:P24)),0)</f>
        <v>0</v>
      </c>
      <c r="P74" s="54">
        <f ca="1">IF(VALUE(Remaining_Time[#Headers])&lt;='Construction Dashboard'!$F24,IFERROR(VLOOKUP(Remaining_Time[[#This Row],[Time]],Upgrades[],MATCH("T"&amp;Remaining_Time[#Headers],Upgrades[#Headers],0),FALSE),0)*MAX(0,SUM('Construction Dashboard'!$G24:Q24)),0)</f>
        <v>0</v>
      </c>
      <c r="Q74" s="54">
        <f ca="1">IF(VALUE(Remaining_Time[#Headers])&lt;='Construction Dashboard'!$F24,IFERROR(VLOOKUP(Remaining_Time[[#This Row],[Time]],Upgrades[],MATCH("T"&amp;Remaining_Time[#Headers],Upgrades[#Headers],0),FALSE),0)*MAX(0,SUM('Construction Dashboard'!$G24:R24)),0)</f>
        <v>0</v>
      </c>
      <c r="R74" s="54">
        <f ca="1">IF(Remaining_Time[[#This Row],[MatchStr]]="IGNORE",0,SUM(Remaining_Time[[#This Row],[1]:[12]]))</f>
        <v>8</v>
      </c>
    </row>
    <row r="75" spans="1:27">
      <c r="A75" s="11" t="s">
        <v>20</v>
      </c>
      <c r="B75" s="11" t="str">
        <f>VLOOKUP(Remaining_Time[[#This Row],[Time]],Upgrades[],MATCH("Kind",Upgrades[#Headers],0),FALSE)</f>
        <v>Building</v>
      </c>
      <c r="C75" s="11" t="str">
        <f>VLOOKUP(Remaining_Time[[#This Row],[Time]],Upgrades[],MATCH("Resource",Upgrades[#Headers],0),FALSE)</f>
        <v>Elixir</v>
      </c>
      <c r="D75" s="115" t="str">
        <f>IF(COUNTIF(Skips,Remaining_Time[[#This Row],[Time]])&gt;0,"IGNORE",Remaining_Time[Kind]&amp;"-"&amp;Remaining_Time[Resource])</f>
        <v>Building-Elixir</v>
      </c>
      <c r="E75" s="47" t="str">
        <f ca="1">IFERROR(VLOOKUP(Remaining_Time[[#This Row],[Time]],Upgrades[],MATCH("T"&amp;MATCH(TRUE,INDEX(Remaining_Time[[#This Row],[1]:[12]]&lt;&gt;0,),0),Upgrades[#Headers],0),FALSE),"")</f>
        <v/>
      </c>
      <c r="F75" s="54">
        <f ca="1">IF(VALUE(Remaining_Time[#Headers])&lt;='Construction Dashboard'!$F25,IFERROR(VLOOKUP(Remaining_Time[[#This Row],[Time]],Upgrades[],MATCH("T"&amp;Remaining_Time[#Headers],Upgrades[#Headers],0),FALSE),0)*MAX(0,SUM('Construction Dashboard'!$G25:G25)),0)</f>
        <v>0</v>
      </c>
      <c r="G75" s="54">
        <f ca="1">IF(VALUE(Remaining_Time[#Headers])&lt;='Construction Dashboard'!$F25,IFERROR(VLOOKUP(Remaining_Time[[#This Row],[Time]],Upgrades[],MATCH("T"&amp;Remaining_Time[#Headers],Upgrades[#Headers],0),FALSE),0)*MAX(0,SUM('Construction Dashboard'!$G25:H25)),0)</f>
        <v>0</v>
      </c>
      <c r="H75" s="54">
        <f ca="1">IF(VALUE(Remaining_Time[#Headers])&lt;='Construction Dashboard'!$F25,IFERROR(VLOOKUP(Remaining_Time[[#This Row],[Time]],Upgrades[],MATCH("T"&amp;Remaining_Time[#Headers],Upgrades[#Headers],0),FALSE),0)*MAX(0,SUM('Construction Dashboard'!$G25:I25)),0)</f>
        <v>0</v>
      </c>
      <c r="I75" s="54">
        <f ca="1">IF(VALUE(Remaining_Time[#Headers])&lt;='Construction Dashboard'!$F25,IFERROR(VLOOKUP(Remaining_Time[[#This Row],[Time]],Upgrades[],MATCH("T"&amp;Remaining_Time[#Headers],Upgrades[#Headers],0),FALSE),0)*MAX(0,SUM('Construction Dashboard'!$G25:J25)),0)</f>
        <v>0</v>
      </c>
      <c r="J75" s="54">
        <f ca="1">IF(VALUE(Remaining_Time[#Headers])&lt;='Construction Dashboard'!$F25,IFERROR(VLOOKUP(Remaining_Time[[#This Row],[Time]],Upgrades[],MATCH("T"&amp;Remaining_Time[#Headers],Upgrades[#Headers],0),FALSE),0)*MAX(0,SUM('Construction Dashboard'!$G25:K25)),0)</f>
        <v>0</v>
      </c>
      <c r="K75" s="54">
        <f ca="1">IF(VALUE(Remaining_Time[#Headers])&lt;='Construction Dashboard'!$F25,IFERROR(VLOOKUP(Remaining_Time[[#This Row],[Time]],Upgrades[],MATCH("T"&amp;Remaining_Time[#Headers],Upgrades[#Headers],0),FALSE),0)*MAX(0,SUM('Construction Dashboard'!$G25:L25)),0)</f>
        <v>0</v>
      </c>
      <c r="L75" s="54">
        <f ca="1">IF(VALUE(Remaining_Time[#Headers])&lt;='Construction Dashboard'!$F25,IFERROR(VLOOKUP(Remaining_Time[[#This Row],[Time]],Upgrades[],MATCH("T"&amp;Remaining_Time[#Headers],Upgrades[#Headers],0),FALSE),0)*MAX(0,SUM('Construction Dashboard'!$G25:M25)),0)</f>
        <v>0</v>
      </c>
      <c r="M75" s="54">
        <f ca="1">IF(VALUE(Remaining_Time[#Headers])&lt;='Construction Dashboard'!$F25,IFERROR(VLOOKUP(Remaining_Time[[#This Row],[Time]],Upgrades[],MATCH("T"&amp;Remaining_Time[#Headers],Upgrades[#Headers],0),FALSE),0)*MAX(0,SUM('Construction Dashboard'!$G25:N25)),0)</f>
        <v>0</v>
      </c>
      <c r="N75" s="54">
        <f ca="1">IF(VALUE(Remaining_Time[#Headers])&lt;='Construction Dashboard'!$F25,IFERROR(VLOOKUP(Remaining_Time[[#This Row],[Time]],Upgrades[],MATCH("T"&amp;Remaining_Time[#Headers],Upgrades[#Headers],0),FALSE),0)*MAX(0,SUM('Construction Dashboard'!$G25:O25)),0)</f>
        <v>0</v>
      </c>
      <c r="O75" s="54">
        <f ca="1">IF(VALUE(Remaining_Time[#Headers])&lt;='Construction Dashboard'!$F25,IFERROR(VLOOKUP(Remaining_Time[[#This Row],[Time]],Upgrades[],MATCH("T"&amp;Remaining_Time[#Headers],Upgrades[#Headers],0),FALSE),0)*MAX(0,SUM('Construction Dashboard'!$G25:P25)),0)</f>
        <v>0</v>
      </c>
      <c r="P75" s="54">
        <f ca="1">IF(VALUE(Remaining_Time[#Headers])&lt;='Construction Dashboard'!$F25,IFERROR(VLOOKUP(Remaining_Time[[#This Row],[Time]],Upgrades[],MATCH("T"&amp;Remaining_Time[#Headers],Upgrades[#Headers],0),FALSE),0)*MAX(0,SUM('Construction Dashboard'!$G25:Q25)),0)</f>
        <v>0</v>
      </c>
      <c r="Q75" s="54">
        <f ca="1">IF(VALUE(Remaining_Time[#Headers])&lt;='Construction Dashboard'!$F25,IFERROR(VLOOKUP(Remaining_Time[[#This Row],[Time]],Upgrades[],MATCH("T"&amp;Remaining_Time[#Headers],Upgrades[#Headers],0),FALSE),0)*MAX(0,SUM('Construction Dashboard'!$G25:R25)),0)</f>
        <v>0</v>
      </c>
      <c r="R75" s="54">
        <f ca="1">IF(Remaining_Time[[#This Row],[MatchStr]]="IGNORE",0,SUM(Remaining_Time[[#This Row],[1]:[12]]))</f>
        <v>0</v>
      </c>
    </row>
    <row r="76" spans="1:27">
      <c r="A76" s="11" t="s">
        <v>2</v>
      </c>
      <c r="B76" s="49" t="str">
        <f>VLOOKUP(Remaining_Time[[#This Row],[Time]],Upgrades[],MATCH("Kind",Upgrades[#Headers],0),FALSE)</f>
        <v>Building</v>
      </c>
      <c r="C76" s="49" t="str">
        <f>VLOOKUP(Remaining_Time[[#This Row],[Time]],Upgrades[],MATCH("Resource",Upgrades[#Headers],0),FALSE)</f>
        <v>Elixir</v>
      </c>
      <c r="D76" s="116" t="str">
        <f>IF(COUNTIF(Skips,Remaining_Time[[#This Row],[Time]])&gt;0,"IGNORE",Remaining_Time[Kind]&amp;"-"&amp;Remaining_Time[Resource])</f>
        <v>Building-Elixir</v>
      </c>
      <c r="E76" s="55">
        <f ca="1">IFERROR(VLOOKUP(Remaining_Time[[#This Row],[Time]],Upgrades[],MATCH("T"&amp;MATCH(TRUE,INDEX(Remaining_Time[[#This Row],[1]:[12]]&lt;&gt;0,),0),Upgrades[#Headers],0),FALSE),"")</f>
        <v>4</v>
      </c>
      <c r="F76" s="54">
        <f ca="1">IF(VALUE(Remaining_Time[#Headers])&lt;='Construction Dashboard'!$F26,IFERROR(VLOOKUP(Remaining_Time[[#This Row],[Time]],Upgrades[],MATCH("T"&amp;Remaining_Time[#Headers],Upgrades[#Headers],0),FALSE),0)*MAX(0,SUM('Construction Dashboard'!$G26:G26)),0)</f>
        <v>0</v>
      </c>
      <c r="G76" s="54">
        <f ca="1">IF(VALUE(Remaining_Time[#Headers])&lt;='Construction Dashboard'!$F26,IFERROR(VLOOKUP(Remaining_Time[[#This Row],[Time]],Upgrades[],MATCH("T"&amp;Remaining_Time[#Headers],Upgrades[#Headers],0),FALSE),0)*MAX(0,SUM('Construction Dashboard'!$G26:H26)),0)</f>
        <v>0</v>
      </c>
      <c r="H76" s="54">
        <f ca="1">IF(VALUE(Remaining_Time[#Headers])&lt;='Construction Dashboard'!$F26,IFERROR(VLOOKUP(Remaining_Time[[#This Row],[Time]],Upgrades[],MATCH("T"&amp;Remaining_Time[#Headers],Upgrades[#Headers],0),FALSE),0)*MAX(0,SUM('Construction Dashboard'!$G26:I26)),0)</f>
        <v>0</v>
      </c>
      <c r="I76" s="54">
        <f ca="1">IF(VALUE(Remaining_Time[#Headers])&lt;='Construction Dashboard'!$F26,IFERROR(VLOOKUP(Remaining_Time[[#This Row],[Time]],Upgrades[],MATCH("T"&amp;Remaining_Time[#Headers],Upgrades[#Headers],0),FALSE),0)*MAX(0,SUM('Construction Dashboard'!$G26:J26)),0)</f>
        <v>0</v>
      </c>
      <c r="J76" s="54">
        <f ca="1">IF(VALUE(Remaining_Time[#Headers])&lt;='Construction Dashboard'!$F26,IFERROR(VLOOKUP(Remaining_Time[[#This Row],[Time]],Upgrades[],MATCH("T"&amp;Remaining_Time[#Headers],Upgrades[#Headers],0),FALSE),0)*MAX(0,SUM('Construction Dashboard'!$G26:K26)),0)</f>
        <v>0</v>
      </c>
      <c r="K76" s="54">
        <f ca="1">IF(VALUE(Remaining_Time[#Headers])&lt;='Construction Dashboard'!$F26,IFERROR(VLOOKUP(Remaining_Time[[#This Row],[Time]],Upgrades[],MATCH("T"&amp;Remaining_Time[#Headers],Upgrades[#Headers],0),FALSE),0)*MAX(0,SUM('Construction Dashboard'!$G26:L26)),0)</f>
        <v>0</v>
      </c>
      <c r="L76" s="54">
        <f ca="1">IF(VALUE(Remaining_Time[#Headers])&lt;='Construction Dashboard'!$F26,IFERROR(VLOOKUP(Remaining_Time[[#This Row],[Time]],Upgrades[],MATCH("T"&amp;Remaining_Time[#Headers],Upgrades[#Headers],0),FALSE),0)*MAX(0,SUM('Construction Dashboard'!$G26:M26)),0)</f>
        <v>0</v>
      </c>
      <c r="M76" s="54">
        <f ca="1">IF(VALUE(Remaining_Time[#Headers])&lt;='Construction Dashboard'!$F26,IFERROR(VLOOKUP(Remaining_Time[[#This Row],[Time]],Upgrades[],MATCH("T"&amp;Remaining_Time[#Headers],Upgrades[#Headers],0),FALSE),0)*MAX(0,SUM('Construction Dashboard'!$G26:N26)),0)</f>
        <v>0</v>
      </c>
      <c r="N76" s="54">
        <f ca="1">IF(VALUE(Remaining_Time[#Headers])&lt;='Construction Dashboard'!$F26,IFERROR(VLOOKUP(Remaining_Time[[#This Row],[Time]],Upgrades[],MATCH("T"&amp;Remaining_Time[#Headers],Upgrades[#Headers],0),FALSE),0)*MAX(0,SUM('Construction Dashboard'!$G26:O26)),0)</f>
        <v>12</v>
      </c>
      <c r="O76" s="54">
        <f ca="1">IF(VALUE(Remaining_Time[#Headers])&lt;='Construction Dashboard'!$F26,IFERROR(VLOOKUP(Remaining_Time[[#This Row],[Time]],Upgrades[],MATCH("T"&amp;Remaining_Time[#Headers],Upgrades[#Headers],0),FALSE),0)*MAX(0,SUM('Construction Dashboard'!$G26:P26)),0)</f>
        <v>0</v>
      </c>
      <c r="P76" s="54">
        <f ca="1">IF(VALUE(Remaining_Time[#Headers])&lt;='Construction Dashboard'!$F26,IFERROR(VLOOKUP(Remaining_Time[[#This Row],[Time]],Upgrades[],MATCH("T"&amp;Remaining_Time[#Headers],Upgrades[#Headers],0),FALSE),0)*MAX(0,SUM('Construction Dashboard'!$G26:Q26)),0)</f>
        <v>0</v>
      </c>
      <c r="Q76" s="54">
        <f ca="1">IF(VALUE(Remaining_Time[#Headers])&lt;='Construction Dashboard'!$F26,IFERROR(VLOOKUP(Remaining_Time[[#This Row],[Time]],Upgrades[],MATCH("T"&amp;Remaining_Time[#Headers],Upgrades[#Headers],0),FALSE),0)*MAX(0,SUM('Construction Dashboard'!$G26:R26)),0)</f>
        <v>0</v>
      </c>
      <c r="R76" s="54">
        <f ca="1">IF(Remaining_Time[[#This Row],[MatchStr]]="IGNORE",0,SUM(Remaining_Time[[#This Row],[1]:[12]]))</f>
        <v>12</v>
      </c>
    </row>
    <row r="77" spans="1:27">
      <c r="A77" s="11" t="s">
        <v>244</v>
      </c>
      <c r="B77" s="49" t="str">
        <f>VLOOKUP(Remaining_Time[[#This Row],[Time]],Upgrades[],MATCH("Kind",Upgrades[#Headers],0),FALSE)</f>
        <v>Building</v>
      </c>
      <c r="C77" s="49" t="str">
        <f>VLOOKUP(Remaining_Time[[#This Row],[Time]],Upgrades[],MATCH("Resource",Upgrades[#Headers],0),FALSE)</f>
        <v>Elixir</v>
      </c>
      <c r="D77" s="116" t="str">
        <f>IF(COUNTIF(Skips,Remaining_Time[[#This Row],[Time]])&gt;0,"IGNORE",Remaining_Time[Kind]&amp;"-"&amp;Remaining_Time[Resource])</f>
        <v>Building-Elixir</v>
      </c>
      <c r="E77" s="55" t="str">
        <f ca="1">IFERROR(VLOOKUP(Remaining_Time[[#This Row],[Time]],Upgrades[],MATCH("T"&amp;MATCH(TRUE,INDEX(Remaining_Time[[#This Row],[1]:[12]]&lt;&gt;0,),0),Upgrades[#Headers],0),FALSE),"")</f>
        <v/>
      </c>
      <c r="F77" s="54">
        <f ca="1">IF(VALUE(Remaining_Time[#Headers])&lt;='Construction Dashboard'!$F27,IFERROR(VLOOKUP(Remaining_Time[[#This Row],[Time]],Upgrades[],MATCH("T"&amp;Remaining_Time[#Headers],Upgrades[#Headers],0),FALSE),0)*MAX(0,SUM('Construction Dashboard'!$G27:G27)),0)</f>
        <v>0</v>
      </c>
      <c r="G77" s="54">
        <f ca="1">IF(VALUE(Remaining_Time[#Headers])&lt;='Construction Dashboard'!$F27,IFERROR(VLOOKUP(Remaining_Time[[#This Row],[Time]],Upgrades[],MATCH("T"&amp;Remaining_Time[#Headers],Upgrades[#Headers],0),FALSE),0)*MAX(0,SUM('Construction Dashboard'!$G27:H27)),0)</f>
        <v>0</v>
      </c>
      <c r="H77" s="54">
        <f ca="1">IF(VALUE(Remaining_Time[#Headers])&lt;='Construction Dashboard'!$F27,IFERROR(VLOOKUP(Remaining_Time[[#This Row],[Time]],Upgrades[],MATCH("T"&amp;Remaining_Time[#Headers],Upgrades[#Headers],0),FALSE),0)*MAX(0,SUM('Construction Dashboard'!$G27:I27)),0)</f>
        <v>0</v>
      </c>
      <c r="I77" s="54">
        <f ca="1">IF(VALUE(Remaining_Time[#Headers])&lt;='Construction Dashboard'!$F27,IFERROR(VLOOKUP(Remaining_Time[[#This Row],[Time]],Upgrades[],MATCH("T"&amp;Remaining_Time[#Headers],Upgrades[#Headers],0),FALSE),0)*MAX(0,SUM('Construction Dashboard'!$G27:J27)),0)</f>
        <v>0</v>
      </c>
      <c r="J77" s="54">
        <f ca="1">IF(VALUE(Remaining_Time[#Headers])&lt;='Construction Dashboard'!$F27,IFERROR(VLOOKUP(Remaining_Time[[#This Row],[Time]],Upgrades[],MATCH("T"&amp;Remaining_Time[#Headers],Upgrades[#Headers],0),FALSE),0)*MAX(0,SUM('Construction Dashboard'!$G27:K27)),0)</f>
        <v>0</v>
      </c>
      <c r="K77" s="54">
        <f ca="1">IF(VALUE(Remaining_Time[#Headers])&lt;='Construction Dashboard'!$F27,IFERROR(VLOOKUP(Remaining_Time[[#This Row],[Time]],Upgrades[],MATCH("T"&amp;Remaining_Time[#Headers],Upgrades[#Headers],0),FALSE),0)*MAX(0,SUM('Construction Dashboard'!$G27:L27)),0)</f>
        <v>0</v>
      </c>
      <c r="L77" s="54">
        <f ca="1">IF(VALUE(Remaining_Time[#Headers])&lt;='Construction Dashboard'!$F27,IFERROR(VLOOKUP(Remaining_Time[[#This Row],[Time]],Upgrades[],MATCH("T"&amp;Remaining_Time[#Headers],Upgrades[#Headers],0),FALSE),0)*MAX(0,SUM('Construction Dashboard'!$G27:M27)),0)</f>
        <v>0</v>
      </c>
      <c r="M77" s="54">
        <f ca="1">IF(VALUE(Remaining_Time[#Headers])&lt;='Construction Dashboard'!$F27,IFERROR(VLOOKUP(Remaining_Time[[#This Row],[Time]],Upgrades[],MATCH("T"&amp;Remaining_Time[#Headers],Upgrades[#Headers],0),FALSE),0)*MAX(0,SUM('Construction Dashboard'!$G27:N27)),0)</f>
        <v>0</v>
      </c>
      <c r="N77" s="54">
        <f ca="1">IF(VALUE(Remaining_Time[#Headers])&lt;='Construction Dashboard'!$F27,IFERROR(VLOOKUP(Remaining_Time[[#This Row],[Time]],Upgrades[],MATCH("T"&amp;Remaining_Time[#Headers],Upgrades[#Headers],0),FALSE),0)*MAX(0,SUM('Construction Dashboard'!$G27:O27)),0)</f>
        <v>0</v>
      </c>
      <c r="O77" s="54">
        <f ca="1">IF(VALUE(Remaining_Time[#Headers])&lt;='Construction Dashboard'!$F27,IFERROR(VLOOKUP(Remaining_Time[[#This Row],[Time]],Upgrades[],MATCH("T"&amp;Remaining_Time[#Headers],Upgrades[#Headers],0),FALSE),0)*MAX(0,SUM('Construction Dashboard'!$G27:P27)),0)</f>
        <v>0</v>
      </c>
      <c r="P77" s="54">
        <f ca="1">IF(VALUE(Remaining_Time[#Headers])&lt;='Construction Dashboard'!$F27,IFERROR(VLOOKUP(Remaining_Time[[#This Row],[Time]],Upgrades[],MATCH("T"&amp;Remaining_Time[#Headers],Upgrades[#Headers],0),FALSE),0)*MAX(0,SUM('Construction Dashboard'!$G27:Q27)),0)</f>
        <v>0</v>
      </c>
      <c r="Q77" s="54">
        <f ca="1">IF(VALUE(Remaining_Time[#Headers])&lt;='Construction Dashboard'!$F27,IFERROR(VLOOKUP(Remaining_Time[[#This Row],[Time]],Upgrades[],MATCH("T"&amp;Remaining_Time[#Headers],Upgrades[#Headers],0),FALSE),0)*MAX(0,SUM('Construction Dashboard'!$G27:R27)),0)</f>
        <v>0</v>
      </c>
      <c r="R77" s="54">
        <f ca="1">IF(Remaining_Time[[#This Row],[MatchStr]]="IGNORE",0,SUM(Remaining_Time[[#This Row],[1]:[12]]))</f>
        <v>0</v>
      </c>
    </row>
    <row r="78" spans="1:27">
      <c r="A78" s="11" t="s">
        <v>15</v>
      </c>
      <c r="B78" s="11" t="str">
        <f>VLOOKUP(Remaining_Time[[#This Row],[Time]],Upgrades[],MATCH("Kind",Upgrades[#Headers],0),FALSE)</f>
        <v>Building</v>
      </c>
      <c r="C78" s="11" t="str">
        <f>VLOOKUP(Remaining_Time[[#This Row],[Time]],Upgrades[],MATCH("Resource",Upgrades[#Headers],0),FALSE)</f>
        <v>Elixir</v>
      </c>
      <c r="D78" s="115" t="str">
        <f>IF(COUNTIF(Skips,Remaining_Time[[#This Row],[Time]])&gt;0,"IGNORE",Remaining_Time[Kind]&amp;"-"&amp;Remaining_Time[Resource])</f>
        <v>Building-Elixir</v>
      </c>
      <c r="E78" s="47" t="str">
        <f ca="1">IFERROR(VLOOKUP(Remaining_Time[[#This Row],[Time]],Upgrades[],MATCH("T"&amp;MATCH(TRUE,INDEX(Remaining_Time[[#This Row],[1]:[12]]&lt;&gt;0,),0),Upgrades[#Headers],0),FALSE),"")</f>
        <v/>
      </c>
      <c r="F78" s="54">
        <f ca="1">IF(VALUE(Remaining_Time[#Headers])&lt;='Construction Dashboard'!$F28,IFERROR(VLOOKUP(Remaining_Time[[#This Row],[Time]],Upgrades[],MATCH("T"&amp;Remaining_Time[#Headers],Upgrades[#Headers],0),FALSE),0)*MAX(0,SUM('Construction Dashboard'!$G28:G28)),0)</f>
        <v>0</v>
      </c>
      <c r="G78" s="54">
        <f ca="1">IF(VALUE(Remaining_Time[#Headers])&lt;='Construction Dashboard'!$F28,IFERROR(VLOOKUP(Remaining_Time[[#This Row],[Time]],Upgrades[],MATCH("T"&amp;Remaining_Time[#Headers],Upgrades[#Headers],0),FALSE),0)*MAX(0,SUM('Construction Dashboard'!$G28:H28)),0)</f>
        <v>0</v>
      </c>
      <c r="H78" s="54">
        <f ca="1">IF(VALUE(Remaining_Time[#Headers])&lt;='Construction Dashboard'!$F28,IFERROR(VLOOKUP(Remaining_Time[[#This Row],[Time]],Upgrades[],MATCH("T"&amp;Remaining_Time[#Headers],Upgrades[#Headers],0),FALSE),0)*MAX(0,SUM('Construction Dashboard'!$G28:I28)),0)</f>
        <v>0</v>
      </c>
      <c r="I78" s="54">
        <f ca="1">IF(VALUE(Remaining_Time[#Headers])&lt;='Construction Dashboard'!$F28,IFERROR(VLOOKUP(Remaining_Time[[#This Row],[Time]],Upgrades[],MATCH("T"&amp;Remaining_Time[#Headers],Upgrades[#Headers],0),FALSE),0)*MAX(0,SUM('Construction Dashboard'!$G28:J28)),0)</f>
        <v>0</v>
      </c>
      <c r="J78" s="54">
        <f ca="1">IF(VALUE(Remaining_Time[#Headers])&lt;='Construction Dashboard'!$F28,IFERROR(VLOOKUP(Remaining_Time[[#This Row],[Time]],Upgrades[],MATCH("T"&amp;Remaining_Time[#Headers],Upgrades[#Headers],0),FALSE),0)*MAX(0,SUM('Construction Dashboard'!$G28:K28)),0)</f>
        <v>0</v>
      </c>
      <c r="K78" s="54">
        <f ca="1">IF(VALUE(Remaining_Time[#Headers])&lt;='Construction Dashboard'!$F28,IFERROR(VLOOKUP(Remaining_Time[[#This Row],[Time]],Upgrades[],MATCH("T"&amp;Remaining_Time[#Headers],Upgrades[#Headers],0),FALSE),0)*MAX(0,SUM('Construction Dashboard'!$G28:L28)),0)</f>
        <v>0</v>
      </c>
      <c r="L78" s="54">
        <f ca="1">IF(VALUE(Remaining_Time[#Headers])&lt;='Construction Dashboard'!$F28,IFERROR(VLOOKUP(Remaining_Time[[#This Row],[Time]],Upgrades[],MATCH("T"&amp;Remaining_Time[#Headers],Upgrades[#Headers],0),FALSE),0)*MAX(0,SUM('Construction Dashboard'!$G28:M28)),0)</f>
        <v>0</v>
      </c>
      <c r="M78" s="54">
        <f ca="1">IF(VALUE(Remaining_Time[#Headers])&lt;='Construction Dashboard'!$F28,IFERROR(VLOOKUP(Remaining_Time[[#This Row],[Time]],Upgrades[],MATCH("T"&amp;Remaining_Time[#Headers],Upgrades[#Headers],0),FALSE),0)*MAX(0,SUM('Construction Dashboard'!$G28:N28)),0)</f>
        <v>0</v>
      </c>
      <c r="N78" s="54">
        <f ca="1">IF(VALUE(Remaining_Time[#Headers])&lt;='Construction Dashboard'!$F28,IFERROR(VLOOKUP(Remaining_Time[[#This Row],[Time]],Upgrades[],MATCH("T"&amp;Remaining_Time[#Headers],Upgrades[#Headers],0),FALSE),0)*MAX(0,SUM('Construction Dashboard'!$G28:O28)),0)</f>
        <v>0</v>
      </c>
      <c r="O78" s="54">
        <f ca="1">IF(VALUE(Remaining_Time[#Headers])&lt;='Construction Dashboard'!$F28,IFERROR(VLOOKUP(Remaining_Time[[#This Row],[Time]],Upgrades[],MATCH("T"&amp;Remaining_Time[#Headers],Upgrades[#Headers],0),FALSE),0)*MAX(0,SUM('Construction Dashboard'!$G28:P28)),0)</f>
        <v>0</v>
      </c>
      <c r="P78" s="54">
        <f ca="1">IF(VALUE(Remaining_Time[#Headers])&lt;='Construction Dashboard'!$F28,IFERROR(VLOOKUP(Remaining_Time[[#This Row],[Time]],Upgrades[],MATCH("T"&amp;Remaining_Time[#Headers],Upgrades[#Headers],0),FALSE),0)*MAX(0,SUM('Construction Dashboard'!$G28:Q28)),0)</f>
        <v>0</v>
      </c>
      <c r="Q78" s="54">
        <f ca="1">IF(VALUE(Remaining_Time[#Headers])&lt;='Construction Dashboard'!$F28,IFERROR(VLOOKUP(Remaining_Time[[#This Row],[Time]],Upgrades[],MATCH("T"&amp;Remaining_Time[#Headers],Upgrades[#Headers],0),FALSE),0)*MAX(0,SUM('Construction Dashboard'!$G28:R28)),0)</f>
        <v>0</v>
      </c>
      <c r="R78" s="54">
        <f ca="1">IF(Remaining_Time[[#This Row],[MatchStr]]="IGNORE",0,SUM(Remaining_Time[[#This Row],[1]:[12]]))</f>
        <v>0</v>
      </c>
    </row>
    <row r="79" spans="1:27">
      <c r="A79" s="11" t="s">
        <v>16</v>
      </c>
      <c r="B79" s="11" t="str">
        <f>VLOOKUP(Remaining_Time[[#This Row],[Time]],Upgrades[],MATCH("Kind",Upgrades[#Headers],0),FALSE)</f>
        <v>Building</v>
      </c>
      <c r="C79" s="11" t="str">
        <f>VLOOKUP(Remaining_Time[[#This Row],[Time]],Upgrades[],MATCH("Resource",Upgrades[#Headers],0),FALSE)</f>
        <v>Gold</v>
      </c>
      <c r="D79" s="115" t="str">
        <f>IF(COUNTIF(Skips,Remaining_Time[[#This Row],[Time]])&gt;0,"IGNORE",Remaining_Time[Kind]&amp;"-"&amp;Remaining_Time[Resource])</f>
        <v>Building-Gold</v>
      </c>
      <c r="E79" s="47" t="str">
        <f ca="1">IFERROR(VLOOKUP(Remaining_Time[[#This Row],[Time]],Upgrades[],MATCH("T"&amp;MATCH(TRUE,INDEX(Remaining_Time[[#This Row],[1]:[12]]&lt;&gt;0,),0),Upgrades[#Headers],0),FALSE),"")</f>
        <v/>
      </c>
      <c r="F79" s="54">
        <f ca="1">IF(VALUE(Remaining_Time[#Headers])&lt;='Construction Dashboard'!$F29,IFERROR(VLOOKUP(Remaining_Time[[#This Row],[Time]],Upgrades[],MATCH("T"&amp;Remaining_Time[#Headers],Upgrades[#Headers],0),FALSE),0)*MAX(0,SUM('Construction Dashboard'!$G29:G29)),0)</f>
        <v>0</v>
      </c>
      <c r="G79" s="54">
        <f ca="1">IF(VALUE(Remaining_Time[#Headers])&lt;='Construction Dashboard'!$F29,IFERROR(VLOOKUP(Remaining_Time[[#This Row],[Time]],Upgrades[],MATCH("T"&amp;Remaining_Time[#Headers],Upgrades[#Headers],0),FALSE),0)*MAX(0,SUM('Construction Dashboard'!$G29:H29)),0)</f>
        <v>0</v>
      </c>
      <c r="H79" s="54">
        <f ca="1">IF(VALUE(Remaining_Time[#Headers])&lt;='Construction Dashboard'!$F29,IFERROR(VLOOKUP(Remaining_Time[[#This Row],[Time]],Upgrades[],MATCH("T"&amp;Remaining_Time[#Headers],Upgrades[#Headers],0),FALSE),0)*MAX(0,SUM('Construction Dashboard'!$G29:I29)),0)</f>
        <v>0</v>
      </c>
      <c r="I79" s="54">
        <f ca="1">IF(VALUE(Remaining_Time[#Headers])&lt;='Construction Dashboard'!$F29,IFERROR(VLOOKUP(Remaining_Time[[#This Row],[Time]],Upgrades[],MATCH("T"&amp;Remaining_Time[#Headers],Upgrades[#Headers],0),FALSE),0)*MAX(0,SUM('Construction Dashboard'!$G29:J29)),0)</f>
        <v>0</v>
      </c>
      <c r="J79" s="54">
        <f ca="1">IF(VALUE(Remaining_Time[#Headers])&lt;='Construction Dashboard'!$F29,IFERROR(VLOOKUP(Remaining_Time[[#This Row],[Time]],Upgrades[],MATCH("T"&amp;Remaining_Time[#Headers],Upgrades[#Headers],0),FALSE),0)*MAX(0,SUM('Construction Dashboard'!$G29:K29)),0)</f>
        <v>0</v>
      </c>
      <c r="K79" s="54">
        <f ca="1">IF(VALUE(Remaining_Time[#Headers])&lt;='Construction Dashboard'!$F29,IFERROR(VLOOKUP(Remaining_Time[[#This Row],[Time]],Upgrades[],MATCH("T"&amp;Remaining_Time[#Headers],Upgrades[#Headers],0),FALSE),0)*MAX(0,SUM('Construction Dashboard'!$G29:L29)),0)</f>
        <v>0</v>
      </c>
      <c r="L79" s="54">
        <f ca="1">IF(VALUE(Remaining_Time[#Headers])&lt;='Construction Dashboard'!$F29,IFERROR(VLOOKUP(Remaining_Time[[#This Row],[Time]],Upgrades[],MATCH("T"&amp;Remaining_Time[#Headers],Upgrades[#Headers],0),FALSE),0)*MAX(0,SUM('Construction Dashboard'!$G29:M29)),0)</f>
        <v>0</v>
      </c>
      <c r="M79" s="54">
        <f ca="1">IF(VALUE(Remaining_Time[#Headers])&lt;='Construction Dashboard'!$F29,IFERROR(VLOOKUP(Remaining_Time[[#This Row],[Time]],Upgrades[],MATCH("T"&amp;Remaining_Time[#Headers],Upgrades[#Headers],0),FALSE),0)*MAX(0,SUM('Construction Dashboard'!$G29:N29)),0)</f>
        <v>0</v>
      </c>
      <c r="N79" s="54">
        <f ca="1">IF(VALUE(Remaining_Time[#Headers])&lt;='Construction Dashboard'!$F29,IFERROR(VLOOKUP(Remaining_Time[[#This Row],[Time]],Upgrades[],MATCH("T"&amp;Remaining_Time[#Headers],Upgrades[#Headers],0),FALSE),0)*MAX(0,SUM('Construction Dashboard'!$G29:O29)),0)</f>
        <v>0</v>
      </c>
      <c r="O79" s="54">
        <f ca="1">IF(VALUE(Remaining_Time[#Headers])&lt;='Construction Dashboard'!$F29,IFERROR(VLOOKUP(Remaining_Time[[#This Row],[Time]],Upgrades[],MATCH("T"&amp;Remaining_Time[#Headers],Upgrades[#Headers],0),FALSE),0)*MAX(0,SUM('Construction Dashboard'!$G29:P29)),0)</f>
        <v>0</v>
      </c>
      <c r="P79" s="54">
        <f ca="1">IF(VALUE(Remaining_Time[#Headers])&lt;='Construction Dashboard'!$F29,IFERROR(VLOOKUP(Remaining_Time[[#This Row],[Time]],Upgrades[],MATCH("T"&amp;Remaining_Time[#Headers],Upgrades[#Headers],0),FALSE),0)*MAX(0,SUM('Construction Dashboard'!$G29:Q29)),0)</f>
        <v>0</v>
      </c>
      <c r="Q79" s="54">
        <f ca="1">IF(VALUE(Remaining_Time[#Headers])&lt;='Construction Dashboard'!$F29,IFERROR(VLOOKUP(Remaining_Time[[#This Row],[Time]],Upgrades[],MATCH("T"&amp;Remaining_Time[#Headers],Upgrades[#Headers],0),FALSE),0)*MAX(0,SUM('Construction Dashboard'!$G29:R29)),0)</f>
        <v>0</v>
      </c>
      <c r="R79" s="54">
        <f ca="1">IF(Remaining_Time[[#This Row],[MatchStr]]="IGNORE",0,SUM(Remaining_Time[[#This Row],[1]:[12]]))</f>
        <v>0</v>
      </c>
    </row>
    <row r="80" spans="1:27">
      <c r="A80" s="11" t="s">
        <v>17</v>
      </c>
      <c r="B80" s="11" t="str">
        <f>VLOOKUP(Remaining_Time[[#This Row],[Time]],Upgrades[],MATCH("Kind",Upgrades[#Headers],0),FALSE)</f>
        <v>Building</v>
      </c>
      <c r="C80" s="11" t="str">
        <f>VLOOKUP(Remaining_Time[[#This Row],[Time]],Upgrades[],MATCH("Resource",Upgrades[#Headers],0),FALSE)</f>
        <v>Elixir</v>
      </c>
      <c r="D80" s="115" t="str">
        <f>IF(COUNTIF(Skips,Remaining_Time[[#This Row],[Time]])&gt;0,"IGNORE",Remaining_Time[Kind]&amp;"-"&amp;Remaining_Time[Resource])</f>
        <v>Building-Elixir</v>
      </c>
      <c r="E80" s="47" t="str">
        <f ca="1">IFERROR(VLOOKUP(Remaining_Time[[#This Row],[Time]],Upgrades[],MATCH("T"&amp;MATCH(TRUE,INDEX(Remaining_Time[[#This Row],[1]:[12]]&lt;&gt;0,),0),Upgrades[#Headers],0),FALSE),"")</f>
        <v/>
      </c>
      <c r="F80" s="54">
        <f ca="1">IF(VALUE(Remaining_Time[#Headers])&lt;='Construction Dashboard'!$F30,IFERROR(VLOOKUP(Remaining_Time[[#This Row],[Time]],Upgrades[],MATCH("T"&amp;Remaining_Time[#Headers],Upgrades[#Headers],0),FALSE),0)*MAX(0,SUM('Construction Dashboard'!$G30:G30)),0)</f>
        <v>0</v>
      </c>
      <c r="G80" s="54">
        <f ca="1">IF(VALUE(Remaining_Time[#Headers])&lt;='Construction Dashboard'!$F30,IFERROR(VLOOKUP(Remaining_Time[[#This Row],[Time]],Upgrades[],MATCH("T"&amp;Remaining_Time[#Headers],Upgrades[#Headers],0),FALSE),0)*MAX(0,SUM('Construction Dashboard'!$G30:H30)),0)</f>
        <v>0</v>
      </c>
      <c r="H80" s="54">
        <f ca="1">IF(VALUE(Remaining_Time[#Headers])&lt;='Construction Dashboard'!$F30,IFERROR(VLOOKUP(Remaining_Time[[#This Row],[Time]],Upgrades[],MATCH("T"&amp;Remaining_Time[#Headers],Upgrades[#Headers],0),FALSE),0)*MAX(0,SUM('Construction Dashboard'!$G30:I30)),0)</f>
        <v>0</v>
      </c>
      <c r="I80" s="54">
        <f ca="1">IF(VALUE(Remaining_Time[#Headers])&lt;='Construction Dashboard'!$F30,IFERROR(VLOOKUP(Remaining_Time[[#This Row],[Time]],Upgrades[],MATCH("T"&amp;Remaining_Time[#Headers],Upgrades[#Headers],0),FALSE),0)*MAX(0,SUM('Construction Dashboard'!$G30:J30)),0)</f>
        <v>0</v>
      </c>
      <c r="J80" s="54">
        <f ca="1">IF(VALUE(Remaining_Time[#Headers])&lt;='Construction Dashboard'!$F30,IFERROR(VLOOKUP(Remaining_Time[[#This Row],[Time]],Upgrades[],MATCH("T"&amp;Remaining_Time[#Headers],Upgrades[#Headers],0),FALSE),0)*MAX(0,SUM('Construction Dashboard'!$G30:K30)),0)</f>
        <v>0</v>
      </c>
      <c r="K80" s="54">
        <f ca="1">IF(VALUE(Remaining_Time[#Headers])&lt;='Construction Dashboard'!$F30,IFERROR(VLOOKUP(Remaining_Time[[#This Row],[Time]],Upgrades[],MATCH("T"&amp;Remaining_Time[#Headers],Upgrades[#Headers],0),FALSE),0)*MAX(0,SUM('Construction Dashboard'!$G30:L30)),0)</f>
        <v>0</v>
      </c>
      <c r="L80" s="54">
        <f ca="1">IF(VALUE(Remaining_Time[#Headers])&lt;='Construction Dashboard'!$F30,IFERROR(VLOOKUP(Remaining_Time[[#This Row],[Time]],Upgrades[],MATCH("T"&amp;Remaining_Time[#Headers],Upgrades[#Headers],0),FALSE),0)*MAX(0,SUM('Construction Dashboard'!$G30:M30)),0)</f>
        <v>0</v>
      </c>
      <c r="M80" s="54">
        <f ca="1">IF(VALUE(Remaining_Time[#Headers])&lt;='Construction Dashboard'!$F30,IFERROR(VLOOKUP(Remaining_Time[[#This Row],[Time]],Upgrades[],MATCH("T"&amp;Remaining_Time[#Headers],Upgrades[#Headers],0),FALSE),0)*MAX(0,SUM('Construction Dashboard'!$G30:N30)),0)</f>
        <v>0</v>
      </c>
      <c r="N80" s="54">
        <f ca="1">IF(VALUE(Remaining_Time[#Headers])&lt;='Construction Dashboard'!$F30,IFERROR(VLOOKUP(Remaining_Time[[#This Row],[Time]],Upgrades[],MATCH("T"&amp;Remaining_Time[#Headers],Upgrades[#Headers],0),FALSE),0)*MAX(0,SUM('Construction Dashboard'!$G30:O30)),0)</f>
        <v>0</v>
      </c>
      <c r="O80" s="54">
        <f ca="1">IF(VALUE(Remaining_Time[#Headers])&lt;='Construction Dashboard'!$F30,IFERROR(VLOOKUP(Remaining_Time[[#This Row],[Time]],Upgrades[],MATCH("T"&amp;Remaining_Time[#Headers],Upgrades[#Headers],0),FALSE),0)*MAX(0,SUM('Construction Dashboard'!$G30:P30)),0)</f>
        <v>0</v>
      </c>
      <c r="P80" s="54">
        <f ca="1">IF(VALUE(Remaining_Time[#Headers])&lt;='Construction Dashboard'!$F30,IFERROR(VLOOKUP(Remaining_Time[[#This Row],[Time]],Upgrades[],MATCH("T"&amp;Remaining_Time[#Headers],Upgrades[#Headers],0),FALSE),0)*MAX(0,SUM('Construction Dashboard'!$G30:Q30)),0)</f>
        <v>0</v>
      </c>
      <c r="Q80" s="54">
        <f ca="1">IF(VALUE(Remaining_Time[#Headers])&lt;='Construction Dashboard'!$F30,IFERROR(VLOOKUP(Remaining_Time[[#This Row],[Time]],Upgrades[],MATCH("T"&amp;Remaining_Time[#Headers],Upgrades[#Headers],0),FALSE),0)*MAX(0,SUM('Construction Dashboard'!$G30:R30)),0)</f>
        <v>0</v>
      </c>
      <c r="R80" s="54">
        <f ca="1">IF(Remaining_Time[[#This Row],[MatchStr]]="IGNORE",0,SUM(Remaining_Time[[#This Row],[1]:[12]]))</f>
        <v>0</v>
      </c>
    </row>
    <row r="81" spans="1:18">
      <c r="A81" s="11" t="s">
        <v>3</v>
      </c>
      <c r="B81" s="11" t="str">
        <f>VLOOKUP(Remaining_Time[[#This Row],[Time]],Upgrades[],MATCH("Kind",Upgrades[#Headers],0),FALSE)</f>
        <v>Building</v>
      </c>
      <c r="C81" s="11" t="str">
        <f>VLOOKUP(Remaining_Time[[#This Row],[Time]],Upgrades[],MATCH("Resource",Upgrades[#Headers],0),FALSE)</f>
        <v>Elixir</v>
      </c>
      <c r="D81" s="115" t="str">
        <f>IF(COUNTIF(Skips,Remaining_Time[[#This Row],[Time]])&gt;0,"IGNORE",Remaining_Time[Kind]&amp;"-"&amp;Remaining_Time[Resource])</f>
        <v>Building-Elixir</v>
      </c>
      <c r="E81" s="47" t="str">
        <f ca="1">IFERROR(VLOOKUP(Remaining_Time[[#This Row],[Time]],Upgrades[],MATCH("T"&amp;MATCH(TRUE,INDEX(Remaining_Time[[#This Row],[1]:[12]]&lt;&gt;0,),0),Upgrades[#Headers],0),FALSE),"")</f>
        <v/>
      </c>
      <c r="F81" s="54">
        <f ca="1">IF(VALUE(Remaining_Time[#Headers])&lt;='Construction Dashboard'!$F31,IFERROR(VLOOKUP(Remaining_Time[[#This Row],[Time]],Upgrades[],MATCH("T"&amp;Remaining_Time[#Headers],Upgrades[#Headers],0),FALSE),0)*MAX(0,SUM('Construction Dashboard'!$G31:G31)),0)</f>
        <v>0</v>
      </c>
      <c r="G81" s="54">
        <f ca="1">IF(VALUE(Remaining_Time[#Headers])&lt;='Construction Dashboard'!$F31,IFERROR(VLOOKUP(Remaining_Time[[#This Row],[Time]],Upgrades[],MATCH("T"&amp;Remaining_Time[#Headers],Upgrades[#Headers],0),FALSE),0)*MAX(0,SUM('Construction Dashboard'!$G31:H31)),0)</f>
        <v>0</v>
      </c>
      <c r="H81" s="54">
        <f ca="1">IF(VALUE(Remaining_Time[#Headers])&lt;='Construction Dashboard'!$F31,IFERROR(VLOOKUP(Remaining_Time[[#This Row],[Time]],Upgrades[],MATCH("T"&amp;Remaining_Time[#Headers],Upgrades[#Headers],0),FALSE),0)*MAX(0,SUM('Construction Dashboard'!$G31:I31)),0)</f>
        <v>0</v>
      </c>
      <c r="I81" s="54">
        <f ca="1">IF(VALUE(Remaining_Time[#Headers])&lt;='Construction Dashboard'!$F31,IFERROR(VLOOKUP(Remaining_Time[[#This Row],[Time]],Upgrades[],MATCH("T"&amp;Remaining_Time[#Headers],Upgrades[#Headers],0),FALSE),0)*MAX(0,SUM('Construction Dashboard'!$G31:J31)),0)</f>
        <v>0</v>
      </c>
      <c r="J81" s="54">
        <f ca="1">IF(VALUE(Remaining_Time[#Headers])&lt;='Construction Dashboard'!$F31,IFERROR(VLOOKUP(Remaining_Time[[#This Row],[Time]],Upgrades[],MATCH("T"&amp;Remaining_Time[#Headers],Upgrades[#Headers],0),FALSE),0)*MAX(0,SUM('Construction Dashboard'!$G31:K31)),0)</f>
        <v>0</v>
      </c>
      <c r="K81" s="54">
        <f ca="1">IF(VALUE(Remaining_Time[#Headers])&lt;='Construction Dashboard'!$F31,IFERROR(VLOOKUP(Remaining_Time[[#This Row],[Time]],Upgrades[],MATCH("T"&amp;Remaining_Time[#Headers],Upgrades[#Headers],0),FALSE),0)*MAX(0,SUM('Construction Dashboard'!$G31:L31)),0)</f>
        <v>0</v>
      </c>
      <c r="L81" s="54">
        <f ca="1">IF(VALUE(Remaining_Time[#Headers])&lt;='Construction Dashboard'!$F31,IFERROR(VLOOKUP(Remaining_Time[[#This Row],[Time]],Upgrades[],MATCH("T"&amp;Remaining_Time[#Headers],Upgrades[#Headers],0),FALSE),0)*MAX(0,SUM('Construction Dashboard'!$G31:M31)),0)</f>
        <v>0</v>
      </c>
      <c r="M81" s="54">
        <f ca="1">IF(VALUE(Remaining_Time[#Headers])&lt;='Construction Dashboard'!$F31,IFERROR(VLOOKUP(Remaining_Time[[#This Row],[Time]],Upgrades[],MATCH("T"&amp;Remaining_Time[#Headers],Upgrades[#Headers],0),FALSE),0)*MAX(0,SUM('Construction Dashboard'!$G31:N31)),0)</f>
        <v>0</v>
      </c>
      <c r="N81" s="54">
        <f ca="1">IF(VALUE(Remaining_Time[#Headers])&lt;='Construction Dashboard'!$F31,IFERROR(VLOOKUP(Remaining_Time[[#This Row],[Time]],Upgrades[],MATCH("T"&amp;Remaining_Time[#Headers],Upgrades[#Headers],0),FALSE),0)*MAX(0,SUM('Construction Dashboard'!$G31:O31)),0)</f>
        <v>0</v>
      </c>
      <c r="O81" s="54">
        <f ca="1">IF(VALUE(Remaining_Time[#Headers])&lt;='Construction Dashboard'!$F31,IFERROR(VLOOKUP(Remaining_Time[[#This Row],[Time]],Upgrades[],MATCH("T"&amp;Remaining_Time[#Headers],Upgrades[#Headers],0),FALSE),0)*MAX(0,SUM('Construction Dashboard'!$G31:P31)),0)</f>
        <v>0</v>
      </c>
      <c r="P81" s="54">
        <f ca="1">IF(VALUE(Remaining_Time[#Headers])&lt;='Construction Dashboard'!$F31,IFERROR(VLOOKUP(Remaining_Time[[#This Row],[Time]],Upgrades[],MATCH("T"&amp;Remaining_Time[#Headers],Upgrades[#Headers],0),FALSE),0)*MAX(0,SUM('Construction Dashboard'!$G31:Q31)),0)</f>
        <v>0</v>
      </c>
      <c r="Q81" s="54">
        <f ca="1">IF(VALUE(Remaining_Time[#Headers])&lt;='Construction Dashboard'!$F31,IFERROR(VLOOKUP(Remaining_Time[[#This Row],[Time]],Upgrades[],MATCH("T"&amp;Remaining_Time[#Headers],Upgrades[#Headers],0),FALSE),0)*MAX(0,SUM('Construction Dashboard'!$G31:R31)),0)</f>
        <v>0</v>
      </c>
      <c r="R81" s="54">
        <f ca="1">IF(Remaining_Time[[#This Row],[MatchStr]]="IGNORE",0,SUM(Remaining_Time[[#This Row],[1]:[12]]))</f>
        <v>0</v>
      </c>
    </row>
    <row r="82" spans="1:18">
      <c r="A82" s="11" t="s">
        <v>4</v>
      </c>
      <c r="B82" s="11" t="str">
        <f>VLOOKUP(Remaining_Time[[#This Row],[Time]],Upgrades[],MATCH("Kind",Upgrades[#Headers],0),FALSE)</f>
        <v>Building</v>
      </c>
      <c r="C82" s="11" t="str">
        <f>VLOOKUP(Remaining_Time[[#This Row],[Time]],Upgrades[],MATCH("Resource",Upgrades[#Headers],0),FALSE)</f>
        <v>Gold</v>
      </c>
      <c r="D82" s="115" t="str">
        <f>IF(COUNTIF(Skips,Remaining_Time[[#This Row],[Time]])&gt;0,"IGNORE",Remaining_Time[Kind]&amp;"-"&amp;Remaining_Time[Resource])</f>
        <v>Building-Gold</v>
      </c>
      <c r="E82" s="47" t="str">
        <f ca="1">IFERROR(VLOOKUP(Remaining_Time[[#This Row],[Time]],Upgrades[],MATCH("T"&amp;MATCH(TRUE,INDEX(Remaining_Time[[#This Row],[1]:[12]]&lt;&gt;0,),0),Upgrades[#Headers],0),FALSE),"")</f>
        <v/>
      </c>
      <c r="F82" s="54">
        <f ca="1">IF(VALUE(Remaining_Time[#Headers])&lt;='Construction Dashboard'!$F32,IFERROR(VLOOKUP(Remaining_Time[[#This Row],[Time]],Upgrades[],MATCH("T"&amp;Remaining_Time[#Headers],Upgrades[#Headers],0),FALSE),0)*MAX(0,SUM('Construction Dashboard'!$G32:G32)),0)</f>
        <v>0</v>
      </c>
      <c r="G82" s="54">
        <f ca="1">IF(VALUE(Remaining_Time[#Headers])&lt;='Construction Dashboard'!$F32,IFERROR(VLOOKUP(Remaining_Time[[#This Row],[Time]],Upgrades[],MATCH("T"&amp;Remaining_Time[#Headers],Upgrades[#Headers],0),FALSE),0)*MAX(0,SUM('Construction Dashboard'!$G32:H32)),0)</f>
        <v>0</v>
      </c>
      <c r="H82" s="54">
        <f ca="1">IF(VALUE(Remaining_Time[#Headers])&lt;='Construction Dashboard'!$F32,IFERROR(VLOOKUP(Remaining_Time[[#This Row],[Time]],Upgrades[],MATCH("T"&amp;Remaining_Time[#Headers],Upgrades[#Headers],0),FALSE),0)*MAX(0,SUM('Construction Dashboard'!$G32:I32)),0)</f>
        <v>0</v>
      </c>
      <c r="I82" s="54">
        <f ca="1">IF(VALUE(Remaining_Time[#Headers])&lt;='Construction Dashboard'!$F32,IFERROR(VLOOKUP(Remaining_Time[[#This Row],[Time]],Upgrades[],MATCH("T"&amp;Remaining_Time[#Headers],Upgrades[#Headers],0),FALSE),0)*MAX(0,SUM('Construction Dashboard'!$G32:J32)),0)</f>
        <v>0</v>
      </c>
      <c r="J82" s="54">
        <f ca="1">IF(VALUE(Remaining_Time[#Headers])&lt;='Construction Dashboard'!$F32,IFERROR(VLOOKUP(Remaining_Time[[#This Row],[Time]],Upgrades[],MATCH("T"&amp;Remaining_Time[#Headers],Upgrades[#Headers],0),FALSE),0)*MAX(0,SUM('Construction Dashboard'!$G32:K32)),0)</f>
        <v>0</v>
      </c>
      <c r="K82" s="54">
        <f ca="1">IF(VALUE(Remaining_Time[#Headers])&lt;='Construction Dashboard'!$F32,IFERROR(VLOOKUP(Remaining_Time[[#This Row],[Time]],Upgrades[],MATCH("T"&amp;Remaining_Time[#Headers],Upgrades[#Headers],0),FALSE),0)*MAX(0,SUM('Construction Dashboard'!$G32:L32)),0)</f>
        <v>0</v>
      </c>
      <c r="L82" s="54">
        <f ca="1">IF(VALUE(Remaining_Time[#Headers])&lt;='Construction Dashboard'!$F32,IFERROR(VLOOKUP(Remaining_Time[[#This Row],[Time]],Upgrades[],MATCH("T"&amp;Remaining_Time[#Headers],Upgrades[#Headers],0),FALSE),0)*MAX(0,SUM('Construction Dashboard'!$G32:M32)),0)</f>
        <v>0</v>
      </c>
      <c r="M82" s="54">
        <f ca="1">IF(VALUE(Remaining_Time[#Headers])&lt;='Construction Dashboard'!$F32,IFERROR(VLOOKUP(Remaining_Time[[#This Row],[Time]],Upgrades[],MATCH("T"&amp;Remaining_Time[#Headers],Upgrades[#Headers],0),FALSE),0)*MAX(0,SUM('Construction Dashboard'!$G32:N32)),0)</f>
        <v>0</v>
      </c>
      <c r="N82" s="54">
        <f ca="1">IF(VALUE(Remaining_Time[#Headers])&lt;='Construction Dashboard'!$F32,IFERROR(VLOOKUP(Remaining_Time[[#This Row],[Time]],Upgrades[],MATCH("T"&amp;Remaining_Time[#Headers],Upgrades[#Headers],0),FALSE),0)*MAX(0,SUM('Construction Dashboard'!$G32:O32)),0)</f>
        <v>0</v>
      </c>
      <c r="O82" s="54">
        <f ca="1">IF(VALUE(Remaining_Time[#Headers])&lt;='Construction Dashboard'!$F32,IFERROR(VLOOKUP(Remaining_Time[[#This Row],[Time]],Upgrades[],MATCH("T"&amp;Remaining_Time[#Headers],Upgrades[#Headers],0),FALSE),0)*MAX(0,SUM('Construction Dashboard'!$G32:P32)),0)</f>
        <v>0</v>
      </c>
      <c r="P82" s="54">
        <f ca="1">IF(VALUE(Remaining_Time[#Headers])&lt;='Construction Dashboard'!$F32,IFERROR(VLOOKUP(Remaining_Time[[#This Row],[Time]],Upgrades[],MATCH("T"&amp;Remaining_Time[#Headers],Upgrades[#Headers],0),FALSE),0)*MAX(0,SUM('Construction Dashboard'!$G32:Q32)),0)</f>
        <v>0</v>
      </c>
      <c r="Q82" s="54">
        <f ca="1">IF(VALUE(Remaining_Time[#Headers])&lt;='Construction Dashboard'!$F32,IFERROR(VLOOKUP(Remaining_Time[[#This Row],[Time]],Upgrades[],MATCH("T"&amp;Remaining_Time[#Headers],Upgrades[#Headers],0),FALSE),0)*MAX(0,SUM('Construction Dashboard'!$G32:R32)),0)</f>
        <v>0</v>
      </c>
      <c r="R82" s="54">
        <f ca="1">IF(Remaining_Time[[#This Row],[MatchStr]]="IGNORE",0,SUM(Remaining_Time[[#This Row],[1]:[12]]))</f>
        <v>0</v>
      </c>
    </row>
    <row r="83" spans="1:18">
      <c r="A83" s="11" t="s">
        <v>18</v>
      </c>
      <c r="B83" s="11" t="str">
        <f>VLOOKUP(Remaining_Time[[#This Row],[Time]],Upgrades[],MATCH("Kind",Upgrades[#Headers],0),FALSE)</f>
        <v>Building</v>
      </c>
      <c r="C83" s="11" t="str">
        <f>VLOOKUP(Remaining_Time[[#This Row],[Time]],Upgrades[],MATCH("Resource",Upgrades[#Headers],0),FALSE)</f>
        <v>Elixir</v>
      </c>
      <c r="D83" s="115" t="str">
        <f>IF(COUNTIF(Skips,Remaining_Time[[#This Row],[Time]])&gt;0,"IGNORE",Remaining_Time[Kind]&amp;"-"&amp;Remaining_Time[Resource])</f>
        <v>Building-Elixir</v>
      </c>
      <c r="E83" s="47" t="str">
        <f ca="1">IFERROR(VLOOKUP(Remaining_Time[[#This Row],[Time]],Upgrades[],MATCH("T"&amp;MATCH(TRUE,INDEX(Remaining_Time[[#This Row],[1]:[12]]&lt;&gt;0,),0),Upgrades[#Headers],0),FALSE),"")</f>
        <v/>
      </c>
      <c r="F83" s="54">
        <f ca="1">IF(VALUE(Remaining_Time[#Headers])&lt;='Construction Dashboard'!$F33,IFERROR(VLOOKUP(Remaining_Time[[#This Row],[Time]],Upgrades[],MATCH("T"&amp;Remaining_Time[#Headers],Upgrades[#Headers],0),FALSE),0)*MAX(0,SUM('Construction Dashboard'!$G33:G33)),0)</f>
        <v>0</v>
      </c>
      <c r="G83" s="54">
        <f ca="1">IF(VALUE(Remaining_Time[#Headers])&lt;='Construction Dashboard'!$F33,IFERROR(VLOOKUP(Remaining_Time[[#This Row],[Time]],Upgrades[],MATCH("T"&amp;Remaining_Time[#Headers],Upgrades[#Headers],0),FALSE),0)*MAX(0,SUM('Construction Dashboard'!$G33:H33)),0)</f>
        <v>0</v>
      </c>
      <c r="H83" s="54">
        <f ca="1">IF(VALUE(Remaining_Time[#Headers])&lt;='Construction Dashboard'!$F33,IFERROR(VLOOKUP(Remaining_Time[[#This Row],[Time]],Upgrades[],MATCH("T"&amp;Remaining_Time[#Headers],Upgrades[#Headers],0),FALSE),0)*MAX(0,SUM('Construction Dashboard'!$G33:I33)),0)</f>
        <v>0</v>
      </c>
      <c r="I83" s="54">
        <f ca="1">IF(VALUE(Remaining_Time[#Headers])&lt;='Construction Dashboard'!$F33,IFERROR(VLOOKUP(Remaining_Time[[#This Row],[Time]],Upgrades[],MATCH("T"&amp;Remaining_Time[#Headers],Upgrades[#Headers],0),FALSE),0)*MAX(0,SUM('Construction Dashboard'!$G33:J33)),0)</f>
        <v>0</v>
      </c>
      <c r="J83" s="54">
        <f ca="1">IF(VALUE(Remaining_Time[#Headers])&lt;='Construction Dashboard'!$F33,IFERROR(VLOOKUP(Remaining_Time[[#This Row],[Time]],Upgrades[],MATCH("T"&amp;Remaining_Time[#Headers],Upgrades[#Headers],0),FALSE),0)*MAX(0,SUM('Construction Dashboard'!$G33:K33)),0)</f>
        <v>0</v>
      </c>
      <c r="K83" s="54">
        <f ca="1">IF(VALUE(Remaining_Time[#Headers])&lt;='Construction Dashboard'!$F33,IFERROR(VLOOKUP(Remaining_Time[[#This Row],[Time]],Upgrades[],MATCH("T"&amp;Remaining_Time[#Headers],Upgrades[#Headers],0),FALSE),0)*MAX(0,SUM('Construction Dashboard'!$G33:L33)),0)</f>
        <v>0</v>
      </c>
      <c r="L83" s="54">
        <f ca="1">IF(VALUE(Remaining_Time[#Headers])&lt;='Construction Dashboard'!$F33,IFERROR(VLOOKUP(Remaining_Time[[#This Row],[Time]],Upgrades[],MATCH("T"&amp;Remaining_Time[#Headers],Upgrades[#Headers],0),FALSE),0)*MAX(0,SUM('Construction Dashboard'!$G33:M33)),0)</f>
        <v>0</v>
      </c>
      <c r="M83" s="54">
        <f ca="1">IF(VALUE(Remaining_Time[#Headers])&lt;='Construction Dashboard'!$F33,IFERROR(VLOOKUP(Remaining_Time[[#This Row],[Time]],Upgrades[],MATCH("T"&amp;Remaining_Time[#Headers],Upgrades[#Headers],0),FALSE),0)*MAX(0,SUM('Construction Dashboard'!$G33:N33)),0)</f>
        <v>0</v>
      </c>
      <c r="N83" s="54">
        <f ca="1">IF(VALUE(Remaining_Time[#Headers])&lt;='Construction Dashboard'!$F33,IFERROR(VLOOKUP(Remaining_Time[[#This Row],[Time]],Upgrades[],MATCH("T"&amp;Remaining_Time[#Headers],Upgrades[#Headers],0),FALSE),0)*MAX(0,SUM('Construction Dashboard'!$G33:O33)),0)</f>
        <v>0</v>
      </c>
      <c r="O83" s="54">
        <f ca="1">IF(VALUE(Remaining_Time[#Headers])&lt;='Construction Dashboard'!$F33,IFERROR(VLOOKUP(Remaining_Time[[#This Row],[Time]],Upgrades[],MATCH("T"&amp;Remaining_Time[#Headers],Upgrades[#Headers],0),FALSE),0)*MAX(0,SUM('Construction Dashboard'!$G33:P33)),0)</f>
        <v>0</v>
      </c>
      <c r="P83" s="54">
        <f ca="1">IF(VALUE(Remaining_Time[#Headers])&lt;='Construction Dashboard'!$F33,IFERROR(VLOOKUP(Remaining_Time[[#This Row],[Time]],Upgrades[],MATCH("T"&amp;Remaining_Time[#Headers],Upgrades[#Headers],0),FALSE),0)*MAX(0,SUM('Construction Dashboard'!$G33:Q33)),0)</f>
        <v>0</v>
      </c>
      <c r="Q83" s="54">
        <f ca="1">IF(VALUE(Remaining_Time[#Headers])&lt;='Construction Dashboard'!$F33,IFERROR(VLOOKUP(Remaining_Time[[#This Row],[Time]],Upgrades[],MATCH("T"&amp;Remaining_Time[#Headers],Upgrades[#Headers],0),FALSE),0)*MAX(0,SUM('Construction Dashboard'!$G33:R33)),0)</f>
        <v>0</v>
      </c>
      <c r="R83" s="54">
        <f ca="1">IF(Remaining_Time[[#This Row],[MatchStr]]="IGNORE",0,SUM(Remaining_Time[[#This Row],[1]:[12]]))</f>
        <v>0</v>
      </c>
    </row>
    <row r="84" spans="1:18">
      <c r="A84" s="11" t="s">
        <v>19</v>
      </c>
      <c r="B84" s="11" t="str">
        <f>VLOOKUP(Remaining_Time[[#This Row],[Time]],Upgrades[],MATCH("Kind",Upgrades[#Headers],0),FALSE)</f>
        <v>Building</v>
      </c>
      <c r="C84" s="11" t="str">
        <f>VLOOKUP(Remaining_Time[[#This Row],[Time]],Upgrades[],MATCH("Resource",Upgrades[#Headers],0),FALSE)</f>
        <v>Elixir</v>
      </c>
      <c r="D84" s="115" t="str">
        <f>IF(COUNTIF(Skips,Remaining_Time[[#This Row],[Time]])&gt;0,"IGNORE",Remaining_Time[Kind]&amp;"-"&amp;Remaining_Time[Resource])</f>
        <v>Building-Elixir</v>
      </c>
      <c r="E84" s="47" t="str">
        <f ca="1">IFERROR(VLOOKUP(Remaining_Time[[#This Row],[Time]],Upgrades[],MATCH("T"&amp;MATCH(TRUE,INDEX(Remaining_Time[[#This Row],[1]:[12]]&lt;&gt;0,),0),Upgrades[#Headers],0),FALSE),"")</f>
        <v/>
      </c>
      <c r="F84" s="54">
        <f ca="1">IF(VALUE(Remaining_Time[#Headers])&lt;='Construction Dashboard'!$F34,IFERROR(VLOOKUP(Remaining_Time[[#This Row],[Time]],Upgrades[],MATCH("T"&amp;Remaining_Time[#Headers],Upgrades[#Headers],0),FALSE),0)*MAX(0,SUM('Construction Dashboard'!$G34:G34)),0)</f>
        <v>0</v>
      </c>
      <c r="G84" s="54">
        <f ca="1">IF(VALUE(Remaining_Time[#Headers])&lt;='Construction Dashboard'!$F34,IFERROR(VLOOKUP(Remaining_Time[[#This Row],[Time]],Upgrades[],MATCH("T"&amp;Remaining_Time[#Headers],Upgrades[#Headers],0),FALSE),0)*MAX(0,SUM('Construction Dashboard'!$G34:H34)),0)</f>
        <v>0</v>
      </c>
      <c r="H84" s="54">
        <f ca="1">IF(VALUE(Remaining_Time[#Headers])&lt;='Construction Dashboard'!$F34,IFERROR(VLOOKUP(Remaining_Time[[#This Row],[Time]],Upgrades[],MATCH("T"&amp;Remaining_Time[#Headers],Upgrades[#Headers],0),FALSE),0)*MAX(0,SUM('Construction Dashboard'!$G34:I34)),0)</f>
        <v>0</v>
      </c>
      <c r="I84" s="54">
        <f ca="1">IF(VALUE(Remaining_Time[#Headers])&lt;='Construction Dashboard'!$F34,IFERROR(VLOOKUP(Remaining_Time[[#This Row],[Time]],Upgrades[],MATCH("T"&amp;Remaining_Time[#Headers],Upgrades[#Headers],0),FALSE),0)*MAX(0,SUM('Construction Dashboard'!$G34:J34)),0)</f>
        <v>0</v>
      </c>
      <c r="J84" s="54">
        <f ca="1">IF(VALUE(Remaining_Time[#Headers])&lt;='Construction Dashboard'!$F34,IFERROR(VLOOKUP(Remaining_Time[[#This Row],[Time]],Upgrades[],MATCH("T"&amp;Remaining_Time[#Headers],Upgrades[#Headers],0),FALSE),0)*MAX(0,SUM('Construction Dashboard'!$G34:K34)),0)</f>
        <v>0</v>
      </c>
      <c r="K84" s="54">
        <f ca="1">IF(VALUE(Remaining_Time[#Headers])&lt;='Construction Dashboard'!$F34,IFERROR(VLOOKUP(Remaining_Time[[#This Row],[Time]],Upgrades[],MATCH("T"&amp;Remaining_Time[#Headers],Upgrades[#Headers],0),FALSE),0)*MAX(0,SUM('Construction Dashboard'!$G34:L34)),0)</f>
        <v>0</v>
      </c>
      <c r="L84" s="54">
        <f ca="1">IF(VALUE(Remaining_Time[#Headers])&lt;='Construction Dashboard'!$F34,IFERROR(VLOOKUP(Remaining_Time[[#This Row],[Time]],Upgrades[],MATCH("T"&amp;Remaining_Time[#Headers],Upgrades[#Headers],0),FALSE),0)*MAX(0,SUM('Construction Dashboard'!$G34:M34)),0)</f>
        <v>0</v>
      </c>
      <c r="M84" s="54">
        <f ca="1">IF(VALUE(Remaining_Time[#Headers])&lt;='Construction Dashboard'!$F34,IFERROR(VLOOKUP(Remaining_Time[[#This Row],[Time]],Upgrades[],MATCH("T"&amp;Remaining_Time[#Headers],Upgrades[#Headers],0),FALSE),0)*MAX(0,SUM('Construction Dashboard'!$G34:N34)),0)</f>
        <v>0</v>
      </c>
      <c r="N84" s="54">
        <f ca="1">IF(VALUE(Remaining_Time[#Headers])&lt;='Construction Dashboard'!$F34,IFERROR(VLOOKUP(Remaining_Time[[#This Row],[Time]],Upgrades[],MATCH("T"&amp;Remaining_Time[#Headers],Upgrades[#Headers],0),FALSE),0)*MAX(0,SUM('Construction Dashboard'!$G34:O34)),0)</f>
        <v>0</v>
      </c>
      <c r="O84" s="54">
        <f ca="1">IF(VALUE(Remaining_Time[#Headers])&lt;='Construction Dashboard'!$F34,IFERROR(VLOOKUP(Remaining_Time[[#This Row],[Time]],Upgrades[],MATCH("T"&amp;Remaining_Time[#Headers],Upgrades[#Headers],0),FALSE),0)*MAX(0,SUM('Construction Dashboard'!$G34:P34)),0)</f>
        <v>0</v>
      </c>
      <c r="P84" s="54">
        <f ca="1">IF(VALUE(Remaining_Time[#Headers])&lt;='Construction Dashboard'!$F34,IFERROR(VLOOKUP(Remaining_Time[[#This Row],[Time]],Upgrades[],MATCH("T"&amp;Remaining_Time[#Headers],Upgrades[#Headers],0),FALSE),0)*MAX(0,SUM('Construction Dashboard'!$G34:Q34)),0)</f>
        <v>0</v>
      </c>
      <c r="Q84" s="54">
        <f ca="1">IF(VALUE(Remaining_Time[#Headers])&lt;='Construction Dashboard'!$F34,IFERROR(VLOOKUP(Remaining_Time[[#This Row],[Time]],Upgrades[],MATCH("T"&amp;Remaining_Time[#Headers],Upgrades[#Headers],0),FALSE),0)*MAX(0,SUM('Construction Dashboard'!$G34:R34)),0)</f>
        <v>0</v>
      </c>
      <c r="R84" s="54">
        <f ca="1">IF(Remaining_Time[[#This Row],[MatchStr]]="IGNORE",0,SUM(Remaining_Time[[#This Row],[1]:[12]]))</f>
        <v>0</v>
      </c>
    </row>
    <row r="85" spans="1:18">
      <c r="A85" s="11" t="s">
        <v>21</v>
      </c>
      <c r="B85" s="11" t="str">
        <f>VLOOKUP(Remaining_Time[[#This Row],[Time]],Upgrades[],MATCH("Kind",Upgrades[#Headers],0),FALSE)</f>
        <v>Building</v>
      </c>
      <c r="C85" s="11" t="str">
        <f>VLOOKUP(Remaining_Time[[#This Row],[Time]],Upgrades[],MATCH("Resource",Upgrades[#Headers],0),FALSE)</f>
        <v>Elixir</v>
      </c>
      <c r="D85" s="115" t="str">
        <f>IF(COUNTIF(Skips,Remaining_Time[[#This Row],[Time]])&gt;0,"IGNORE",Remaining_Time[Kind]&amp;"-"&amp;Remaining_Time[Resource])</f>
        <v>Building-Elixir</v>
      </c>
      <c r="E85" s="47" t="str">
        <f ca="1">IFERROR(VLOOKUP(Remaining_Time[[#This Row],[Time]],Upgrades[],MATCH("T"&amp;MATCH(TRUE,INDEX(Remaining_Time[[#This Row],[1]:[12]]&lt;&gt;0,),0),Upgrades[#Headers],0),FALSE),"")</f>
        <v/>
      </c>
      <c r="F85" s="54">
        <f ca="1">IF(VALUE(Remaining_Time[#Headers])&lt;='Construction Dashboard'!$F35,IFERROR(VLOOKUP(Remaining_Time[[#This Row],[Time]],Upgrades[],MATCH("T"&amp;Remaining_Time[#Headers],Upgrades[#Headers],0),FALSE),0)*MAX(0,SUM('Construction Dashboard'!$G35:G35)),0)</f>
        <v>0</v>
      </c>
      <c r="G85" s="54">
        <f ca="1">IF(VALUE(Remaining_Time[#Headers])&lt;='Construction Dashboard'!$F35,IFERROR(VLOOKUP(Remaining_Time[[#This Row],[Time]],Upgrades[],MATCH("T"&amp;Remaining_Time[#Headers],Upgrades[#Headers],0),FALSE),0)*MAX(0,SUM('Construction Dashboard'!$G35:H35)),0)</f>
        <v>0</v>
      </c>
      <c r="H85" s="54">
        <f ca="1">IF(VALUE(Remaining_Time[#Headers])&lt;='Construction Dashboard'!$F35,IFERROR(VLOOKUP(Remaining_Time[[#This Row],[Time]],Upgrades[],MATCH("T"&amp;Remaining_Time[#Headers],Upgrades[#Headers],0),FALSE),0)*MAX(0,SUM('Construction Dashboard'!$G35:I35)),0)</f>
        <v>0</v>
      </c>
      <c r="I85" s="54">
        <f ca="1">IF(VALUE(Remaining_Time[#Headers])&lt;='Construction Dashboard'!$F35,IFERROR(VLOOKUP(Remaining_Time[[#This Row],[Time]],Upgrades[],MATCH("T"&amp;Remaining_Time[#Headers],Upgrades[#Headers],0),FALSE),0)*MAX(0,SUM('Construction Dashboard'!$G35:J35)),0)</f>
        <v>0</v>
      </c>
      <c r="J85" s="54">
        <f ca="1">IF(VALUE(Remaining_Time[#Headers])&lt;='Construction Dashboard'!$F35,IFERROR(VLOOKUP(Remaining_Time[[#This Row],[Time]],Upgrades[],MATCH("T"&amp;Remaining_Time[#Headers],Upgrades[#Headers],0),FALSE),0)*MAX(0,SUM('Construction Dashboard'!$G35:K35)),0)</f>
        <v>0</v>
      </c>
      <c r="K85" s="54">
        <f ca="1">IF(VALUE(Remaining_Time[#Headers])&lt;='Construction Dashboard'!$F35,IFERROR(VLOOKUP(Remaining_Time[[#This Row],[Time]],Upgrades[],MATCH("T"&amp;Remaining_Time[#Headers],Upgrades[#Headers],0),FALSE),0)*MAX(0,SUM('Construction Dashboard'!$G35:L35)),0)</f>
        <v>0</v>
      </c>
      <c r="L85" s="54">
        <f ca="1">IF(VALUE(Remaining_Time[#Headers])&lt;='Construction Dashboard'!$F35,IFERROR(VLOOKUP(Remaining_Time[[#This Row],[Time]],Upgrades[],MATCH("T"&amp;Remaining_Time[#Headers],Upgrades[#Headers],0),FALSE),0)*MAX(0,SUM('Construction Dashboard'!$G35:M35)),0)</f>
        <v>0</v>
      </c>
      <c r="M85" s="54">
        <f ca="1">IF(VALUE(Remaining_Time[#Headers])&lt;='Construction Dashboard'!$F35,IFERROR(VLOOKUP(Remaining_Time[[#This Row],[Time]],Upgrades[],MATCH("T"&amp;Remaining_Time[#Headers],Upgrades[#Headers],0),FALSE),0)*MAX(0,SUM('Construction Dashboard'!$G35:N35)),0)</f>
        <v>0</v>
      </c>
      <c r="N85" s="54">
        <f ca="1">IF(VALUE(Remaining_Time[#Headers])&lt;='Construction Dashboard'!$F35,IFERROR(VLOOKUP(Remaining_Time[[#This Row],[Time]],Upgrades[],MATCH("T"&amp;Remaining_Time[#Headers],Upgrades[#Headers],0),FALSE),0)*MAX(0,SUM('Construction Dashboard'!$G35:O35)),0)</f>
        <v>0</v>
      </c>
      <c r="O85" s="54">
        <f ca="1">IF(VALUE(Remaining_Time[#Headers])&lt;='Construction Dashboard'!$F35,IFERROR(VLOOKUP(Remaining_Time[[#This Row],[Time]],Upgrades[],MATCH("T"&amp;Remaining_Time[#Headers],Upgrades[#Headers],0),FALSE),0)*MAX(0,SUM('Construction Dashboard'!$G35:P35)),0)</f>
        <v>0</v>
      </c>
      <c r="P85" s="54">
        <f ca="1">IF(VALUE(Remaining_Time[#Headers])&lt;='Construction Dashboard'!$F35,IFERROR(VLOOKUP(Remaining_Time[[#This Row],[Time]],Upgrades[],MATCH("T"&amp;Remaining_Time[#Headers],Upgrades[#Headers],0),FALSE),0)*MAX(0,SUM('Construction Dashboard'!$G35:Q35)),0)</f>
        <v>0</v>
      </c>
      <c r="Q85" s="54">
        <f ca="1">IF(VALUE(Remaining_Time[#Headers])&lt;='Construction Dashboard'!$F35,IFERROR(VLOOKUP(Remaining_Time[[#This Row],[Time]],Upgrades[],MATCH("T"&amp;Remaining_Time[#Headers],Upgrades[#Headers],0),FALSE),0)*MAX(0,SUM('Construction Dashboard'!$G35:R35)),0)</f>
        <v>0</v>
      </c>
      <c r="R85" s="54">
        <f ca="1">IF(Remaining_Time[[#This Row],[MatchStr]]="IGNORE",0,SUM(Remaining_Time[[#This Row],[1]:[12]]))</f>
        <v>0</v>
      </c>
    </row>
    <row r="86" spans="1:18">
      <c r="A86" s="11" t="s">
        <v>5</v>
      </c>
      <c r="B86" s="11" t="str">
        <f>VLOOKUP(Remaining_Time[[#This Row],[Time]],Upgrades[],MATCH("Kind",Upgrades[#Headers],0),FALSE)</f>
        <v>Building</v>
      </c>
      <c r="C86" s="11" t="str">
        <f>VLOOKUP(Remaining_Time[[#This Row],[Time]],Upgrades[],MATCH("Resource",Upgrades[#Headers],0),FALSE)</f>
        <v>Gold</v>
      </c>
      <c r="D86" s="115" t="str">
        <f>IF(COUNTIF(Skips,Remaining_Time[[#This Row],[Time]])&gt;0,"IGNORE",Remaining_Time[Kind]&amp;"-"&amp;Remaining_Time[Resource])</f>
        <v>Building-Gold</v>
      </c>
      <c r="E86" s="47" t="str">
        <f ca="1">IFERROR(VLOOKUP(Remaining_Time[[#This Row],[Time]],Upgrades[],MATCH("T"&amp;MATCH(TRUE,INDEX(Remaining_Time[[#This Row],[1]:[12]]&lt;&gt;0,),0),Upgrades[#Headers],0),FALSE),"")</f>
        <v/>
      </c>
      <c r="F86" s="54">
        <f ca="1">IF(VALUE(Remaining_Time[#Headers])&lt;='Construction Dashboard'!$F36,IFERROR(VLOOKUP(Remaining_Time[[#This Row],[Time]],Upgrades[],MATCH("T"&amp;Remaining_Time[#Headers],Upgrades[#Headers],0),FALSE),0)*MAX(0,SUM('Construction Dashboard'!$G36:G36)),0)</f>
        <v>0</v>
      </c>
      <c r="G86" s="54">
        <f ca="1">IF(VALUE(Remaining_Time[#Headers])&lt;='Construction Dashboard'!$F36,IFERROR(VLOOKUP(Remaining_Time[[#This Row],[Time]],Upgrades[],MATCH("T"&amp;Remaining_Time[#Headers],Upgrades[#Headers],0),FALSE),0)*MAX(0,SUM('Construction Dashboard'!$G36:H36)),0)</f>
        <v>0</v>
      </c>
      <c r="H86" s="54">
        <f ca="1">IF(VALUE(Remaining_Time[#Headers])&lt;='Construction Dashboard'!$F36,IFERROR(VLOOKUP(Remaining_Time[[#This Row],[Time]],Upgrades[],MATCH("T"&amp;Remaining_Time[#Headers],Upgrades[#Headers],0),FALSE),0)*MAX(0,SUM('Construction Dashboard'!$G36:I36)),0)</f>
        <v>0</v>
      </c>
      <c r="I86" s="54">
        <f ca="1">IF(VALUE(Remaining_Time[#Headers])&lt;='Construction Dashboard'!$F36,IFERROR(VLOOKUP(Remaining_Time[[#This Row],[Time]],Upgrades[],MATCH("T"&amp;Remaining_Time[#Headers],Upgrades[#Headers],0),FALSE),0)*MAX(0,SUM('Construction Dashboard'!$G36:J36)),0)</f>
        <v>0</v>
      </c>
      <c r="J86" s="54">
        <f ca="1">IF(VALUE(Remaining_Time[#Headers])&lt;='Construction Dashboard'!$F36,IFERROR(VLOOKUP(Remaining_Time[[#This Row],[Time]],Upgrades[],MATCH("T"&amp;Remaining_Time[#Headers],Upgrades[#Headers],0),FALSE),0)*MAX(0,SUM('Construction Dashboard'!$G36:K36)),0)</f>
        <v>0</v>
      </c>
      <c r="K86" s="54">
        <f ca="1">IF(VALUE(Remaining_Time[#Headers])&lt;='Construction Dashboard'!$F36,IFERROR(VLOOKUP(Remaining_Time[[#This Row],[Time]],Upgrades[],MATCH("T"&amp;Remaining_Time[#Headers],Upgrades[#Headers],0),FALSE),0)*MAX(0,SUM('Construction Dashboard'!$G36:L36)),0)</f>
        <v>0</v>
      </c>
      <c r="L86" s="54">
        <f ca="1">IF(VALUE(Remaining_Time[#Headers])&lt;='Construction Dashboard'!$F36,IFERROR(VLOOKUP(Remaining_Time[[#This Row],[Time]],Upgrades[],MATCH("T"&amp;Remaining_Time[#Headers],Upgrades[#Headers],0),FALSE),0)*MAX(0,SUM('Construction Dashboard'!$G36:M36)),0)</f>
        <v>0</v>
      </c>
      <c r="M86" s="54">
        <f ca="1">IF(VALUE(Remaining_Time[#Headers])&lt;='Construction Dashboard'!$F36,IFERROR(VLOOKUP(Remaining_Time[[#This Row],[Time]],Upgrades[],MATCH("T"&amp;Remaining_Time[#Headers],Upgrades[#Headers],0),FALSE),0)*MAX(0,SUM('Construction Dashboard'!$G36:N36)),0)</f>
        <v>0</v>
      </c>
      <c r="N86" s="54">
        <f ca="1">IF(VALUE(Remaining_Time[#Headers])&lt;='Construction Dashboard'!$F36,IFERROR(VLOOKUP(Remaining_Time[[#This Row],[Time]],Upgrades[],MATCH("T"&amp;Remaining_Time[#Headers],Upgrades[#Headers],0),FALSE),0)*MAX(0,SUM('Construction Dashboard'!$G36:O36)),0)</f>
        <v>0</v>
      </c>
      <c r="O86" s="54">
        <f ca="1">IF(VALUE(Remaining_Time[#Headers])&lt;='Construction Dashboard'!$F36,IFERROR(VLOOKUP(Remaining_Time[[#This Row],[Time]],Upgrades[],MATCH("T"&amp;Remaining_Time[#Headers],Upgrades[#Headers],0),FALSE),0)*MAX(0,SUM('Construction Dashboard'!$G36:P36)),0)</f>
        <v>0</v>
      </c>
      <c r="P86" s="54">
        <f ca="1">IF(VALUE(Remaining_Time[#Headers])&lt;='Construction Dashboard'!$F36,IFERROR(VLOOKUP(Remaining_Time[[#This Row],[Time]],Upgrades[],MATCH("T"&amp;Remaining_Time[#Headers],Upgrades[#Headers],0),FALSE),0)*MAX(0,SUM('Construction Dashboard'!$G36:Q36)),0)</f>
        <v>0</v>
      </c>
      <c r="Q86" s="54">
        <f ca="1">IF(VALUE(Remaining_Time[#Headers])&lt;='Construction Dashboard'!$F36,IFERROR(VLOOKUP(Remaining_Time[[#This Row],[Time]],Upgrades[],MATCH("T"&amp;Remaining_Time[#Headers],Upgrades[#Headers],0),FALSE),0)*MAX(0,SUM('Construction Dashboard'!$G36:R36)),0)</f>
        <v>0</v>
      </c>
      <c r="R86" s="54">
        <f ca="1">IF(Remaining_Time[[#This Row],[MatchStr]]="IGNORE",0,SUM(Remaining_Time[[#This Row],[1]:[12]]))</f>
        <v>0</v>
      </c>
    </row>
    <row r="87" spans="1:18">
      <c r="A87" s="11" t="s">
        <v>6</v>
      </c>
      <c r="B87" s="11" t="str">
        <f>VLOOKUP(Remaining_Time[[#This Row],[Time]],Upgrades[],MATCH("Kind",Upgrades[#Headers],0),FALSE)</f>
        <v>Building</v>
      </c>
      <c r="C87" s="11" t="str">
        <f>VLOOKUP(Remaining_Time[[#This Row],[Time]],Upgrades[],MATCH("Resource",Upgrades[#Headers],0),FALSE)</f>
        <v>Gold</v>
      </c>
      <c r="D87" s="115" t="str">
        <f>IF(COUNTIF(Skips,Remaining_Time[[#This Row],[Time]])&gt;0,"IGNORE",Remaining_Time[Kind]&amp;"-"&amp;Remaining_Time[Resource])</f>
        <v>Building-Gold</v>
      </c>
      <c r="E87" s="47" t="str">
        <f ca="1">IFERROR(VLOOKUP(Remaining_Time[[#This Row],[Time]],Upgrades[],MATCH("T"&amp;MATCH(TRUE,INDEX(Remaining_Time[[#This Row],[1]:[12]]&lt;&gt;0,),0),Upgrades[#Headers],0),FALSE),"")</f>
        <v/>
      </c>
      <c r="F87" s="54">
        <f ca="1">IF(VALUE(Remaining_Time[#Headers])&lt;='Construction Dashboard'!$F37,IFERROR(VLOOKUP(Remaining_Time[[#This Row],[Time]],Upgrades[],MATCH("T"&amp;Remaining_Time[#Headers],Upgrades[#Headers],0),FALSE),0)*MAX(0,SUM('Construction Dashboard'!$G37:G37)),0)</f>
        <v>0</v>
      </c>
      <c r="G87" s="54">
        <f ca="1">IF(VALUE(Remaining_Time[#Headers])&lt;='Construction Dashboard'!$F37,IFERROR(VLOOKUP(Remaining_Time[[#This Row],[Time]],Upgrades[],MATCH("T"&amp;Remaining_Time[#Headers],Upgrades[#Headers],0),FALSE),0)*MAX(0,SUM('Construction Dashboard'!$G37:H37)),0)</f>
        <v>0</v>
      </c>
      <c r="H87" s="54">
        <f ca="1">IF(VALUE(Remaining_Time[#Headers])&lt;='Construction Dashboard'!$F37,IFERROR(VLOOKUP(Remaining_Time[[#This Row],[Time]],Upgrades[],MATCH("T"&amp;Remaining_Time[#Headers],Upgrades[#Headers],0),FALSE),0)*MAX(0,SUM('Construction Dashboard'!$G37:I37)),0)</f>
        <v>0</v>
      </c>
      <c r="I87" s="54">
        <f ca="1">IF(VALUE(Remaining_Time[#Headers])&lt;='Construction Dashboard'!$F37,IFERROR(VLOOKUP(Remaining_Time[[#This Row],[Time]],Upgrades[],MATCH("T"&amp;Remaining_Time[#Headers],Upgrades[#Headers],0),FALSE),0)*MAX(0,SUM('Construction Dashboard'!$G37:J37)),0)</f>
        <v>0</v>
      </c>
      <c r="J87" s="54">
        <f ca="1">IF(VALUE(Remaining_Time[#Headers])&lt;='Construction Dashboard'!$F37,IFERROR(VLOOKUP(Remaining_Time[[#This Row],[Time]],Upgrades[],MATCH("T"&amp;Remaining_Time[#Headers],Upgrades[#Headers],0),FALSE),0)*MAX(0,SUM('Construction Dashboard'!$G37:K37)),0)</f>
        <v>0</v>
      </c>
      <c r="K87" s="54">
        <f ca="1">IF(VALUE(Remaining_Time[#Headers])&lt;='Construction Dashboard'!$F37,IFERROR(VLOOKUP(Remaining_Time[[#This Row],[Time]],Upgrades[],MATCH("T"&amp;Remaining_Time[#Headers],Upgrades[#Headers],0),FALSE),0)*MAX(0,SUM('Construction Dashboard'!$G37:L37)),0)</f>
        <v>0</v>
      </c>
      <c r="L87" s="54">
        <f ca="1">IF(VALUE(Remaining_Time[#Headers])&lt;='Construction Dashboard'!$F37,IFERROR(VLOOKUP(Remaining_Time[[#This Row],[Time]],Upgrades[],MATCH("T"&amp;Remaining_Time[#Headers],Upgrades[#Headers],0),FALSE),0)*MAX(0,SUM('Construction Dashboard'!$G37:M37)),0)</f>
        <v>0</v>
      </c>
      <c r="M87" s="54">
        <f ca="1">IF(VALUE(Remaining_Time[#Headers])&lt;='Construction Dashboard'!$F37,IFERROR(VLOOKUP(Remaining_Time[[#This Row],[Time]],Upgrades[],MATCH("T"&amp;Remaining_Time[#Headers],Upgrades[#Headers],0),FALSE),0)*MAX(0,SUM('Construction Dashboard'!$G37:N37)),0)</f>
        <v>0</v>
      </c>
      <c r="N87" s="54">
        <f ca="1">IF(VALUE(Remaining_Time[#Headers])&lt;='Construction Dashboard'!$F37,IFERROR(VLOOKUP(Remaining_Time[[#This Row],[Time]],Upgrades[],MATCH("T"&amp;Remaining_Time[#Headers],Upgrades[#Headers],0),FALSE),0)*MAX(0,SUM('Construction Dashboard'!$G37:O37)),0)</f>
        <v>0</v>
      </c>
      <c r="O87" s="54">
        <f ca="1">IF(VALUE(Remaining_Time[#Headers])&lt;='Construction Dashboard'!$F37,IFERROR(VLOOKUP(Remaining_Time[[#This Row],[Time]],Upgrades[],MATCH("T"&amp;Remaining_Time[#Headers],Upgrades[#Headers],0),FALSE),0)*MAX(0,SUM('Construction Dashboard'!$G37:P37)),0)</f>
        <v>0</v>
      </c>
      <c r="P87" s="54">
        <f ca="1">IF(VALUE(Remaining_Time[#Headers])&lt;='Construction Dashboard'!$F37,IFERROR(VLOOKUP(Remaining_Time[[#This Row],[Time]],Upgrades[],MATCH("T"&amp;Remaining_Time[#Headers],Upgrades[#Headers],0),FALSE),0)*MAX(0,SUM('Construction Dashboard'!$G37:Q37)),0)</f>
        <v>0</v>
      </c>
      <c r="Q87" s="54">
        <f ca="1">IF(VALUE(Remaining_Time[#Headers])&lt;='Construction Dashboard'!$F37,IFERROR(VLOOKUP(Remaining_Time[[#This Row],[Time]],Upgrades[],MATCH("T"&amp;Remaining_Time[#Headers],Upgrades[#Headers],0),FALSE),0)*MAX(0,SUM('Construction Dashboard'!$G37:R37)),0)</f>
        <v>0</v>
      </c>
      <c r="R87" s="54">
        <f ca="1">IF(Remaining_Time[[#This Row],[MatchStr]]="IGNORE",0,SUM(Remaining_Time[[#This Row],[1]:[12]]))</f>
        <v>0</v>
      </c>
    </row>
    <row r="88" spans="1:18">
      <c r="A88" s="11" t="s">
        <v>22</v>
      </c>
      <c r="B88" s="11" t="str">
        <f>VLOOKUP(Remaining_Time[[#This Row],[Time]],Upgrades[],MATCH("Kind",Upgrades[#Headers],0),FALSE)</f>
        <v>Building</v>
      </c>
      <c r="C88" s="11" t="str">
        <f>VLOOKUP(Remaining_Time[[#This Row],[Time]],Upgrades[],MATCH("Resource",Upgrades[#Headers],0),FALSE)</f>
        <v>Gold</v>
      </c>
      <c r="D88" s="115" t="str">
        <f>IF(COUNTIF(Skips,Remaining_Time[[#This Row],[Time]])&gt;0,"IGNORE",Remaining_Time[Kind]&amp;"-"&amp;Remaining_Time[Resource])</f>
        <v>Building-Gold</v>
      </c>
      <c r="E88" s="47" t="str">
        <f ca="1">IFERROR(VLOOKUP(Remaining_Time[[#This Row],[Time]],Upgrades[],MATCH("T"&amp;MATCH(TRUE,INDEX(Remaining_Time[[#This Row],[1]:[12]]&lt;&gt;0,),0),Upgrades[#Headers],0),FALSE),"")</f>
        <v/>
      </c>
      <c r="F88" s="54">
        <f ca="1">IF(VALUE(Remaining_Time[#Headers])&lt;='Construction Dashboard'!$F38,IFERROR(VLOOKUP(Remaining_Time[[#This Row],[Time]],Upgrades[],MATCH("T"&amp;Remaining_Time[#Headers],Upgrades[#Headers],0),FALSE),0)*MAX(0,SUM('Construction Dashboard'!$G38:G38)),0)</f>
        <v>0</v>
      </c>
      <c r="G88" s="54">
        <f ca="1">IF(VALUE(Remaining_Time[#Headers])&lt;='Construction Dashboard'!$F38,IFERROR(VLOOKUP(Remaining_Time[[#This Row],[Time]],Upgrades[],MATCH("T"&amp;Remaining_Time[#Headers],Upgrades[#Headers],0),FALSE),0)*MAX(0,SUM('Construction Dashboard'!$G38:H38)),0)</f>
        <v>0</v>
      </c>
      <c r="H88" s="54">
        <f ca="1">IF(VALUE(Remaining_Time[#Headers])&lt;='Construction Dashboard'!$F38,IFERROR(VLOOKUP(Remaining_Time[[#This Row],[Time]],Upgrades[],MATCH("T"&amp;Remaining_Time[#Headers],Upgrades[#Headers],0),FALSE),0)*MAX(0,SUM('Construction Dashboard'!$G38:I38)),0)</f>
        <v>0</v>
      </c>
      <c r="I88" s="54">
        <f ca="1">IF(VALUE(Remaining_Time[#Headers])&lt;='Construction Dashboard'!$F38,IFERROR(VLOOKUP(Remaining_Time[[#This Row],[Time]],Upgrades[],MATCH("T"&amp;Remaining_Time[#Headers],Upgrades[#Headers],0),FALSE),0)*MAX(0,SUM('Construction Dashboard'!$G38:J38)),0)</f>
        <v>0</v>
      </c>
      <c r="J88" s="54">
        <f ca="1">IF(VALUE(Remaining_Time[#Headers])&lt;='Construction Dashboard'!$F38,IFERROR(VLOOKUP(Remaining_Time[[#This Row],[Time]],Upgrades[],MATCH("T"&amp;Remaining_Time[#Headers],Upgrades[#Headers],0),FALSE),0)*MAX(0,SUM('Construction Dashboard'!$G38:K38)),0)</f>
        <v>0</v>
      </c>
      <c r="K88" s="54">
        <f ca="1">IF(VALUE(Remaining_Time[#Headers])&lt;='Construction Dashboard'!$F38,IFERROR(VLOOKUP(Remaining_Time[[#This Row],[Time]],Upgrades[],MATCH("T"&amp;Remaining_Time[#Headers],Upgrades[#Headers],0),FALSE),0)*MAX(0,SUM('Construction Dashboard'!$G38:L38)),0)</f>
        <v>0</v>
      </c>
      <c r="L88" s="54">
        <f ca="1">IF(VALUE(Remaining_Time[#Headers])&lt;='Construction Dashboard'!$F38,IFERROR(VLOOKUP(Remaining_Time[[#This Row],[Time]],Upgrades[],MATCH("T"&amp;Remaining_Time[#Headers],Upgrades[#Headers],0),FALSE),0)*MAX(0,SUM('Construction Dashboard'!$G38:M38)),0)</f>
        <v>0</v>
      </c>
      <c r="M88" s="54">
        <f ca="1">IF(VALUE(Remaining_Time[#Headers])&lt;='Construction Dashboard'!$F38,IFERROR(VLOOKUP(Remaining_Time[[#This Row],[Time]],Upgrades[],MATCH("T"&amp;Remaining_Time[#Headers],Upgrades[#Headers],0),FALSE),0)*MAX(0,SUM('Construction Dashboard'!$G38:N38)),0)</f>
        <v>0</v>
      </c>
      <c r="N88" s="54">
        <f ca="1">IF(VALUE(Remaining_Time[#Headers])&lt;='Construction Dashboard'!$F38,IFERROR(VLOOKUP(Remaining_Time[[#This Row],[Time]],Upgrades[],MATCH("T"&amp;Remaining_Time[#Headers],Upgrades[#Headers],0),FALSE),0)*MAX(0,SUM('Construction Dashboard'!$G38:O38)),0)</f>
        <v>0</v>
      </c>
      <c r="O88" s="54">
        <f ca="1">IF(VALUE(Remaining_Time[#Headers])&lt;='Construction Dashboard'!$F38,IFERROR(VLOOKUP(Remaining_Time[[#This Row],[Time]],Upgrades[],MATCH("T"&amp;Remaining_Time[#Headers],Upgrades[#Headers],0),FALSE),0)*MAX(0,SUM('Construction Dashboard'!$G38:P38)),0)</f>
        <v>0</v>
      </c>
      <c r="P88" s="54">
        <f ca="1">IF(VALUE(Remaining_Time[#Headers])&lt;='Construction Dashboard'!$F38,IFERROR(VLOOKUP(Remaining_Time[[#This Row],[Time]],Upgrades[],MATCH("T"&amp;Remaining_Time[#Headers],Upgrades[#Headers],0),FALSE),0)*MAX(0,SUM('Construction Dashboard'!$G38:Q38)),0)</f>
        <v>0</v>
      </c>
      <c r="Q88" s="54">
        <f ca="1">IF(VALUE(Remaining_Time[#Headers])&lt;='Construction Dashboard'!$F38,IFERROR(VLOOKUP(Remaining_Time[[#This Row],[Time]],Upgrades[],MATCH("T"&amp;Remaining_Time[#Headers],Upgrades[#Headers],0),FALSE),0)*MAX(0,SUM('Construction Dashboard'!$G38:R38)),0)</f>
        <v>0</v>
      </c>
      <c r="R88" s="54">
        <f ca="1">IF(Remaining_Time[[#This Row],[MatchStr]]="IGNORE",0,SUM(Remaining_Time[[#This Row],[1]:[12]]))</f>
        <v>0</v>
      </c>
    </row>
    <row r="89" spans="1:18">
      <c r="A89" s="11" t="s">
        <v>23</v>
      </c>
      <c r="B89" s="11" t="str">
        <f>VLOOKUP(Remaining_Time[[#This Row],[Time]],Upgrades[],MATCH("Kind",Upgrades[#Headers],0),FALSE)</f>
        <v>Wall</v>
      </c>
      <c r="C89" s="11" t="str">
        <f>VLOOKUP(Remaining_Time[[#This Row],[Time]],Upgrades[],MATCH("Resource",Upgrades[#Headers],0),FALSE)</f>
        <v>Gold</v>
      </c>
      <c r="D89" s="115" t="str">
        <f>IF(COUNTIF(Skips,Remaining_Time[[#This Row],[Time]])&gt;0,"IGNORE",Remaining_Time[Kind]&amp;"-"&amp;Remaining_Time[Resource])</f>
        <v>Wall-Gold</v>
      </c>
      <c r="E89" s="47" t="str">
        <f ca="1">IFERROR(VLOOKUP(Remaining_Time[[#This Row],[Time]],Upgrades[],MATCH("T"&amp;MATCH(TRUE,INDEX(Remaining_Time[[#This Row],[1]:[12]]&lt;&gt;0,),0),Upgrades[#Headers],0),FALSE),"")</f>
        <v/>
      </c>
      <c r="F89" s="54">
        <f ca="1">IF(VALUE(Remaining_Time[#Headers])&lt;='Construction Dashboard'!$F39,IFERROR(VLOOKUP(Remaining_Time[[#This Row],[Time]],Upgrades[],MATCH("T"&amp;Remaining_Time[#Headers],Upgrades[#Headers],0),FALSE),0)*MAX(0,SUM('Construction Dashboard'!$G39:G39)),0)</f>
        <v>0</v>
      </c>
      <c r="G89" s="54">
        <f ca="1">IF(VALUE(Remaining_Time[#Headers])&lt;='Construction Dashboard'!$F39,IFERROR(VLOOKUP(Remaining_Time[[#This Row],[Time]],Upgrades[],MATCH("T"&amp;Remaining_Time[#Headers],Upgrades[#Headers],0),FALSE),0)*MAX(0,SUM('Construction Dashboard'!$G39:H39)),0)</f>
        <v>0</v>
      </c>
      <c r="H89" s="54">
        <f ca="1">IF(VALUE(Remaining_Time[#Headers])&lt;='Construction Dashboard'!$F39,IFERROR(VLOOKUP(Remaining_Time[[#This Row],[Time]],Upgrades[],MATCH("T"&amp;Remaining_Time[#Headers],Upgrades[#Headers],0),FALSE),0)*MAX(0,SUM('Construction Dashboard'!$G39:I39)),0)</f>
        <v>0</v>
      </c>
      <c r="I89" s="54">
        <f ca="1">IF(VALUE(Remaining_Time[#Headers])&lt;='Construction Dashboard'!$F39,IFERROR(VLOOKUP(Remaining_Time[[#This Row],[Time]],Upgrades[],MATCH("T"&amp;Remaining_Time[#Headers],Upgrades[#Headers],0),FALSE),0)*MAX(0,SUM('Construction Dashboard'!$G39:J39)),0)</f>
        <v>0</v>
      </c>
      <c r="J89" s="54">
        <f ca="1">IF(VALUE(Remaining_Time[#Headers])&lt;='Construction Dashboard'!$F39,IFERROR(VLOOKUP(Remaining_Time[[#This Row],[Time]],Upgrades[],MATCH("T"&amp;Remaining_Time[#Headers],Upgrades[#Headers],0),FALSE),0)*MAX(0,SUM('Construction Dashboard'!$G39:K39)),0)</f>
        <v>0</v>
      </c>
      <c r="K89" s="54">
        <f ca="1">IF(VALUE(Remaining_Time[#Headers])&lt;='Construction Dashboard'!$F39,IFERROR(VLOOKUP(Remaining_Time[[#This Row],[Time]],Upgrades[],MATCH("T"&amp;Remaining_Time[#Headers],Upgrades[#Headers],0),FALSE),0)*MAX(0,SUM('Construction Dashboard'!$G39:L39)),0)</f>
        <v>0</v>
      </c>
      <c r="L89" s="54">
        <f ca="1">IF(VALUE(Remaining_Time[#Headers])&lt;='Construction Dashboard'!$F39,IFERROR(VLOOKUP(Remaining_Time[[#This Row],[Time]],Upgrades[],MATCH("T"&amp;Remaining_Time[#Headers],Upgrades[#Headers],0),FALSE),0)*MAX(0,SUM('Construction Dashboard'!$G39:M39)),0)</f>
        <v>0</v>
      </c>
      <c r="M89" s="54">
        <f ca="1">IF(VALUE(Remaining_Time[#Headers])&lt;='Construction Dashboard'!$F39,IFERROR(VLOOKUP(Remaining_Time[[#This Row],[Time]],Upgrades[],MATCH("T"&amp;Remaining_Time[#Headers],Upgrades[#Headers],0),FALSE),0)*MAX(0,SUM('Construction Dashboard'!$G39:N39)),0)</f>
        <v>0</v>
      </c>
      <c r="N89" s="54">
        <f ca="1">IF(VALUE(Remaining_Time[#Headers])&lt;='Construction Dashboard'!$F39,IFERROR(VLOOKUP(Remaining_Time[[#This Row],[Time]],Upgrades[],MATCH("T"&amp;Remaining_Time[#Headers],Upgrades[#Headers],0),FALSE),0)*MAX(0,SUM('Construction Dashboard'!$G39:O39)),0)</f>
        <v>0</v>
      </c>
      <c r="O89" s="54">
        <f ca="1">IF(VALUE(Remaining_Time[#Headers])&lt;='Construction Dashboard'!$F39,IFERROR(VLOOKUP(Remaining_Time[[#This Row],[Time]],Upgrades[],MATCH("T"&amp;Remaining_Time[#Headers],Upgrades[#Headers],0),FALSE),0)*MAX(0,SUM('Construction Dashboard'!$G39:P39)),0)</f>
        <v>0</v>
      </c>
      <c r="P89" s="54">
        <f ca="1">IF(VALUE(Remaining_Time[#Headers])&lt;='Construction Dashboard'!$F39,IFERROR(VLOOKUP(Remaining_Time[[#This Row],[Time]],Upgrades[],MATCH("T"&amp;Remaining_Time[#Headers],Upgrades[#Headers],0),FALSE),0)*MAX(0,SUM('Construction Dashboard'!$G39:Q39)),0)</f>
        <v>0</v>
      </c>
      <c r="Q89" s="54">
        <f ca="1">IF(VALUE(Remaining_Time[#Headers])&lt;='Construction Dashboard'!$F39,IFERROR(VLOOKUP(Remaining_Time[[#This Row],[Time]],Upgrades[],MATCH("T"&amp;Remaining_Time[#Headers],Upgrades[#Headers],0),FALSE),0)*MAX(0,SUM('Construction Dashboard'!$G39:R39)),0)</f>
        <v>0</v>
      </c>
      <c r="R89" s="54">
        <f ca="1">IF(Remaining_Time[[#This Row],[MatchStr]]="IGNORE",0,SUM(Remaining_Time[[#This Row],[1]:[12]]))</f>
        <v>0</v>
      </c>
    </row>
    <row r="90" spans="1:18">
      <c r="A90" s="11" t="s">
        <v>7</v>
      </c>
      <c r="B90" s="11" t="str">
        <f>VLOOKUP(Remaining_Time[[#This Row],[Time]],Upgrades[],MATCH("Kind",Upgrades[#Headers],0),FALSE)</f>
        <v>Building</v>
      </c>
      <c r="C90" s="11" t="str">
        <f>VLOOKUP(Remaining_Time[[#This Row],[Time]],Upgrades[],MATCH("Resource",Upgrades[#Headers],0),FALSE)</f>
        <v>Gold</v>
      </c>
      <c r="D90" s="115" t="str">
        <f>IF(COUNTIF(Skips,Remaining_Time[[#This Row],[Time]])&gt;0,"IGNORE",Remaining_Time[Kind]&amp;"-"&amp;Remaining_Time[Resource])</f>
        <v>Building-Gold</v>
      </c>
      <c r="E90" s="47" t="str">
        <f ca="1">IFERROR(VLOOKUP(Remaining_Time[[#This Row],[Time]],Upgrades[],MATCH("T"&amp;MATCH(TRUE,INDEX(Remaining_Time[[#This Row],[1]:[12]]&lt;&gt;0,),0),Upgrades[#Headers],0),FALSE),"")</f>
        <v/>
      </c>
      <c r="F90" s="54">
        <f ca="1">IF(VALUE(Remaining_Time[#Headers])&lt;='Construction Dashboard'!$F40,IFERROR(VLOOKUP(Remaining_Time[[#This Row],[Time]],Upgrades[],MATCH("T"&amp;Remaining_Time[#Headers],Upgrades[#Headers],0),FALSE),0)*MAX(0,SUM('Construction Dashboard'!$G40:G40)),0)</f>
        <v>0</v>
      </c>
      <c r="G90" s="54">
        <f ca="1">IF(VALUE(Remaining_Time[#Headers])&lt;='Construction Dashboard'!$F40,IFERROR(VLOOKUP(Remaining_Time[[#This Row],[Time]],Upgrades[],MATCH("T"&amp;Remaining_Time[#Headers],Upgrades[#Headers],0),FALSE),0)*MAX(0,SUM('Construction Dashboard'!$G40:H40)),0)</f>
        <v>0</v>
      </c>
      <c r="H90" s="54">
        <f ca="1">IF(VALUE(Remaining_Time[#Headers])&lt;='Construction Dashboard'!$F40,IFERROR(VLOOKUP(Remaining_Time[[#This Row],[Time]],Upgrades[],MATCH("T"&amp;Remaining_Time[#Headers],Upgrades[#Headers],0),FALSE),0)*MAX(0,SUM('Construction Dashboard'!$G40:I40)),0)</f>
        <v>0</v>
      </c>
      <c r="I90" s="54">
        <f ca="1">IF(VALUE(Remaining_Time[#Headers])&lt;='Construction Dashboard'!$F40,IFERROR(VLOOKUP(Remaining_Time[[#This Row],[Time]],Upgrades[],MATCH("T"&amp;Remaining_Time[#Headers],Upgrades[#Headers],0),FALSE),0)*MAX(0,SUM('Construction Dashboard'!$G40:J40)),0)</f>
        <v>0</v>
      </c>
      <c r="J90" s="54">
        <f ca="1">IF(VALUE(Remaining_Time[#Headers])&lt;='Construction Dashboard'!$F40,IFERROR(VLOOKUP(Remaining_Time[[#This Row],[Time]],Upgrades[],MATCH("T"&amp;Remaining_Time[#Headers],Upgrades[#Headers],0),FALSE),0)*MAX(0,SUM('Construction Dashboard'!$G40:K40)),0)</f>
        <v>0</v>
      </c>
      <c r="K90" s="54">
        <f ca="1">IF(VALUE(Remaining_Time[#Headers])&lt;='Construction Dashboard'!$F40,IFERROR(VLOOKUP(Remaining_Time[[#This Row],[Time]],Upgrades[],MATCH("T"&amp;Remaining_Time[#Headers],Upgrades[#Headers],0),FALSE),0)*MAX(0,SUM('Construction Dashboard'!$G40:L40)),0)</f>
        <v>0</v>
      </c>
      <c r="L90" s="54">
        <f ca="1">IF(VALUE(Remaining_Time[#Headers])&lt;='Construction Dashboard'!$F40,IFERROR(VLOOKUP(Remaining_Time[[#This Row],[Time]],Upgrades[],MATCH("T"&amp;Remaining_Time[#Headers],Upgrades[#Headers],0),FALSE),0)*MAX(0,SUM('Construction Dashboard'!$G40:M40)),0)</f>
        <v>0</v>
      </c>
      <c r="M90" s="54">
        <f ca="1">IF(VALUE(Remaining_Time[#Headers])&lt;='Construction Dashboard'!$F40,IFERROR(VLOOKUP(Remaining_Time[[#This Row],[Time]],Upgrades[],MATCH("T"&amp;Remaining_Time[#Headers],Upgrades[#Headers],0),FALSE),0)*MAX(0,SUM('Construction Dashboard'!$G40:N40)),0)</f>
        <v>0</v>
      </c>
      <c r="N90" s="54">
        <f ca="1">IF(VALUE(Remaining_Time[#Headers])&lt;='Construction Dashboard'!$F40,IFERROR(VLOOKUP(Remaining_Time[[#This Row],[Time]],Upgrades[],MATCH("T"&amp;Remaining_Time[#Headers],Upgrades[#Headers],0),FALSE),0)*MAX(0,SUM('Construction Dashboard'!$G40:O40)),0)</f>
        <v>0</v>
      </c>
      <c r="O90" s="54">
        <f ca="1">IF(VALUE(Remaining_Time[#Headers])&lt;='Construction Dashboard'!$F40,IFERROR(VLOOKUP(Remaining_Time[[#This Row],[Time]],Upgrades[],MATCH("T"&amp;Remaining_Time[#Headers],Upgrades[#Headers],0),FALSE),0)*MAX(0,SUM('Construction Dashboard'!$G40:P40)),0)</f>
        <v>0</v>
      </c>
      <c r="P90" s="54">
        <f ca="1">IF(VALUE(Remaining_Time[#Headers])&lt;='Construction Dashboard'!$F40,IFERROR(VLOOKUP(Remaining_Time[[#This Row],[Time]],Upgrades[],MATCH("T"&amp;Remaining_Time[#Headers],Upgrades[#Headers],0),FALSE),0)*MAX(0,SUM('Construction Dashboard'!$G40:Q40)),0)</f>
        <v>0</v>
      </c>
      <c r="Q90" s="54">
        <f ca="1">IF(VALUE(Remaining_Time[#Headers])&lt;='Construction Dashboard'!$F40,IFERROR(VLOOKUP(Remaining_Time[[#This Row],[Time]],Upgrades[],MATCH("T"&amp;Remaining_Time[#Headers],Upgrades[#Headers],0),FALSE),0)*MAX(0,SUM('Construction Dashboard'!$G40:R40)),0)</f>
        <v>0</v>
      </c>
      <c r="R90" s="54">
        <f ca="1">IF(Remaining_Time[[#This Row],[MatchStr]]="IGNORE",0,SUM(Remaining_Time[[#This Row],[1]:[12]]))</f>
        <v>0</v>
      </c>
    </row>
    <row r="91" spans="1:18">
      <c r="A91" s="11" t="s">
        <v>8</v>
      </c>
      <c r="B91" s="11" t="str">
        <f>VLOOKUP(Remaining_Time[[#This Row],[Time]],Upgrades[],MATCH("Kind",Upgrades[#Headers],0),FALSE)</f>
        <v>Building</v>
      </c>
      <c r="C91" s="11" t="str">
        <f>VLOOKUP(Remaining_Time[[#This Row],[Time]],Upgrades[],MATCH("Resource",Upgrades[#Headers],0),FALSE)</f>
        <v>Gold</v>
      </c>
      <c r="D91" s="115" t="str">
        <f>IF(COUNTIF(Skips,Remaining_Time[[#This Row],[Time]])&gt;0,"IGNORE",Remaining_Time[Kind]&amp;"-"&amp;Remaining_Time[Resource])</f>
        <v>Building-Gold</v>
      </c>
      <c r="E91" s="47" t="str">
        <f ca="1">IFERROR(VLOOKUP(Remaining_Time[[#This Row],[Time]],Upgrades[],MATCH("T"&amp;MATCH(TRUE,INDEX(Remaining_Time[[#This Row],[1]:[12]]&lt;&gt;0,),0),Upgrades[#Headers],0),FALSE),"")</f>
        <v/>
      </c>
      <c r="F91" s="54">
        <f ca="1">IF(VALUE(Remaining_Time[#Headers])&lt;='Construction Dashboard'!$F41,IFERROR(VLOOKUP(Remaining_Time[[#This Row],[Time]],Upgrades[],MATCH("T"&amp;Remaining_Time[#Headers],Upgrades[#Headers],0),FALSE),0)*MAX(0,SUM('Construction Dashboard'!$G41:G41)),0)</f>
        <v>0</v>
      </c>
      <c r="G91" s="54">
        <f ca="1">IF(VALUE(Remaining_Time[#Headers])&lt;='Construction Dashboard'!$F41,IFERROR(VLOOKUP(Remaining_Time[[#This Row],[Time]],Upgrades[],MATCH("T"&amp;Remaining_Time[#Headers],Upgrades[#Headers],0),FALSE),0)*MAX(0,SUM('Construction Dashboard'!$G41:H41)),0)</f>
        <v>0</v>
      </c>
      <c r="H91" s="54">
        <f ca="1">IF(VALUE(Remaining_Time[#Headers])&lt;='Construction Dashboard'!$F41,IFERROR(VLOOKUP(Remaining_Time[[#This Row],[Time]],Upgrades[],MATCH("T"&amp;Remaining_Time[#Headers],Upgrades[#Headers],0),FALSE),0)*MAX(0,SUM('Construction Dashboard'!$G41:I41)),0)</f>
        <v>0</v>
      </c>
      <c r="I91" s="54">
        <f ca="1">IF(VALUE(Remaining_Time[#Headers])&lt;='Construction Dashboard'!$F41,IFERROR(VLOOKUP(Remaining_Time[[#This Row],[Time]],Upgrades[],MATCH("T"&amp;Remaining_Time[#Headers],Upgrades[#Headers],0),FALSE),0)*MAX(0,SUM('Construction Dashboard'!$G41:J41)),0)</f>
        <v>0</v>
      </c>
      <c r="J91" s="54">
        <f ca="1">IF(VALUE(Remaining_Time[#Headers])&lt;='Construction Dashboard'!$F41,IFERROR(VLOOKUP(Remaining_Time[[#This Row],[Time]],Upgrades[],MATCH("T"&amp;Remaining_Time[#Headers],Upgrades[#Headers],0),FALSE),0)*MAX(0,SUM('Construction Dashboard'!$G41:K41)),0)</f>
        <v>0</v>
      </c>
      <c r="K91" s="54">
        <f ca="1">IF(VALUE(Remaining_Time[#Headers])&lt;='Construction Dashboard'!$F41,IFERROR(VLOOKUP(Remaining_Time[[#This Row],[Time]],Upgrades[],MATCH("T"&amp;Remaining_Time[#Headers],Upgrades[#Headers],0),FALSE),0)*MAX(0,SUM('Construction Dashboard'!$G41:L41)),0)</f>
        <v>0</v>
      </c>
      <c r="L91" s="54">
        <f ca="1">IF(VALUE(Remaining_Time[#Headers])&lt;='Construction Dashboard'!$F41,IFERROR(VLOOKUP(Remaining_Time[[#This Row],[Time]],Upgrades[],MATCH("T"&amp;Remaining_Time[#Headers],Upgrades[#Headers],0),FALSE),0)*MAX(0,SUM('Construction Dashboard'!$G41:M41)),0)</f>
        <v>0</v>
      </c>
      <c r="M91" s="54">
        <f ca="1">IF(VALUE(Remaining_Time[#Headers])&lt;='Construction Dashboard'!$F41,IFERROR(VLOOKUP(Remaining_Time[[#This Row],[Time]],Upgrades[],MATCH("T"&amp;Remaining_Time[#Headers],Upgrades[#Headers],0),FALSE),0)*MAX(0,SUM('Construction Dashboard'!$G41:N41)),0)</f>
        <v>0</v>
      </c>
      <c r="N91" s="54">
        <f ca="1">IF(VALUE(Remaining_Time[#Headers])&lt;='Construction Dashboard'!$F41,IFERROR(VLOOKUP(Remaining_Time[[#This Row],[Time]],Upgrades[],MATCH("T"&amp;Remaining_Time[#Headers],Upgrades[#Headers],0),FALSE),0)*MAX(0,SUM('Construction Dashboard'!$G41:O41)),0)</f>
        <v>0</v>
      </c>
      <c r="O91" s="54">
        <f ca="1">IF(VALUE(Remaining_Time[#Headers])&lt;='Construction Dashboard'!$F41,IFERROR(VLOOKUP(Remaining_Time[[#This Row],[Time]],Upgrades[],MATCH("T"&amp;Remaining_Time[#Headers],Upgrades[#Headers],0),FALSE),0)*MAX(0,SUM('Construction Dashboard'!$G41:P41)),0)</f>
        <v>0</v>
      </c>
      <c r="P91" s="54">
        <f ca="1">IF(VALUE(Remaining_Time[#Headers])&lt;='Construction Dashboard'!$F41,IFERROR(VLOOKUP(Remaining_Time[[#This Row],[Time]],Upgrades[],MATCH("T"&amp;Remaining_Time[#Headers],Upgrades[#Headers],0),FALSE),0)*MAX(0,SUM('Construction Dashboard'!$G41:Q41)),0)</f>
        <v>0</v>
      </c>
      <c r="Q91" s="54">
        <f ca="1">IF(VALUE(Remaining_Time[#Headers])&lt;='Construction Dashboard'!$F41,IFERROR(VLOOKUP(Remaining_Time[[#This Row],[Time]],Upgrades[],MATCH("T"&amp;Remaining_Time[#Headers],Upgrades[#Headers],0),FALSE),0)*MAX(0,SUM('Construction Dashboard'!$G41:R41)),0)</f>
        <v>0</v>
      </c>
      <c r="R91" s="54">
        <f ca="1">IF(Remaining_Time[[#This Row],[MatchStr]]="IGNORE",0,SUM(Remaining_Time[[#This Row],[1]:[12]]))</f>
        <v>0</v>
      </c>
    </row>
    <row r="92" spans="1:18">
      <c r="A92" s="11" t="s">
        <v>24</v>
      </c>
      <c r="B92" s="11" t="str">
        <f>VLOOKUP(Remaining_Time[[#This Row],[Time]],Upgrades[],MATCH("Kind",Upgrades[#Headers],0),FALSE)</f>
        <v>Building</v>
      </c>
      <c r="C92" s="11" t="str">
        <f>VLOOKUP(Remaining_Time[[#This Row],[Time]],Upgrades[],MATCH("Resource",Upgrades[#Headers],0),FALSE)</f>
        <v>Gold</v>
      </c>
      <c r="D92" s="115" t="str">
        <f>IF(COUNTIF(Skips,Remaining_Time[[#This Row],[Time]])&gt;0,"IGNORE",Remaining_Time[Kind]&amp;"-"&amp;Remaining_Time[Resource])</f>
        <v>Building-Gold</v>
      </c>
      <c r="E92" s="47" t="str">
        <f ca="1">IFERROR(VLOOKUP(Remaining_Time[[#This Row],[Time]],Upgrades[],MATCH("T"&amp;MATCH(TRUE,INDEX(Remaining_Time[[#This Row],[1]:[12]]&lt;&gt;0,),0),Upgrades[#Headers],0),FALSE),"")</f>
        <v/>
      </c>
      <c r="F92" s="54">
        <f ca="1">IF(VALUE(Remaining_Time[#Headers])&lt;='Construction Dashboard'!$F42,IFERROR(VLOOKUP(Remaining_Time[[#This Row],[Time]],Upgrades[],MATCH("T"&amp;Remaining_Time[#Headers],Upgrades[#Headers],0),FALSE),0)*MAX(0,SUM('Construction Dashboard'!$G42:G42)),0)</f>
        <v>0</v>
      </c>
      <c r="G92" s="54">
        <f ca="1">IF(VALUE(Remaining_Time[#Headers])&lt;='Construction Dashboard'!$F42,IFERROR(VLOOKUP(Remaining_Time[[#This Row],[Time]],Upgrades[],MATCH("T"&amp;Remaining_Time[#Headers],Upgrades[#Headers],0),FALSE),0)*MAX(0,SUM('Construction Dashboard'!$G42:H42)),0)</f>
        <v>0</v>
      </c>
      <c r="H92" s="54">
        <f ca="1">IF(VALUE(Remaining_Time[#Headers])&lt;='Construction Dashboard'!$F42,IFERROR(VLOOKUP(Remaining_Time[[#This Row],[Time]],Upgrades[],MATCH("T"&amp;Remaining_Time[#Headers],Upgrades[#Headers],0),FALSE),0)*MAX(0,SUM('Construction Dashboard'!$G42:I42)),0)</f>
        <v>0</v>
      </c>
      <c r="I92" s="54">
        <f ca="1">IF(VALUE(Remaining_Time[#Headers])&lt;='Construction Dashboard'!$F42,IFERROR(VLOOKUP(Remaining_Time[[#This Row],[Time]],Upgrades[],MATCH("T"&amp;Remaining_Time[#Headers],Upgrades[#Headers],0),FALSE),0)*MAX(0,SUM('Construction Dashboard'!$G42:J42)),0)</f>
        <v>0</v>
      </c>
      <c r="J92" s="54">
        <f ca="1">IF(VALUE(Remaining_Time[#Headers])&lt;='Construction Dashboard'!$F42,IFERROR(VLOOKUP(Remaining_Time[[#This Row],[Time]],Upgrades[],MATCH("T"&amp;Remaining_Time[#Headers],Upgrades[#Headers],0),FALSE),0)*MAX(0,SUM('Construction Dashboard'!$G42:K42)),0)</f>
        <v>0</v>
      </c>
      <c r="K92" s="54">
        <f ca="1">IF(VALUE(Remaining_Time[#Headers])&lt;='Construction Dashboard'!$F42,IFERROR(VLOOKUP(Remaining_Time[[#This Row],[Time]],Upgrades[],MATCH("T"&amp;Remaining_Time[#Headers],Upgrades[#Headers],0),FALSE),0)*MAX(0,SUM('Construction Dashboard'!$G42:L42)),0)</f>
        <v>0</v>
      </c>
      <c r="L92" s="54">
        <f ca="1">IF(VALUE(Remaining_Time[#Headers])&lt;='Construction Dashboard'!$F42,IFERROR(VLOOKUP(Remaining_Time[[#This Row],[Time]],Upgrades[],MATCH("T"&amp;Remaining_Time[#Headers],Upgrades[#Headers],0),FALSE),0)*MAX(0,SUM('Construction Dashboard'!$G42:M42)),0)</f>
        <v>0</v>
      </c>
      <c r="M92" s="54">
        <f ca="1">IF(VALUE(Remaining_Time[#Headers])&lt;='Construction Dashboard'!$F42,IFERROR(VLOOKUP(Remaining_Time[[#This Row],[Time]],Upgrades[],MATCH("T"&amp;Remaining_Time[#Headers],Upgrades[#Headers],0),FALSE),0)*MAX(0,SUM('Construction Dashboard'!$G42:N42)),0)</f>
        <v>0</v>
      </c>
      <c r="N92" s="54">
        <f ca="1">IF(VALUE(Remaining_Time[#Headers])&lt;='Construction Dashboard'!$F42,IFERROR(VLOOKUP(Remaining_Time[[#This Row],[Time]],Upgrades[],MATCH("T"&amp;Remaining_Time[#Headers],Upgrades[#Headers],0),FALSE),0)*MAX(0,SUM('Construction Dashboard'!$G42:O42)),0)</f>
        <v>0</v>
      </c>
      <c r="O92" s="54">
        <f ca="1">IF(VALUE(Remaining_Time[#Headers])&lt;='Construction Dashboard'!$F42,IFERROR(VLOOKUP(Remaining_Time[[#This Row],[Time]],Upgrades[],MATCH("T"&amp;Remaining_Time[#Headers],Upgrades[#Headers],0),FALSE),0)*MAX(0,SUM('Construction Dashboard'!$G42:P42)),0)</f>
        <v>0</v>
      </c>
      <c r="P92" s="54">
        <f ca="1">IF(VALUE(Remaining_Time[#Headers])&lt;='Construction Dashboard'!$F42,IFERROR(VLOOKUP(Remaining_Time[[#This Row],[Time]],Upgrades[],MATCH("T"&amp;Remaining_Time[#Headers],Upgrades[#Headers],0),FALSE),0)*MAX(0,SUM('Construction Dashboard'!$G42:Q42)),0)</f>
        <v>0</v>
      </c>
      <c r="Q92" s="54">
        <f ca="1">IF(VALUE(Remaining_Time[#Headers])&lt;='Construction Dashboard'!$F42,IFERROR(VLOOKUP(Remaining_Time[[#This Row],[Time]],Upgrades[],MATCH("T"&amp;Remaining_Time[#Headers],Upgrades[#Headers],0),FALSE),0)*MAX(0,SUM('Construction Dashboard'!$G42:R42)),0)</f>
        <v>0</v>
      </c>
      <c r="R92" s="54">
        <f ca="1">IF(Remaining_Time[[#This Row],[MatchStr]]="IGNORE",0,SUM(Remaining_Time[[#This Row],[1]:[12]]))</f>
        <v>0</v>
      </c>
    </row>
    <row r="93" spans="1:18">
      <c r="A93" s="11" t="s">
        <v>25</v>
      </c>
      <c r="B93" s="11" t="str">
        <f>VLOOKUP(Remaining_Time[[#This Row],[Time]],Upgrades[],MATCH("Kind",Upgrades[#Headers],0),FALSE)</f>
        <v>Building</v>
      </c>
      <c r="C93" s="11" t="str">
        <f>VLOOKUP(Remaining_Time[[#This Row],[Time]],Upgrades[],MATCH("Resource",Upgrades[#Headers],0),FALSE)</f>
        <v>Gold</v>
      </c>
      <c r="D93" s="115" t="str">
        <f>IF(COUNTIF(Skips,Remaining_Time[[#This Row],[Time]])&gt;0,"IGNORE",Remaining_Time[Kind]&amp;"-"&amp;Remaining_Time[Resource])</f>
        <v>Building-Gold</v>
      </c>
      <c r="E93" s="47" t="str">
        <f ca="1">IFERROR(VLOOKUP(Remaining_Time[[#This Row],[Time]],Upgrades[],MATCH("T"&amp;MATCH(TRUE,INDEX(Remaining_Time[[#This Row],[1]:[12]]&lt;&gt;0,),0),Upgrades[#Headers],0),FALSE),"")</f>
        <v/>
      </c>
      <c r="F93" s="54">
        <f ca="1">IF(VALUE(Remaining_Time[#Headers])&lt;='Construction Dashboard'!$F43,IFERROR(VLOOKUP(Remaining_Time[[#This Row],[Time]],Upgrades[],MATCH("T"&amp;Remaining_Time[#Headers],Upgrades[#Headers],0),FALSE),0)*MAX(0,SUM('Construction Dashboard'!$G43:G43)),0)</f>
        <v>0</v>
      </c>
      <c r="G93" s="54">
        <f ca="1">IF(VALUE(Remaining_Time[#Headers])&lt;='Construction Dashboard'!$F43,IFERROR(VLOOKUP(Remaining_Time[[#This Row],[Time]],Upgrades[],MATCH("T"&amp;Remaining_Time[#Headers],Upgrades[#Headers],0),FALSE),0)*MAX(0,SUM('Construction Dashboard'!$G43:H43)),0)</f>
        <v>0</v>
      </c>
      <c r="H93" s="54">
        <f ca="1">IF(VALUE(Remaining_Time[#Headers])&lt;='Construction Dashboard'!$F43,IFERROR(VLOOKUP(Remaining_Time[[#This Row],[Time]],Upgrades[],MATCH("T"&amp;Remaining_Time[#Headers],Upgrades[#Headers],0),FALSE),0)*MAX(0,SUM('Construction Dashboard'!$G43:I43)),0)</f>
        <v>0</v>
      </c>
      <c r="I93" s="54">
        <f ca="1">IF(VALUE(Remaining_Time[#Headers])&lt;='Construction Dashboard'!$F43,IFERROR(VLOOKUP(Remaining_Time[[#This Row],[Time]],Upgrades[],MATCH("T"&amp;Remaining_Time[#Headers],Upgrades[#Headers],0),FALSE),0)*MAX(0,SUM('Construction Dashboard'!$G43:J43)),0)</f>
        <v>0</v>
      </c>
      <c r="J93" s="54">
        <f ca="1">IF(VALUE(Remaining_Time[#Headers])&lt;='Construction Dashboard'!$F43,IFERROR(VLOOKUP(Remaining_Time[[#This Row],[Time]],Upgrades[],MATCH("T"&amp;Remaining_Time[#Headers],Upgrades[#Headers],0),FALSE),0)*MAX(0,SUM('Construction Dashboard'!$G43:K43)),0)</f>
        <v>0</v>
      </c>
      <c r="K93" s="54">
        <f ca="1">IF(VALUE(Remaining_Time[#Headers])&lt;='Construction Dashboard'!$F43,IFERROR(VLOOKUP(Remaining_Time[[#This Row],[Time]],Upgrades[],MATCH("T"&amp;Remaining_Time[#Headers],Upgrades[#Headers],0),FALSE),0)*MAX(0,SUM('Construction Dashboard'!$G43:L43)),0)</f>
        <v>0</v>
      </c>
      <c r="L93" s="54">
        <f ca="1">IF(VALUE(Remaining_Time[#Headers])&lt;='Construction Dashboard'!$F43,IFERROR(VLOOKUP(Remaining_Time[[#This Row],[Time]],Upgrades[],MATCH("T"&amp;Remaining_Time[#Headers],Upgrades[#Headers],0),FALSE),0)*MAX(0,SUM('Construction Dashboard'!$G43:M43)),0)</f>
        <v>0</v>
      </c>
      <c r="M93" s="54">
        <f ca="1">IF(VALUE(Remaining_Time[#Headers])&lt;='Construction Dashboard'!$F43,IFERROR(VLOOKUP(Remaining_Time[[#This Row],[Time]],Upgrades[],MATCH("T"&amp;Remaining_Time[#Headers],Upgrades[#Headers],0),FALSE),0)*MAX(0,SUM('Construction Dashboard'!$G43:N43)),0)</f>
        <v>0</v>
      </c>
      <c r="N93" s="54">
        <f ca="1">IF(VALUE(Remaining_Time[#Headers])&lt;='Construction Dashboard'!$F43,IFERROR(VLOOKUP(Remaining_Time[[#This Row],[Time]],Upgrades[],MATCH("T"&amp;Remaining_Time[#Headers],Upgrades[#Headers],0),FALSE),0)*MAX(0,SUM('Construction Dashboard'!$G43:O43)),0)</f>
        <v>0</v>
      </c>
      <c r="O93" s="54">
        <f ca="1">IF(VALUE(Remaining_Time[#Headers])&lt;='Construction Dashboard'!$F43,IFERROR(VLOOKUP(Remaining_Time[[#This Row],[Time]],Upgrades[],MATCH("T"&amp;Remaining_Time[#Headers],Upgrades[#Headers],0),FALSE),0)*MAX(0,SUM('Construction Dashboard'!$G43:P43)),0)</f>
        <v>0</v>
      </c>
      <c r="P93" s="54">
        <f ca="1">IF(VALUE(Remaining_Time[#Headers])&lt;='Construction Dashboard'!$F43,IFERROR(VLOOKUP(Remaining_Time[[#This Row],[Time]],Upgrades[],MATCH("T"&amp;Remaining_Time[#Headers],Upgrades[#Headers],0),FALSE),0)*MAX(0,SUM('Construction Dashboard'!$G43:Q43)),0)</f>
        <v>0</v>
      </c>
      <c r="Q93" s="54">
        <f ca="1">IF(VALUE(Remaining_Time[#Headers])&lt;='Construction Dashboard'!$F43,IFERROR(VLOOKUP(Remaining_Time[[#This Row],[Time]],Upgrades[],MATCH("T"&amp;Remaining_Time[#Headers],Upgrades[#Headers],0),FALSE),0)*MAX(0,SUM('Construction Dashboard'!$G43:R43)),0)</f>
        <v>0</v>
      </c>
      <c r="R93" s="54">
        <f ca="1">IF(Remaining_Time[[#This Row],[MatchStr]]="IGNORE",0,SUM(Remaining_Time[[#This Row],[1]:[12]]))</f>
        <v>0</v>
      </c>
    </row>
    <row r="94" spans="1:18">
      <c r="A94" s="11" t="s">
        <v>26</v>
      </c>
      <c r="B94" s="11" t="str">
        <f>VLOOKUP(Remaining_Time[[#This Row],[Time]],Upgrades[],MATCH("Kind",Upgrades[#Headers],0),FALSE)</f>
        <v>Building</v>
      </c>
      <c r="C94" s="11" t="str">
        <f>VLOOKUP(Remaining_Time[[#This Row],[Time]],Upgrades[],MATCH("Resource",Upgrades[#Headers],0),FALSE)</f>
        <v>Gold</v>
      </c>
      <c r="D94" s="115" t="str">
        <f>IF(COUNTIF(Skips,Remaining_Time[[#This Row],[Time]])&gt;0,"IGNORE",Remaining_Time[Kind]&amp;"-"&amp;Remaining_Time[Resource])</f>
        <v>Building-Gold</v>
      </c>
      <c r="E94" s="47" t="str">
        <f ca="1">IFERROR(VLOOKUP(Remaining_Time[[#This Row],[Time]],Upgrades[],MATCH("T"&amp;MATCH(TRUE,INDEX(Remaining_Time[[#This Row],[1]:[12]]&lt;&gt;0,),0),Upgrades[#Headers],0),FALSE),"")</f>
        <v/>
      </c>
      <c r="F94" s="54">
        <f ca="1">IF(VALUE(Remaining_Time[#Headers])&lt;='Construction Dashboard'!$F44,IFERROR(VLOOKUP(Remaining_Time[[#This Row],[Time]],Upgrades[],MATCH("T"&amp;Remaining_Time[#Headers],Upgrades[#Headers],0),FALSE),0)*MAX(0,SUM('Construction Dashboard'!$G44:G44)),0)</f>
        <v>0</v>
      </c>
      <c r="G94" s="54">
        <f ca="1">IF(VALUE(Remaining_Time[#Headers])&lt;='Construction Dashboard'!$F44,IFERROR(VLOOKUP(Remaining_Time[[#This Row],[Time]],Upgrades[],MATCH("T"&amp;Remaining_Time[#Headers],Upgrades[#Headers],0),FALSE),0)*MAX(0,SUM('Construction Dashboard'!$G44:H44)),0)</f>
        <v>0</v>
      </c>
      <c r="H94" s="54">
        <f ca="1">IF(VALUE(Remaining_Time[#Headers])&lt;='Construction Dashboard'!$F44,IFERROR(VLOOKUP(Remaining_Time[[#This Row],[Time]],Upgrades[],MATCH("T"&amp;Remaining_Time[#Headers],Upgrades[#Headers],0),FALSE),0)*MAX(0,SUM('Construction Dashboard'!$G44:I44)),0)</f>
        <v>0</v>
      </c>
      <c r="I94" s="54">
        <f ca="1">IF(VALUE(Remaining_Time[#Headers])&lt;='Construction Dashboard'!$F44,IFERROR(VLOOKUP(Remaining_Time[[#This Row],[Time]],Upgrades[],MATCH("T"&amp;Remaining_Time[#Headers],Upgrades[#Headers],0),FALSE),0)*MAX(0,SUM('Construction Dashboard'!$G44:J44)),0)</f>
        <v>0</v>
      </c>
      <c r="J94" s="54">
        <f ca="1">IF(VALUE(Remaining_Time[#Headers])&lt;='Construction Dashboard'!$F44,IFERROR(VLOOKUP(Remaining_Time[[#This Row],[Time]],Upgrades[],MATCH("T"&amp;Remaining_Time[#Headers],Upgrades[#Headers],0),FALSE),0)*MAX(0,SUM('Construction Dashboard'!$G44:K44)),0)</f>
        <v>0</v>
      </c>
      <c r="K94" s="54">
        <f ca="1">IF(VALUE(Remaining_Time[#Headers])&lt;='Construction Dashboard'!$F44,IFERROR(VLOOKUP(Remaining_Time[[#This Row],[Time]],Upgrades[],MATCH("T"&amp;Remaining_Time[#Headers],Upgrades[#Headers],0),FALSE),0)*MAX(0,SUM('Construction Dashboard'!$G44:L44)),0)</f>
        <v>0</v>
      </c>
      <c r="L94" s="54">
        <f ca="1">IF(VALUE(Remaining_Time[#Headers])&lt;='Construction Dashboard'!$F44,IFERROR(VLOOKUP(Remaining_Time[[#This Row],[Time]],Upgrades[],MATCH("T"&amp;Remaining_Time[#Headers],Upgrades[#Headers],0),FALSE),0)*MAX(0,SUM('Construction Dashboard'!$G44:M44)),0)</f>
        <v>0</v>
      </c>
      <c r="M94" s="54">
        <f ca="1">IF(VALUE(Remaining_Time[#Headers])&lt;='Construction Dashboard'!$F44,IFERROR(VLOOKUP(Remaining_Time[[#This Row],[Time]],Upgrades[],MATCH("T"&amp;Remaining_Time[#Headers],Upgrades[#Headers],0),FALSE),0)*MAX(0,SUM('Construction Dashboard'!$G44:N44)),0)</f>
        <v>0</v>
      </c>
      <c r="N94" s="54">
        <f ca="1">IF(VALUE(Remaining_Time[#Headers])&lt;='Construction Dashboard'!$F44,IFERROR(VLOOKUP(Remaining_Time[[#This Row],[Time]],Upgrades[],MATCH("T"&amp;Remaining_Time[#Headers],Upgrades[#Headers],0),FALSE),0)*MAX(0,SUM('Construction Dashboard'!$G44:O44)),0)</f>
        <v>0</v>
      </c>
      <c r="O94" s="54">
        <f ca="1">IF(VALUE(Remaining_Time[#Headers])&lt;='Construction Dashboard'!$F44,IFERROR(VLOOKUP(Remaining_Time[[#This Row],[Time]],Upgrades[],MATCH("T"&amp;Remaining_Time[#Headers],Upgrades[#Headers],0),FALSE),0)*MAX(0,SUM('Construction Dashboard'!$G44:P44)),0)</f>
        <v>0</v>
      </c>
      <c r="P94" s="54">
        <f ca="1">IF(VALUE(Remaining_Time[#Headers])&lt;='Construction Dashboard'!$F44,IFERROR(VLOOKUP(Remaining_Time[[#This Row],[Time]],Upgrades[],MATCH("T"&amp;Remaining_Time[#Headers],Upgrades[#Headers],0),FALSE),0)*MAX(0,SUM('Construction Dashboard'!$G44:Q44)),0)</f>
        <v>0</v>
      </c>
      <c r="Q94" s="54">
        <f ca="1">IF(VALUE(Remaining_Time[#Headers])&lt;='Construction Dashboard'!$F44,IFERROR(VLOOKUP(Remaining_Time[[#This Row],[Time]],Upgrades[],MATCH("T"&amp;Remaining_Time[#Headers],Upgrades[#Headers],0),FALSE),0)*MAX(0,SUM('Construction Dashboard'!$G44:R44)),0)</f>
        <v>0</v>
      </c>
      <c r="R94" s="54">
        <f ca="1">IF(Remaining_Time[[#This Row],[MatchStr]]="IGNORE",0,SUM(Remaining_Time[[#This Row],[1]:[12]]))</f>
        <v>0</v>
      </c>
    </row>
    <row r="95" spans="1:18">
      <c r="A95" s="11" t="s">
        <v>9</v>
      </c>
      <c r="B95" s="11" t="str">
        <f>VLOOKUP(Remaining_Time[[#This Row],[Time]],Upgrades[],MATCH("Kind",Upgrades[#Headers],0),FALSE)</f>
        <v>Building</v>
      </c>
      <c r="C95" s="11" t="str">
        <f>VLOOKUP(Remaining_Time[[#This Row],[Time]],Upgrades[],MATCH("Resource",Upgrades[#Headers],0),FALSE)</f>
        <v>Gold</v>
      </c>
      <c r="D95" s="115" t="str">
        <f>IF(COUNTIF(Skips,Remaining_Time[[#This Row],[Time]])&gt;0,"IGNORE",Remaining_Time[Kind]&amp;"-"&amp;Remaining_Time[Resource])</f>
        <v>Building-Gold</v>
      </c>
      <c r="E95" s="47" t="str">
        <f ca="1">IFERROR(VLOOKUP(Remaining_Time[[#This Row],[Time]],Upgrades[],MATCH("T"&amp;MATCH(TRUE,INDEX(Remaining_Time[[#This Row],[1]:[12]]&lt;&gt;0,),0),Upgrades[#Headers],0),FALSE),"")</f>
        <v/>
      </c>
      <c r="F95" s="54">
        <f ca="1">IF(VALUE(Remaining_Time[#Headers])&lt;='Construction Dashboard'!$F45,IFERROR(VLOOKUP(Remaining_Time[[#This Row],[Time]],Upgrades[],MATCH("T"&amp;Remaining_Time[#Headers],Upgrades[#Headers],0),FALSE),0)*MAX(0,SUM('Construction Dashboard'!$G45:G45)),0)</f>
        <v>0</v>
      </c>
      <c r="G95" s="54">
        <f ca="1">IF(VALUE(Remaining_Time[#Headers])&lt;='Construction Dashboard'!$F45,IFERROR(VLOOKUP(Remaining_Time[[#This Row],[Time]],Upgrades[],MATCH("T"&amp;Remaining_Time[#Headers],Upgrades[#Headers],0),FALSE),0)*MAX(0,SUM('Construction Dashboard'!$G45:H45)),0)</f>
        <v>0</v>
      </c>
      <c r="H95" s="54">
        <f ca="1">IF(VALUE(Remaining_Time[#Headers])&lt;='Construction Dashboard'!$F45,IFERROR(VLOOKUP(Remaining_Time[[#This Row],[Time]],Upgrades[],MATCH("T"&amp;Remaining_Time[#Headers],Upgrades[#Headers],0),FALSE),0)*MAX(0,SUM('Construction Dashboard'!$G45:I45)),0)</f>
        <v>0</v>
      </c>
      <c r="I95" s="54">
        <f ca="1">IF(VALUE(Remaining_Time[#Headers])&lt;='Construction Dashboard'!$F45,IFERROR(VLOOKUP(Remaining_Time[[#This Row],[Time]],Upgrades[],MATCH("T"&amp;Remaining_Time[#Headers],Upgrades[#Headers],0),FALSE),0)*MAX(0,SUM('Construction Dashboard'!$G45:J45)),0)</f>
        <v>0</v>
      </c>
      <c r="J95" s="54">
        <f ca="1">IF(VALUE(Remaining_Time[#Headers])&lt;='Construction Dashboard'!$F45,IFERROR(VLOOKUP(Remaining_Time[[#This Row],[Time]],Upgrades[],MATCH("T"&amp;Remaining_Time[#Headers],Upgrades[#Headers],0),FALSE),0)*MAX(0,SUM('Construction Dashboard'!$G45:K45)),0)</f>
        <v>0</v>
      </c>
      <c r="K95" s="54">
        <f ca="1">IF(VALUE(Remaining_Time[#Headers])&lt;='Construction Dashboard'!$F45,IFERROR(VLOOKUP(Remaining_Time[[#This Row],[Time]],Upgrades[],MATCH("T"&amp;Remaining_Time[#Headers],Upgrades[#Headers],0),FALSE),0)*MAX(0,SUM('Construction Dashboard'!$G45:L45)),0)</f>
        <v>0</v>
      </c>
      <c r="L95" s="54">
        <f ca="1">IF(VALUE(Remaining_Time[#Headers])&lt;='Construction Dashboard'!$F45,IFERROR(VLOOKUP(Remaining_Time[[#This Row],[Time]],Upgrades[],MATCH("T"&amp;Remaining_Time[#Headers],Upgrades[#Headers],0),FALSE),0)*MAX(0,SUM('Construction Dashboard'!$G45:M45)),0)</f>
        <v>0</v>
      </c>
      <c r="M95" s="54">
        <f ca="1">IF(VALUE(Remaining_Time[#Headers])&lt;='Construction Dashboard'!$F45,IFERROR(VLOOKUP(Remaining_Time[[#This Row],[Time]],Upgrades[],MATCH("T"&amp;Remaining_Time[#Headers],Upgrades[#Headers],0),FALSE),0)*MAX(0,SUM('Construction Dashboard'!$G45:N45)),0)</f>
        <v>0</v>
      </c>
      <c r="N95" s="54">
        <f ca="1">IF(VALUE(Remaining_Time[#Headers])&lt;='Construction Dashboard'!$F45,IFERROR(VLOOKUP(Remaining_Time[[#This Row],[Time]],Upgrades[],MATCH("T"&amp;Remaining_Time[#Headers],Upgrades[#Headers],0),FALSE),0)*MAX(0,SUM('Construction Dashboard'!$G45:O45)),0)</f>
        <v>0</v>
      </c>
      <c r="O95" s="54">
        <f ca="1">IF(VALUE(Remaining_Time[#Headers])&lt;='Construction Dashboard'!$F45,IFERROR(VLOOKUP(Remaining_Time[[#This Row],[Time]],Upgrades[],MATCH("T"&amp;Remaining_Time[#Headers],Upgrades[#Headers],0),FALSE),0)*MAX(0,SUM('Construction Dashboard'!$G45:P45)),0)</f>
        <v>0</v>
      </c>
      <c r="P95" s="54">
        <f ca="1">IF(VALUE(Remaining_Time[#Headers])&lt;='Construction Dashboard'!$F45,IFERROR(VLOOKUP(Remaining_Time[[#This Row],[Time]],Upgrades[],MATCH("T"&amp;Remaining_Time[#Headers],Upgrades[#Headers],0),FALSE),0)*MAX(0,SUM('Construction Dashboard'!$G45:Q45)),0)</f>
        <v>0</v>
      </c>
      <c r="Q95" s="54">
        <f ca="1">IF(VALUE(Remaining_Time[#Headers])&lt;='Construction Dashboard'!$F45,IFERROR(VLOOKUP(Remaining_Time[[#This Row],[Time]],Upgrades[],MATCH("T"&amp;Remaining_Time[#Headers],Upgrades[#Headers],0),FALSE),0)*MAX(0,SUM('Construction Dashboard'!$G45:R45)),0)</f>
        <v>0</v>
      </c>
      <c r="R95" s="54">
        <f ca="1">IF(Remaining_Time[[#This Row],[MatchStr]]="IGNORE",0,SUM(Remaining_Time[[#This Row],[1]:[12]]))</f>
        <v>0</v>
      </c>
    </row>
    <row r="96" spans="1:18">
      <c r="A96" s="11" t="s">
        <v>10</v>
      </c>
      <c r="B96" s="11" t="str">
        <f>VLOOKUP(Remaining_Time[[#This Row],[Time]],Upgrades[],MATCH("Kind",Upgrades[#Headers],0),FALSE)</f>
        <v>Building</v>
      </c>
      <c r="C96" s="11" t="str">
        <f>VLOOKUP(Remaining_Time[[#This Row],[Time]],Upgrades[],MATCH("Resource",Upgrades[#Headers],0),FALSE)</f>
        <v>Gold</v>
      </c>
      <c r="D96" s="115" t="str">
        <f>IF(COUNTIF(Skips,Remaining_Time[[#This Row],[Time]])&gt;0,"IGNORE",Remaining_Time[Kind]&amp;"-"&amp;Remaining_Time[Resource])</f>
        <v>Building-Gold</v>
      </c>
      <c r="E96" s="47" t="str">
        <f ca="1">IFERROR(VLOOKUP(Remaining_Time[[#This Row],[Time]],Upgrades[],MATCH("T"&amp;MATCH(TRUE,INDEX(Remaining_Time[[#This Row],[1]:[12]]&lt;&gt;0,),0),Upgrades[#Headers],0),FALSE),"")</f>
        <v/>
      </c>
      <c r="F96" s="54">
        <f ca="1">IF(VALUE(Remaining_Time[#Headers])&lt;='Construction Dashboard'!$F46,IFERROR(VLOOKUP(Remaining_Time[[#This Row],[Time]],Upgrades[],MATCH("T"&amp;Remaining_Time[#Headers],Upgrades[#Headers],0),FALSE),0)*MAX(0,SUM('Construction Dashboard'!$G46:G46)),0)</f>
        <v>0</v>
      </c>
      <c r="G96" s="54">
        <f ca="1">IF(VALUE(Remaining_Time[#Headers])&lt;='Construction Dashboard'!$F46,IFERROR(VLOOKUP(Remaining_Time[[#This Row],[Time]],Upgrades[],MATCH("T"&amp;Remaining_Time[#Headers],Upgrades[#Headers],0),FALSE),0)*MAX(0,SUM('Construction Dashboard'!$G46:H46)),0)</f>
        <v>0</v>
      </c>
      <c r="H96" s="54">
        <f ca="1">IF(VALUE(Remaining_Time[#Headers])&lt;='Construction Dashboard'!$F46,IFERROR(VLOOKUP(Remaining_Time[[#This Row],[Time]],Upgrades[],MATCH("T"&amp;Remaining_Time[#Headers],Upgrades[#Headers],0),FALSE),0)*MAX(0,SUM('Construction Dashboard'!$G46:I46)),0)</f>
        <v>0</v>
      </c>
      <c r="I96" s="54">
        <f ca="1">IF(VALUE(Remaining_Time[#Headers])&lt;='Construction Dashboard'!$F46,IFERROR(VLOOKUP(Remaining_Time[[#This Row],[Time]],Upgrades[],MATCH("T"&amp;Remaining_Time[#Headers],Upgrades[#Headers],0),FALSE),0)*MAX(0,SUM('Construction Dashboard'!$G46:J46)),0)</f>
        <v>0</v>
      </c>
      <c r="J96" s="54">
        <f ca="1">IF(VALUE(Remaining_Time[#Headers])&lt;='Construction Dashboard'!$F46,IFERROR(VLOOKUP(Remaining_Time[[#This Row],[Time]],Upgrades[],MATCH("T"&amp;Remaining_Time[#Headers],Upgrades[#Headers],0),FALSE),0)*MAX(0,SUM('Construction Dashboard'!$G46:K46)),0)</f>
        <v>0</v>
      </c>
      <c r="K96" s="54">
        <f ca="1">IF(VALUE(Remaining_Time[#Headers])&lt;='Construction Dashboard'!$F46,IFERROR(VLOOKUP(Remaining_Time[[#This Row],[Time]],Upgrades[],MATCH("T"&amp;Remaining_Time[#Headers],Upgrades[#Headers],0),FALSE),0)*MAX(0,SUM('Construction Dashboard'!$G46:L46)),0)</f>
        <v>0</v>
      </c>
      <c r="L96" s="54">
        <f ca="1">IF(VALUE(Remaining_Time[#Headers])&lt;='Construction Dashboard'!$F46,IFERROR(VLOOKUP(Remaining_Time[[#This Row],[Time]],Upgrades[],MATCH("T"&amp;Remaining_Time[#Headers],Upgrades[#Headers],0),FALSE),0)*MAX(0,SUM('Construction Dashboard'!$G46:M46)),0)</f>
        <v>0</v>
      </c>
      <c r="M96" s="54">
        <f ca="1">IF(VALUE(Remaining_Time[#Headers])&lt;='Construction Dashboard'!$F46,IFERROR(VLOOKUP(Remaining_Time[[#This Row],[Time]],Upgrades[],MATCH("T"&amp;Remaining_Time[#Headers],Upgrades[#Headers],0),FALSE),0)*MAX(0,SUM('Construction Dashboard'!$G46:N46)),0)</f>
        <v>0</v>
      </c>
      <c r="N96" s="54">
        <f ca="1">IF(VALUE(Remaining_Time[#Headers])&lt;='Construction Dashboard'!$F46,IFERROR(VLOOKUP(Remaining_Time[[#This Row],[Time]],Upgrades[],MATCH("T"&amp;Remaining_Time[#Headers],Upgrades[#Headers],0),FALSE),0)*MAX(0,SUM('Construction Dashboard'!$G46:O46)),0)</f>
        <v>0</v>
      </c>
      <c r="O96" s="54">
        <f ca="1">IF(VALUE(Remaining_Time[#Headers])&lt;='Construction Dashboard'!$F46,IFERROR(VLOOKUP(Remaining_Time[[#This Row],[Time]],Upgrades[],MATCH("T"&amp;Remaining_Time[#Headers],Upgrades[#Headers],0),FALSE),0)*MAX(0,SUM('Construction Dashboard'!$G46:P46)),0)</f>
        <v>0</v>
      </c>
      <c r="P96" s="54">
        <f ca="1">IF(VALUE(Remaining_Time[#Headers])&lt;='Construction Dashboard'!$F46,IFERROR(VLOOKUP(Remaining_Time[[#This Row],[Time]],Upgrades[],MATCH("T"&amp;Remaining_Time[#Headers],Upgrades[#Headers],0),FALSE),0)*MAX(0,SUM('Construction Dashboard'!$G46:Q46)),0)</f>
        <v>0</v>
      </c>
      <c r="Q96" s="54">
        <f ca="1">IF(VALUE(Remaining_Time[#Headers])&lt;='Construction Dashboard'!$F46,IFERROR(VLOOKUP(Remaining_Time[[#This Row],[Time]],Upgrades[],MATCH("T"&amp;Remaining_Time[#Headers],Upgrades[#Headers],0),FALSE),0)*MAX(0,SUM('Construction Dashboard'!$G46:R46)),0)</f>
        <v>0</v>
      </c>
      <c r="R96" s="54">
        <f ca="1">IF(Remaining_Time[[#This Row],[MatchStr]]="IGNORE",0,SUM(Remaining_Time[[#This Row],[1]:[12]]))</f>
        <v>0</v>
      </c>
    </row>
    <row r="97" spans="1:18">
      <c r="A97" s="11" t="s">
        <v>27</v>
      </c>
      <c r="B97" s="11" t="str">
        <f>VLOOKUP(Remaining_Time[[#This Row],[Time]],Upgrades[],MATCH("Kind",Upgrades[#Headers],0),FALSE)</f>
        <v>Building</v>
      </c>
      <c r="C97" s="11" t="str">
        <f>VLOOKUP(Remaining_Time[[#This Row],[Time]],Upgrades[],MATCH("Resource",Upgrades[#Headers],0),FALSE)</f>
        <v>Gold</v>
      </c>
      <c r="D97" s="115" t="str">
        <f>IF(COUNTIF(Skips,Remaining_Time[[#This Row],[Time]])&gt;0,"IGNORE",Remaining_Time[Kind]&amp;"-"&amp;Remaining_Time[Resource])</f>
        <v>Building-Gold</v>
      </c>
      <c r="E97" s="47" t="str">
        <f ca="1">IFERROR(VLOOKUP(Remaining_Time[[#This Row],[Time]],Upgrades[],MATCH("T"&amp;MATCH(TRUE,INDEX(Remaining_Time[[#This Row],[1]:[12]]&lt;&gt;0,),0),Upgrades[#Headers],0),FALSE),"")</f>
        <v/>
      </c>
      <c r="F97" s="54">
        <f ca="1">IF(VALUE(Remaining_Time[#Headers])&lt;='Construction Dashboard'!$F47,IFERROR(VLOOKUP(Remaining_Time[[#This Row],[Time]],Upgrades[],MATCH("T"&amp;Remaining_Time[#Headers],Upgrades[#Headers],0),FALSE),0)*MAX(0,SUM('Construction Dashboard'!$G47:G47)),0)</f>
        <v>0</v>
      </c>
      <c r="G97" s="54">
        <f ca="1">IF(VALUE(Remaining_Time[#Headers])&lt;='Construction Dashboard'!$F47,IFERROR(VLOOKUP(Remaining_Time[[#This Row],[Time]],Upgrades[],MATCH("T"&amp;Remaining_Time[#Headers],Upgrades[#Headers],0),FALSE),0)*MAX(0,SUM('Construction Dashboard'!$G47:H47)),0)</f>
        <v>0</v>
      </c>
      <c r="H97" s="54">
        <f ca="1">IF(VALUE(Remaining_Time[#Headers])&lt;='Construction Dashboard'!$F47,IFERROR(VLOOKUP(Remaining_Time[[#This Row],[Time]],Upgrades[],MATCH("T"&amp;Remaining_Time[#Headers],Upgrades[#Headers],0),FALSE),0)*MAX(0,SUM('Construction Dashboard'!$G47:I47)),0)</f>
        <v>0</v>
      </c>
      <c r="I97" s="54">
        <f ca="1">IF(VALUE(Remaining_Time[#Headers])&lt;='Construction Dashboard'!$F47,IFERROR(VLOOKUP(Remaining_Time[[#This Row],[Time]],Upgrades[],MATCH("T"&amp;Remaining_Time[#Headers],Upgrades[#Headers],0),FALSE),0)*MAX(0,SUM('Construction Dashboard'!$G47:J47)),0)</f>
        <v>0</v>
      </c>
      <c r="J97" s="54">
        <f ca="1">IF(VALUE(Remaining_Time[#Headers])&lt;='Construction Dashboard'!$F47,IFERROR(VLOOKUP(Remaining_Time[[#This Row],[Time]],Upgrades[],MATCH("T"&amp;Remaining_Time[#Headers],Upgrades[#Headers],0),FALSE),0)*MAX(0,SUM('Construction Dashboard'!$G47:K47)),0)</f>
        <v>0</v>
      </c>
      <c r="K97" s="54">
        <f ca="1">IF(VALUE(Remaining_Time[#Headers])&lt;='Construction Dashboard'!$F47,IFERROR(VLOOKUP(Remaining_Time[[#This Row],[Time]],Upgrades[],MATCH("T"&amp;Remaining_Time[#Headers],Upgrades[#Headers],0),FALSE),0)*MAX(0,SUM('Construction Dashboard'!$G47:L47)),0)</f>
        <v>0</v>
      </c>
      <c r="L97" s="54">
        <f ca="1">IF(VALUE(Remaining_Time[#Headers])&lt;='Construction Dashboard'!$F47,IFERROR(VLOOKUP(Remaining_Time[[#This Row],[Time]],Upgrades[],MATCH("T"&amp;Remaining_Time[#Headers],Upgrades[#Headers],0),FALSE),0)*MAX(0,SUM('Construction Dashboard'!$G47:M47)),0)</f>
        <v>0</v>
      </c>
      <c r="M97" s="54">
        <f ca="1">IF(VALUE(Remaining_Time[#Headers])&lt;='Construction Dashboard'!$F47,IFERROR(VLOOKUP(Remaining_Time[[#This Row],[Time]],Upgrades[],MATCH("T"&amp;Remaining_Time[#Headers],Upgrades[#Headers],0),FALSE),0)*MAX(0,SUM('Construction Dashboard'!$G47:N47)),0)</f>
        <v>0</v>
      </c>
      <c r="N97" s="54">
        <f ca="1">IF(VALUE(Remaining_Time[#Headers])&lt;='Construction Dashboard'!$F47,IFERROR(VLOOKUP(Remaining_Time[[#This Row],[Time]],Upgrades[],MATCH("T"&amp;Remaining_Time[#Headers],Upgrades[#Headers],0),FALSE),0)*MAX(0,SUM('Construction Dashboard'!$G47:O47)),0)</f>
        <v>0</v>
      </c>
      <c r="O97" s="54">
        <f ca="1">IF(VALUE(Remaining_Time[#Headers])&lt;='Construction Dashboard'!$F47,IFERROR(VLOOKUP(Remaining_Time[[#This Row],[Time]],Upgrades[],MATCH("T"&amp;Remaining_Time[#Headers],Upgrades[#Headers],0),FALSE),0)*MAX(0,SUM('Construction Dashboard'!$G47:P47)),0)</f>
        <v>0</v>
      </c>
      <c r="P97" s="54">
        <f ca="1">IF(VALUE(Remaining_Time[#Headers])&lt;='Construction Dashboard'!$F47,IFERROR(VLOOKUP(Remaining_Time[[#This Row],[Time]],Upgrades[],MATCH("T"&amp;Remaining_Time[#Headers],Upgrades[#Headers],0),FALSE),0)*MAX(0,SUM('Construction Dashboard'!$G47:Q47)),0)</f>
        <v>0</v>
      </c>
      <c r="Q97" s="54">
        <f ca="1">IF(VALUE(Remaining_Time[#Headers])&lt;='Construction Dashboard'!$F47,IFERROR(VLOOKUP(Remaining_Time[[#This Row],[Time]],Upgrades[],MATCH("T"&amp;Remaining_Time[#Headers],Upgrades[#Headers],0),FALSE),0)*MAX(0,SUM('Construction Dashboard'!$G47:R47)),0)</f>
        <v>0</v>
      </c>
      <c r="R97" s="54">
        <f ca="1">IF(Remaining_Time[[#This Row],[MatchStr]]="IGNORE",0,SUM(Remaining_Time[[#This Row],[1]:[12]]))</f>
        <v>0</v>
      </c>
    </row>
    <row r="98" spans="1:18">
      <c r="A98" s="11" t="s">
        <v>11</v>
      </c>
      <c r="B98" s="11" t="str">
        <f>VLOOKUP(Remaining_Time[[#This Row],[Time]],Upgrades[],MATCH("Kind",Upgrades[#Headers],0),FALSE)</f>
        <v>Building</v>
      </c>
      <c r="C98" s="11" t="str">
        <f>VLOOKUP(Remaining_Time[[#This Row],[Time]],Upgrades[],MATCH("Resource",Upgrades[#Headers],0),FALSE)</f>
        <v>Gold</v>
      </c>
      <c r="D98" s="115" t="str">
        <f>IF(COUNTIF(Skips,Remaining_Time[[#This Row],[Time]])&gt;0,"IGNORE",Remaining_Time[Kind]&amp;"-"&amp;Remaining_Time[Resource])</f>
        <v>Building-Gold</v>
      </c>
      <c r="E98" s="47" t="str">
        <f ca="1">IFERROR(VLOOKUP(Remaining_Time[[#This Row],[Time]],Upgrades[],MATCH("T"&amp;MATCH(TRUE,INDEX(Remaining_Time[[#This Row],[1]:[12]]&lt;&gt;0,),0),Upgrades[#Headers],0),FALSE),"")</f>
        <v/>
      </c>
      <c r="F98" s="54">
        <f ca="1">IF(VALUE(Remaining_Time[#Headers])&lt;='Construction Dashboard'!$F48,IFERROR(VLOOKUP(Remaining_Time[[#This Row],[Time]],Upgrades[],MATCH("T"&amp;Remaining_Time[#Headers],Upgrades[#Headers],0),FALSE),0)*MAX(0,SUM('Construction Dashboard'!$G48:G48)),0)</f>
        <v>0</v>
      </c>
      <c r="G98" s="54">
        <f ca="1">IF(VALUE(Remaining_Time[#Headers])&lt;='Construction Dashboard'!$F48,IFERROR(VLOOKUP(Remaining_Time[[#This Row],[Time]],Upgrades[],MATCH("T"&amp;Remaining_Time[#Headers],Upgrades[#Headers],0),FALSE),0)*MAX(0,SUM('Construction Dashboard'!$G48:H48)),0)</f>
        <v>0</v>
      </c>
      <c r="H98" s="54">
        <f ca="1">IF(VALUE(Remaining_Time[#Headers])&lt;='Construction Dashboard'!$F48,IFERROR(VLOOKUP(Remaining_Time[[#This Row],[Time]],Upgrades[],MATCH("T"&amp;Remaining_Time[#Headers],Upgrades[#Headers],0),FALSE),0)*MAX(0,SUM('Construction Dashboard'!$G48:I48)),0)</f>
        <v>0</v>
      </c>
      <c r="I98" s="54">
        <f ca="1">IF(VALUE(Remaining_Time[#Headers])&lt;='Construction Dashboard'!$F48,IFERROR(VLOOKUP(Remaining_Time[[#This Row],[Time]],Upgrades[],MATCH("T"&amp;Remaining_Time[#Headers],Upgrades[#Headers],0),FALSE),0)*MAX(0,SUM('Construction Dashboard'!$G48:J48)),0)</f>
        <v>0</v>
      </c>
      <c r="J98" s="54">
        <f ca="1">IF(VALUE(Remaining_Time[#Headers])&lt;='Construction Dashboard'!$F48,IFERROR(VLOOKUP(Remaining_Time[[#This Row],[Time]],Upgrades[],MATCH("T"&amp;Remaining_Time[#Headers],Upgrades[#Headers],0),FALSE),0)*MAX(0,SUM('Construction Dashboard'!$G48:K48)),0)</f>
        <v>0</v>
      </c>
      <c r="K98" s="54">
        <f ca="1">IF(VALUE(Remaining_Time[#Headers])&lt;='Construction Dashboard'!$F48,IFERROR(VLOOKUP(Remaining_Time[[#This Row],[Time]],Upgrades[],MATCH("T"&amp;Remaining_Time[#Headers],Upgrades[#Headers],0),FALSE),0)*MAX(0,SUM('Construction Dashboard'!$G48:L48)),0)</f>
        <v>0</v>
      </c>
      <c r="L98" s="54">
        <f ca="1">IF(VALUE(Remaining_Time[#Headers])&lt;='Construction Dashboard'!$F48,IFERROR(VLOOKUP(Remaining_Time[[#This Row],[Time]],Upgrades[],MATCH("T"&amp;Remaining_Time[#Headers],Upgrades[#Headers],0),FALSE),0)*MAX(0,SUM('Construction Dashboard'!$G48:M48)),0)</f>
        <v>0</v>
      </c>
      <c r="M98" s="54">
        <f ca="1">IF(VALUE(Remaining_Time[#Headers])&lt;='Construction Dashboard'!$F48,IFERROR(VLOOKUP(Remaining_Time[[#This Row],[Time]],Upgrades[],MATCH("T"&amp;Remaining_Time[#Headers],Upgrades[#Headers],0),FALSE),0)*MAX(0,SUM('Construction Dashboard'!$G48:N48)),0)</f>
        <v>0</v>
      </c>
      <c r="N98" s="54">
        <f ca="1">IF(VALUE(Remaining_Time[#Headers])&lt;='Construction Dashboard'!$F48,IFERROR(VLOOKUP(Remaining_Time[[#This Row],[Time]],Upgrades[],MATCH("T"&amp;Remaining_Time[#Headers],Upgrades[#Headers],0),FALSE),0)*MAX(0,SUM('Construction Dashboard'!$G48:O48)),0)</f>
        <v>0</v>
      </c>
      <c r="O98" s="54">
        <f ca="1">IF(VALUE(Remaining_Time[#Headers])&lt;='Construction Dashboard'!$F48,IFERROR(VLOOKUP(Remaining_Time[[#This Row],[Time]],Upgrades[],MATCH("T"&amp;Remaining_Time[#Headers],Upgrades[#Headers],0),FALSE),0)*MAX(0,SUM('Construction Dashboard'!$G48:P48)),0)</f>
        <v>0</v>
      </c>
      <c r="P98" s="54">
        <f ca="1">IF(VALUE(Remaining_Time[#Headers])&lt;='Construction Dashboard'!$F48,IFERROR(VLOOKUP(Remaining_Time[[#This Row],[Time]],Upgrades[],MATCH("T"&amp;Remaining_Time[#Headers],Upgrades[#Headers],0),FALSE),0)*MAX(0,SUM('Construction Dashboard'!$G48:Q48)),0)</f>
        <v>0</v>
      </c>
      <c r="Q98" s="54">
        <f ca="1">IF(VALUE(Remaining_Time[#Headers])&lt;='Construction Dashboard'!$F48,IFERROR(VLOOKUP(Remaining_Time[[#This Row],[Time]],Upgrades[],MATCH("T"&amp;Remaining_Time[#Headers],Upgrades[#Headers],0),FALSE),0)*MAX(0,SUM('Construction Dashboard'!$G48:R48)),0)</f>
        <v>0</v>
      </c>
      <c r="R98" s="54">
        <f ca="1">IF(Remaining_Time[[#This Row],[MatchStr]]="IGNORE",0,SUM(Remaining_Time[[#This Row],[1]:[12]]))</f>
        <v>0</v>
      </c>
    </row>
    <row r="99" spans="1:18">
      <c r="A99" s="11" t="s">
        <v>12</v>
      </c>
      <c r="B99" s="11" t="str">
        <f>VLOOKUP(Remaining_Time[[#This Row],[Time]],Upgrades[],MATCH("Kind",Upgrades[#Headers],0),FALSE)</f>
        <v>Building</v>
      </c>
      <c r="C99" s="11" t="str">
        <f>VLOOKUP(Remaining_Time[[#This Row],[Time]],Upgrades[],MATCH("Resource",Upgrades[#Headers],0),FALSE)</f>
        <v>Gold</v>
      </c>
      <c r="D99" s="115" t="str">
        <f>IF(COUNTIF(Skips,Remaining_Time[[#This Row],[Time]])&gt;0,"IGNORE",Remaining_Time[Kind]&amp;"-"&amp;Remaining_Time[Resource])</f>
        <v>Building-Gold</v>
      </c>
      <c r="E99" s="47" t="str">
        <f ca="1">IFERROR(VLOOKUP(Remaining_Time[[#This Row],[Time]],Upgrades[],MATCH("T"&amp;MATCH(TRUE,INDEX(Remaining_Time[[#This Row],[1]:[12]]&lt;&gt;0,),0),Upgrades[#Headers],0),FALSE),"")</f>
        <v/>
      </c>
      <c r="F99" s="54">
        <f ca="1">IF(VALUE(Remaining_Time[#Headers])&lt;='Construction Dashboard'!$F49,IFERROR(VLOOKUP(Remaining_Time[[#This Row],[Time]],Upgrades[],MATCH("T"&amp;Remaining_Time[#Headers],Upgrades[#Headers],0),FALSE),0)*MAX(0,SUM('Construction Dashboard'!$G49:G49)),0)</f>
        <v>0</v>
      </c>
      <c r="G99" s="54">
        <f ca="1">IF(VALUE(Remaining_Time[#Headers])&lt;='Construction Dashboard'!$F49,IFERROR(VLOOKUP(Remaining_Time[[#This Row],[Time]],Upgrades[],MATCH("T"&amp;Remaining_Time[#Headers],Upgrades[#Headers],0),FALSE),0)*MAX(0,SUM('Construction Dashboard'!$G49:H49)),0)</f>
        <v>0</v>
      </c>
      <c r="H99" s="54">
        <f ca="1">IF(VALUE(Remaining_Time[#Headers])&lt;='Construction Dashboard'!$F49,IFERROR(VLOOKUP(Remaining_Time[[#This Row],[Time]],Upgrades[],MATCH("T"&amp;Remaining_Time[#Headers],Upgrades[#Headers],0),FALSE),0)*MAX(0,SUM('Construction Dashboard'!$G49:I49)),0)</f>
        <v>0</v>
      </c>
      <c r="I99" s="54">
        <f ca="1">IF(VALUE(Remaining_Time[#Headers])&lt;='Construction Dashboard'!$F49,IFERROR(VLOOKUP(Remaining_Time[[#This Row],[Time]],Upgrades[],MATCH("T"&amp;Remaining_Time[#Headers],Upgrades[#Headers],0),FALSE),0)*MAX(0,SUM('Construction Dashboard'!$G49:J49)),0)</f>
        <v>0</v>
      </c>
      <c r="J99" s="54">
        <f ca="1">IF(VALUE(Remaining_Time[#Headers])&lt;='Construction Dashboard'!$F49,IFERROR(VLOOKUP(Remaining_Time[[#This Row],[Time]],Upgrades[],MATCH("T"&amp;Remaining_Time[#Headers],Upgrades[#Headers],0),FALSE),0)*MAX(0,SUM('Construction Dashboard'!$G49:K49)),0)</f>
        <v>0</v>
      </c>
      <c r="K99" s="54">
        <f ca="1">IF(VALUE(Remaining_Time[#Headers])&lt;='Construction Dashboard'!$F49,IFERROR(VLOOKUP(Remaining_Time[[#This Row],[Time]],Upgrades[],MATCH("T"&amp;Remaining_Time[#Headers],Upgrades[#Headers],0),FALSE),0)*MAX(0,SUM('Construction Dashboard'!$G49:L49)),0)</f>
        <v>0</v>
      </c>
      <c r="L99" s="54">
        <f ca="1">IF(VALUE(Remaining_Time[#Headers])&lt;='Construction Dashboard'!$F49,IFERROR(VLOOKUP(Remaining_Time[[#This Row],[Time]],Upgrades[],MATCH("T"&amp;Remaining_Time[#Headers],Upgrades[#Headers],0),FALSE),0)*MAX(0,SUM('Construction Dashboard'!$G49:M49)),0)</f>
        <v>0</v>
      </c>
      <c r="M99" s="54">
        <f ca="1">IF(VALUE(Remaining_Time[#Headers])&lt;='Construction Dashboard'!$F49,IFERROR(VLOOKUP(Remaining_Time[[#This Row],[Time]],Upgrades[],MATCH("T"&amp;Remaining_Time[#Headers],Upgrades[#Headers],0),FALSE),0)*MAX(0,SUM('Construction Dashboard'!$G49:N49)),0)</f>
        <v>0</v>
      </c>
      <c r="N99" s="54">
        <f ca="1">IF(VALUE(Remaining_Time[#Headers])&lt;='Construction Dashboard'!$F49,IFERROR(VLOOKUP(Remaining_Time[[#This Row],[Time]],Upgrades[],MATCH("T"&amp;Remaining_Time[#Headers],Upgrades[#Headers],0),FALSE),0)*MAX(0,SUM('Construction Dashboard'!$G49:O49)),0)</f>
        <v>0</v>
      </c>
      <c r="O99" s="54">
        <f ca="1">IF(VALUE(Remaining_Time[#Headers])&lt;='Construction Dashboard'!$F49,IFERROR(VLOOKUP(Remaining_Time[[#This Row],[Time]],Upgrades[],MATCH("T"&amp;Remaining_Time[#Headers],Upgrades[#Headers],0),FALSE),0)*MAX(0,SUM('Construction Dashboard'!$G49:P49)),0)</f>
        <v>0</v>
      </c>
      <c r="P99" s="54">
        <f ca="1">IF(VALUE(Remaining_Time[#Headers])&lt;='Construction Dashboard'!$F49,IFERROR(VLOOKUP(Remaining_Time[[#This Row],[Time]],Upgrades[],MATCH("T"&amp;Remaining_Time[#Headers],Upgrades[#Headers],0),FALSE),0)*MAX(0,SUM('Construction Dashboard'!$G49:Q49)),0)</f>
        <v>0</v>
      </c>
      <c r="Q99" s="54">
        <f ca="1">IF(VALUE(Remaining_Time[#Headers])&lt;='Construction Dashboard'!$F49,IFERROR(VLOOKUP(Remaining_Time[[#This Row],[Time]],Upgrades[],MATCH("T"&amp;Remaining_Time[#Headers],Upgrades[#Headers],0),FALSE),0)*MAX(0,SUM('Construction Dashboard'!$G49:R49)),0)</f>
        <v>0</v>
      </c>
      <c r="R99" s="54">
        <f ca="1">IF(Remaining_Time[[#This Row],[MatchStr]]="IGNORE",0,SUM(Remaining_Time[[#This Row],[1]:[12]]))</f>
        <v>0</v>
      </c>
    </row>
    <row r="100" spans="1:18">
      <c r="A100" s="11" t="s">
        <v>28</v>
      </c>
      <c r="B100" s="11" t="str">
        <f>VLOOKUP(Remaining_Time[[#This Row],[Time]],Upgrades[],MATCH("Kind",Upgrades[#Headers],0),FALSE)</f>
        <v>Building</v>
      </c>
      <c r="C100" s="11" t="str">
        <f>VLOOKUP(Remaining_Time[[#This Row],[Time]],Upgrades[],MATCH("Resource",Upgrades[#Headers],0),FALSE)</f>
        <v>Gold</v>
      </c>
      <c r="D100" s="115" t="str">
        <f>IF(COUNTIF(Skips,Remaining_Time[[#This Row],[Time]])&gt;0,"IGNORE",Remaining_Time[Kind]&amp;"-"&amp;Remaining_Time[Resource])</f>
        <v>Building-Gold</v>
      </c>
      <c r="E100" s="47" t="str">
        <f ca="1">IFERROR(VLOOKUP(Remaining_Time[[#This Row],[Time]],Upgrades[],MATCH("T"&amp;MATCH(TRUE,INDEX(Remaining_Time[[#This Row],[1]:[12]]&lt;&gt;0,),0),Upgrades[#Headers],0),FALSE),"")</f>
        <v/>
      </c>
      <c r="F100" s="54">
        <f ca="1">IF(VALUE(Remaining_Time[#Headers])&lt;='Construction Dashboard'!$F50,IFERROR(VLOOKUP(Remaining_Time[[#This Row],[Time]],Upgrades[],MATCH("T"&amp;Remaining_Time[#Headers],Upgrades[#Headers],0),FALSE),0)*MAX(0,SUM('Construction Dashboard'!$G50:G50)),0)</f>
        <v>0</v>
      </c>
      <c r="G100" s="54">
        <f ca="1">IF(VALUE(Remaining_Time[#Headers])&lt;='Construction Dashboard'!$F50,IFERROR(VLOOKUP(Remaining_Time[[#This Row],[Time]],Upgrades[],MATCH("T"&amp;Remaining_Time[#Headers],Upgrades[#Headers],0),FALSE),0)*MAX(0,SUM('Construction Dashboard'!$G50:H50)),0)</f>
        <v>0</v>
      </c>
      <c r="H100" s="54">
        <f ca="1">IF(VALUE(Remaining_Time[#Headers])&lt;='Construction Dashboard'!$F50,IFERROR(VLOOKUP(Remaining_Time[[#This Row],[Time]],Upgrades[],MATCH("T"&amp;Remaining_Time[#Headers],Upgrades[#Headers],0),FALSE),0)*MAX(0,SUM('Construction Dashboard'!$G50:I50)),0)</f>
        <v>0</v>
      </c>
      <c r="I100" s="54">
        <f ca="1">IF(VALUE(Remaining_Time[#Headers])&lt;='Construction Dashboard'!$F50,IFERROR(VLOOKUP(Remaining_Time[[#This Row],[Time]],Upgrades[],MATCH("T"&amp;Remaining_Time[#Headers],Upgrades[#Headers],0),FALSE),0)*MAX(0,SUM('Construction Dashboard'!$G50:J50)),0)</f>
        <v>0</v>
      </c>
      <c r="J100" s="54">
        <f ca="1">IF(VALUE(Remaining_Time[#Headers])&lt;='Construction Dashboard'!$F50,IFERROR(VLOOKUP(Remaining_Time[[#This Row],[Time]],Upgrades[],MATCH("T"&amp;Remaining_Time[#Headers],Upgrades[#Headers],0),FALSE),0)*MAX(0,SUM('Construction Dashboard'!$G50:K50)),0)</f>
        <v>0</v>
      </c>
      <c r="K100" s="54">
        <f ca="1">IF(VALUE(Remaining_Time[#Headers])&lt;='Construction Dashboard'!$F50,IFERROR(VLOOKUP(Remaining_Time[[#This Row],[Time]],Upgrades[],MATCH("T"&amp;Remaining_Time[#Headers],Upgrades[#Headers],0),FALSE),0)*MAX(0,SUM('Construction Dashboard'!$G50:L50)),0)</f>
        <v>0</v>
      </c>
      <c r="L100" s="54">
        <f ca="1">IF(VALUE(Remaining_Time[#Headers])&lt;='Construction Dashboard'!$F50,IFERROR(VLOOKUP(Remaining_Time[[#This Row],[Time]],Upgrades[],MATCH("T"&amp;Remaining_Time[#Headers],Upgrades[#Headers],0),FALSE),0)*MAX(0,SUM('Construction Dashboard'!$G50:M50)),0)</f>
        <v>0</v>
      </c>
      <c r="M100" s="54">
        <f ca="1">IF(VALUE(Remaining_Time[#Headers])&lt;='Construction Dashboard'!$F50,IFERROR(VLOOKUP(Remaining_Time[[#This Row],[Time]],Upgrades[],MATCH("T"&amp;Remaining_Time[#Headers],Upgrades[#Headers],0),FALSE),0)*MAX(0,SUM('Construction Dashboard'!$G50:N50)),0)</f>
        <v>0</v>
      </c>
      <c r="N100" s="54">
        <f ca="1">IF(VALUE(Remaining_Time[#Headers])&lt;='Construction Dashboard'!$F50,IFERROR(VLOOKUP(Remaining_Time[[#This Row],[Time]],Upgrades[],MATCH("T"&amp;Remaining_Time[#Headers],Upgrades[#Headers],0),FALSE),0)*MAX(0,SUM('Construction Dashboard'!$G50:O50)),0)</f>
        <v>0</v>
      </c>
      <c r="O100" s="54">
        <f ca="1">IF(VALUE(Remaining_Time[#Headers])&lt;='Construction Dashboard'!$F50,IFERROR(VLOOKUP(Remaining_Time[[#This Row],[Time]],Upgrades[],MATCH("T"&amp;Remaining_Time[#Headers],Upgrades[#Headers],0),FALSE),0)*MAX(0,SUM('Construction Dashboard'!$G50:P50)),0)</f>
        <v>0</v>
      </c>
      <c r="P100" s="54">
        <f ca="1">IF(VALUE(Remaining_Time[#Headers])&lt;='Construction Dashboard'!$F50,IFERROR(VLOOKUP(Remaining_Time[[#This Row],[Time]],Upgrades[],MATCH("T"&amp;Remaining_Time[#Headers],Upgrades[#Headers],0),FALSE),0)*MAX(0,SUM('Construction Dashboard'!$G50:Q50)),0)</f>
        <v>0</v>
      </c>
      <c r="Q100" s="54">
        <f ca="1">IF(VALUE(Remaining_Time[#Headers])&lt;='Construction Dashboard'!$F50,IFERROR(VLOOKUP(Remaining_Time[[#This Row],[Time]],Upgrades[],MATCH("T"&amp;Remaining_Time[#Headers],Upgrades[#Headers],0),FALSE),0)*MAX(0,SUM('Construction Dashboard'!$G50:R50)),0)</f>
        <v>0</v>
      </c>
      <c r="R100" s="54">
        <f ca="1">IF(Remaining_Time[[#This Row],[MatchStr]]="IGNORE",0,SUM(Remaining_Time[[#This Row],[1]:[12]]))</f>
        <v>0</v>
      </c>
    </row>
    <row r="101" spans="1:18">
      <c r="A101" s="11" t="s">
        <v>105</v>
      </c>
      <c r="B101" s="49" t="str">
        <f>VLOOKUP(Remaining_Time[[#This Row],[Time]],Upgrades[],MATCH("Kind",Upgrades[#Headers],0),FALSE)</f>
        <v>Building</v>
      </c>
      <c r="C101" s="49" t="str">
        <f>VLOOKUP(Remaining_Time[[#This Row],[Time]],Upgrades[],MATCH("Resource",Upgrades[#Headers],0),FALSE)</f>
        <v>Dark Elixir</v>
      </c>
      <c r="D101" s="116" t="str">
        <f>IF(COUNTIF(Skips,Remaining_Time[[#This Row],[Time]])&gt;0,"IGNORE",Remaining_Time[Kind]&amp;"-"&amp;Remaining_Time[Resource])</f>
        <v>Building-Dark Elixir</v>
      </c>
      <c r="E101" s="47" t="str">
        <f ca="1">IFERROR(VLOOKUP(Remaining_Time[[#This Row],[Time]],Upgrades[],MATCH("T"&amp;MATCH(TRUE,INDEX(Remaining_Time[[#This Row],[1]:[12]]&lt;&gt;0,),0),Upgrades[#Headers],0),FALSE),"")</f>
        <v/>
      </c>
      <c r="F101" s="54">
        <f ca="1">IF(VALUE(Remaining_Time[#Headers])&lt;='Construction Dashboard'!$F51,IFERROR(VLOOKUP(Remaining_Time[[#This Row],[Time]],Upgrades[],MATCH("T"&amp;Remaining_Time[#Headers],Upgrades[#Headers],0),FALSE),0)*MAX(0,SUM('Construction Dashboard'!$G51:G51)),0)</f>
        <v>0</v>
      </c>
      <c r="G101" s="54">
        <f ca="1">IF(VALUE(Remaining_Time[#Headers])&lt;='Construction Dashboard'!$F51,IFERROR(VLOOKUP(Remaining_Time[[#This Row],[Time]],Upgrades[],MATCH("T"&amp;Remaining_Time[#Headers],Upgrades[#Headers],0),FALSE),0)*MAX(0,SUM('Construction Dashboard'!$G51:H51)),0)</f>
        <v>0</v>
      </c>
      <c r="H101" s="54">
        <f ca="1">IF(VALUE(Remaining_Time[#Headers])&lt;='Construction Dashboard'!$F51,IFERROR(VLOOKUP(Remaining_Time[[#This Row],[Time]],Upgrades[],MATCH("T"&amp;Remaining_Time[#Headers],Upgrades[#Headers],0),FALSE),0)*MAX(0,SUM('Construction Dashboard'!$G51:I51)),0)</f>
        <v>0</v>
      </c>
      <c r="I101" s="54">
        <f ca="1">IF(VALUE(Remaining_Time[#Headers])&lt;='Construction Dashboard'!$F51,IFERROR(VLOOKUP(Remaining_Time[[#This Row],[Time]],Upgrades[],MATCH("T"&amp;Remaining_Time[#Headers],Upgrades[#Headers],0),FALSE),0)*MAX(0,SUM('Construction Dashboard'!$G51:J51)),0)</f>
        <v>0</v>
      </c>
      <c r="J101" s="54">
        <f ca="1">IF(VALUE(Remaining_Time[#Headers])&lt;='Construction Dashboard'!$F51,IFERROR(VLOOKUP(Remaining_Time[[#This Row],[Time]],Upgrades[],MATCH("T"&amp;Remaining_Time[#Headers],Upgrades[#Headers],0),FALSE),0)*MAX(0,SUM('Construction Dashboard'!$G51:K51)),0)</f>
        <v>0</v>
      </c>
      <c r="K101" s="54">
        <f ca="1">IF(VALUE(Remaining_Time[#Headers])&lt;='Construction Dashboard'!$F51,IFERROR(VLOOKUP(Remaining_Time[[#This Row],[Time]],Upgrades[],MATCH("T"&amp;Remaining_Time[#Headers],Upgrades[#Headers],0),FALSE),0)*MAX(0,SUM('Construction Dashboard'!$G51:L51)),0)</f>
        <v>0</v>
      </c>
      <c r="L101" s="54">
        <f ca="1">IF(VALUE(Remaining_Time[#Headers])&lt;='Construction Dashboard'!$F51,IFERROR(VLOOKUP(Remaining_Time[[#This Row],[Time]],Upgrades[],MATCH("T"&amp;Remaining_Time[#Headers],Upgrades[#Headers],0),FALSE),0)*MAX(0,SUM('Construction Dashboard'!$G51:M51)),0)</f>
        <v>0</v>
      </c>
      <c r="M101" s="54">
        <f ca="1">IF(VALUE(Remaining_Time[#Headers])&lt;='Construction Dashboard'!$F51,IFERROR(VLOOKUP(Remaining_Time[[#This Row],[Time]],Upgrades[],MATCH("T"&amp;Remaining_Time[#Headers],Upgrades[#Headers],0),FALSE),0)*MAX(0,SUM('Construction Dashboard'!$G51:N51)),0)</f>
        <v>0</v>
      </c>
      <c r="N101" s="54">
        <f ca="1">IF(VALUE(Remaining_Time[#Headers])&lt;='Construction Dashboard'!$F51,IFERROR(VLOOKUP(Remaining_Time[[#This Row],[Time]],Upgrades[],MATCH("T"&amp;Remaining_Time[#Headers],Upgrades[#Headers],0),FALSE),0)*MAX(0,SUM('Construction Dashboard'!$G51:O51)),0)</f>
        <v>0</v>
      </c>
      <c r="O101" s="54">
        <f ca="1">IF(VALUE(Remaining_Time[#Headers])&lt;='Construction Dashboard'!$F51,IFERROR(VLOOKUP(Remaining_Time[[#This Row],[Time]],Upgrades[],MATCH("T"&amp;Remaining_Time[#Headers],Upgrades[#Headers],0),FALSE),0)*MAX(0,SUM('Construction Dashboard'!$G51:P51)),0)</f>
        <v>0</v>
      </c>
      <c r="P101" s="54">
        <f ca="1">IF(VALUE(Remaining_Time[#Headers])&lt;='Construction Dashboard'!$F51,IFERROR(VLOOKUP(Remaining_Time[[#This Row],[Time]],Upgrades[],MATCH("T"&amp;Remaining_Time[#Headers],Upgrades[#Headers],0),FALSE),0)*MAX(0,SUM('Construction Dashboard'!$G51:Q51)),0)</f>
        <v>0</v>
      </c>
      <c r="Q101" s="54">
        <f ca="1">IF(VALUE(Remaining_Time[#Headers])&lt;='Construction Dashboard'!$F51,IFERROR(VLOOKUP(Remaining_Time[[#This Row],[Time]],Upgrades[],MATCH("T"&amp;Remaining_Time[#Headers],Upgrades[#Headers],0),FALSE),0)*MAX(0,SUM('Construction Dashboard'!$G51:R51)),0)</f>
        <v>0</v>
      </c>
      <c r="R101" s="54">
        <f ca="1">IF(Remaining_Time[[#This Row],[MatchStr]]="IGNORE",0,SUM(Remaining_Time[[#This Row],[1]:[12]]))</f>
        <v>0</v>
      </c>
    </row>
    <row r="102" spans="1:18">
      <c r="A102" s="11" t="s">
        <v>106</v>
      </c>
      <c r="B102" s="49" t="str">
        <f>VLOOKUP(Remaining_Time[[#This Row],[Time]],Upgrades[],MATCH("Kind",Upgrades[#Headers],0),FALSE)</f>
        <v>Building</v>
      </c>
      <c r="C102" s="49" t="str">
        <f>VLOOKUP(Remaining_Time[[#This Row],[Time]],Upgrades[],MATCH("Resource",Upgrades[#Headers],0),FALSE)</f>
        <v>Dark Elixir</v>
      </c>
      <c r="D102" s="116" t="str">
        <f>IF(COUNTIF(Skips,Remaining_Time[[#This Row],[Time]])&gt;0,"IGNORE",Remaining_Time[Kind]&amp;"-"&amp;Remaining_Time[Resource])</f>
        <v>Building-Dark Elixir</v>
      </c>
      <c r="E102" s="47" t="str">
        <f ca="1">IFERROR(VLOOKUP(Remaining_Time[[#This Row],[Time]],Upgrades[],MATCH("T"&amp;MATCH(TRUE,INDEX(Remaining_Time[[#This Row],[1]:[12]]&lt;&gt;0,),0),Upgrades[#Headers],0),FALSE),"")</f>
        <v/>
      </c>
      <c r="F102" s="54">
        <f ca="1">IF(VALUE(Remaining_Time[#Headers])&lt;='Construction Dashboard'!$F52,IFERROR(VLOOKUP(Remaining_Time[[#This Row],[Time]],Upgrades[],MATCH("T"&amp;Remaining_Time[#Headers],Upgrades[#Headers],0),FALSE),0)*MAX(0,SUM('Construction Dashboard'!$G52:G52)),0)</f>
        <v>0</v>
      </c>
      <c r="G102" s="54">
        <f ca="1">IF(VALUE(Remaining_Time[#Headers])&lt;='Construction Dashboard'!$F52,IFERROR(VLOOKUP(Remaining_Time[[#This Row],[Time]],Upgrades[],MATCH("T"&amp;Remaining_Time[#Headers],Upgrades[#Headers],0),FALSE),0)*MAX(0,SUM('Construction Dashboard'!$G52:H52)),0)</f>
        <v>0</v>
      </c>
      <c r="H102" s="54">
        <f ca="1">IF(VALUE(Remaining_Time[#Headers])&lt;='Construction Dashboard'!$F52,IFERROR(VLOOKUP(Remaining_Time[[#This Row],[Time]],Upgrades[],MATCH("T"&amp;Remaining_Time[#Headers],Upgrades[#Headers],0),FALSE),0)*MAX(0,SUM('Construction Dashboard'!$G52:I52)),0)</f>
        <v>0</v>
      </c>
      <c r="I102" s="54">
        <f ca="1">IF(VALUE(Remaining_Time[#Headers])&lt;='Construction Dashboard'!$F52,IFERROR(VLOOKUP(Remaining_Time[[#This Row],[Time]],Upgrades[],MATCH("T"&amp;Remaining_Time[#Headers],Upgrades[#Headers],0),FALSE),0)*MAX(0,SUM('Construction Dashboard'!$G52:J52)),0)</f>
        <v>0</v>
      </c>
      <c r="J102" s="54">
        <f ca="1">IF(VALUE(Remaining_Time[#Headers])&lt;='Construction Dashboard'!$F52,IFERROR(VLOOKUP(Remaining_Time[[#This Row],[Time]],Upgrades[],MATCH("T"&amp;Remaining_Time[#Headers],Upgrades[#Headers],0),FALSE),0)*MAX(0,SUM('Construction Dashboard'!$G52:K52)),0)</f>
        <v>0</v>
      </c>
      <c r="K102" s="54">
        <f ca="1">IF(VALUE(Remaining_Time[#Headers])&lt;='Construction Dashboard'!$F52,IFERROR(VLOOKUP(Remaining_Time[[#This Row],[Time]],Upgrades[],MATCH("T"&amp;Remaining_Time[#Headers],Upgrades[#Headers],0),FALSE),0)*MAX(0,SUM('Construction Dashboard'!$G52:L52)),0)</f>
        <v>0</v>
      </c>
      <c r="L102" s="54">
        <f ca="1">IF(VALUE(Remaining_Time[#Headers])&lt;='Construction Dashboard'!$F52,IFERROR(VLOOKUP(Remaining_Time[[#This Row],[Time]],Upgrades[],MATCH("T"&amp;Remaining_Time[#Headers],Upgrades[#Headers],0),FALSE),0)*MAX(0,SUM('Construction Dashboard'!$G52:M52)),0)</f>
        <v>0</v>
      </c>
      <c r="M102" s="54">
        <f ca="1">IF(VALUE(Remaining_Time[#Headers])&lt;='Construction Dashboard'!$F52,IFERROR(VLOOKUP(Remaining_Time[[#This Row],[Time]],Upgrades[],MATCH("T"&amp;Remaining_Time[#Headers],Upgrades[#Headers],0),FALSE),0)*MAX(0,SUM('Construction Dashboard'!$G52:N52)),0)</f>
        <v>0</v>
      </c>
      <c r="N102" s="54">
        <f ca="1">IF(VALUE(Remaining_Time[#Headers])&lt;='Construction Dashboard'!$F52,IFERROR(VLOOKUP(Remaining_Time[[#This Row],[Time]],Upgrades[],MATCH("T"&amp;Remaining_Time[#Headers],Upgrades[#Headers],0),FALSE),0)*MAX(0,SUM('Construction Dashboard'!$G52:O52)),0)</f>
        <v>0</v>
      </c>
      <c r="O102" s="54">
        <f ca="1">IF(VALUE(Remaining_Time[#Headers])&lt;='Construction Dashboard'!$F52,IFERROR(VLOOKUP(Remaining_Time[[#This Row],[Time]],Upgrades[],MATCH("T"&amp;Remaining_Time[#Headers],Upgrades[#Headers],0),FALSE),0)*MAX(0,SUM('Construction Dashboard'!$G52:P52)),0)</f>
        <v>0</v>
      </c>
      <c r="P102" s="54">
        <f ca="1">IF(VALUE(Remaining_Time[#Headers])&lt;='Construction Dashboard'!$F52,IFERROR(VLOOKUP(Remaining_Time[[#This Row],[Time]],Upgrades[],MATCH("T"&amp;Remaining_Time[#Headers],Upgrades[#Headers],0),FALSE),0)*MAX(0,SUM('Construction Dashboard'!$G52:Q52)),0)</f>
        <v>0</v>
      </c>
      <c r="Q102" s="54">
        <f ca="1">IF(VALUE(Remaining_Time[#Headers])&lt;='Construction Dashboard'!$F52,IFERROR(VLOOKUP(Remaining_Time[[#This Row],[Time]],Upgrades[],MATCH("T"&amp;Remaining_Time[#Headers],Upgrades[#Headers],0),FALSE),0)*MAX(0,SUM('Construction Dashboard'!$G52:R52)),0)</f>
        <v>0</v>
      </c>
      <c r="R102" s="54">
        <f ca="1">IF(Remaining_Time[[#This Row],[MatchStr]]="IGNORE",0,SUM(Remaining_Time[[#This Row],[1]:[12]]))</f>
        <v>0</v>
      </c>
    </row>
    <row r="103" spans="1:18">
      <c r="A103" s="11" t="s">
        <v>82</v>
      </c>
      <c r="B103" s="49" t="str">
        <f>VLOOKUP(Remaining_Time[[#This Row],[Time]],Upgrades[],MATCH("Kind",Upgrades[#Headers],0),FALSE)</f>
        <v>Upgrade</v>
      </c>
      <c r="C103" s="49" t="str">
        <f>VLOOKUP(Remaining_Time[[#This Row],[Time]],Upgrades[],MATCH("Resource",Upgrades[#Headers],0),FALSE)</f>
        <v>Elixir</v>
      </c>
      <c r="D103" s="116" t="str">
        <f>IF(COUNTIF(Skips,Remaining_Time[[#This Row],[Time]])&gt;0,"IGNORE",Remaining_Time[Kind]&amp;"-"&amp;Remaining_Time[Resource])</f>
        <v>Upgrade-Elixir</v>
      </c>
      <c r="E103" s="47" t="str">
        <f ca="1">IFERROR(VLOOKUP(Remaining_Time[[#This Row],[Time]],Upgrades[],MATCH("T"&amp;MATCH(TRUE,INDEX(Remaining_Time[[#This Row],[1]:[12]]&lt;&gt;0,),0),Upgrades[#Headers],0),FALSE),"")</f>
        <v/>
      </c>
      <c r="F103" s="54">
        <f ca="1">IF(VALUE(Remaining_Time[#Headers])&lt;='Construction Dashboard'!$F53,IFERROR(VLOOKUP(Remaining_Time[[#This Row],[Time]],Upgrades[],MATCH("T"&amp;Remaining_Time[#Headers],Upgrades[#Headers],0),FALSE),0)*MAX(0,SUM('Construction Dashboard'!$G53:G53)),0)</f>
        <v>0</v>
      </c>
      <c r="G103" s="54">
        <f ca="1">IF(VALUE(Remaining_Time[#Headers])&lt;='Construction Dashboard'!$F53,IFERROR(VLOOKUP(Remaining_Time[[#This Row],[Time]],Upgrades[],MATCH("T"&amp;Remaining_Time[#Headers],Upgrades[#Headers],0),FALSE),0)*MAX(0,SUM('Construction Dashboard'!$G53:H53)),0)</f>
        <v>0</v>
      </c>
      <c r="H103" s="54">
        <f ca="1">IF(VALUE(Remaining_Time[#Headers])&lt;='Construction Dashboard'!$F53,IFERROR(VLOOKUP(Remaining_Time[[#This Row],[Time]],Upgrades[],MATCH("T"&amp;Remaining_Time[#Headers],Upgrades[#Headers],0),FALSE),0)*MAX(0,SUM('Construction Dashboard'!$G53:I53)),0)</f>
        <v>0</v>
      </c>
      <c r="I103" s="54">
        <f ca="1">IF(VALUE(Remaining_Time[#Headers])&lt;='Construction Dashboard'!$F53,IFERROR(VLOOKUP(Remaining_Time[[#This Row],[Time]],Upgrades[],MATCH("T"&amp;Remaining_Time[#Headers],Upgrades[#Headers],0),FALSE),0)*MAX(0,SUM('Construction Dashboard'!$G53:J53)),0)</f>
        <v>0</v>
      </c>
      <c r="J103" s="54">
        <f ca="1">IF(VALUE(Remaining_Time[#Headers])&lt;='Construction Dashboard'!$F53,IFERROR(VLOOKUP(Remaining_Time[[#This Row],[Time]],Upgrades[],MATCH("T"&amp;Remaining_Time[#Headers],Upgrades[#Headers],0),FALSE),0)*MAX(0,SUM('Construction Dashboard'!$G53:K53)),0)</f>
        <v>0</v>
      </c>
      <c r="K103" s="54">
        <f ca="1">IF(VALUE(Remaining_Time[#Headers])&lt;='Construction Dashboard'!$F53,IFERROR(VLOOKUP(Remaining_Time[[#This Row],[Time]],Upgrades[],MATCH("T"&amp;Remaining_Time[#Headers],Upgrades[#Headers],0),FALSE),0)*MAX(0,SUM('Construction Dashboard'!$G53:L53)),0)</f>
        <v>0</v>
      </c>
      <c r="L103" s="54">
        <f ca="1">IF(VALUE(Remaining_Time[#Headers])&lt;='Construction Dashboard'!$F53,IFERROR(VLOOKUP(Remaining_Time[[#This Row],[Time]],Upgrades[],MATCH("T"&amp;Remaining_Time[#Headers],Upgrades[#Headers],0),FALSE),0)*MAX(0,SUM('Construction Dashboard'!$G53:M53)),0)</f>
        <v>0</v>
      </c>
      <c r="M103" s="54">
        <f ca="1">IF(VALUE(Remaining_Time[#Headers])&lt;='Construction Dashboard'!$F53,IFERROR(VLOOKUP(Remaining_Time[[#This Row],[Time]],Upgrades[],MATCH("T"&amp;Remaining_Time[#Headers],Upgrades[#Headers],0),FALSE),0)*MAX(0,SUM('Construction Dashboard'!$G53:N53)),0)</f>
        <v>0</v>
      </c>
      <c r="N103" s="54">
        <f ca="1">IF(VALUE(Remaining_Time[#Headers])&lt;='Construction Dashboard'!$F53,IFERROR(VLOOKUP(Remaining_Time[[#This Row],[Time]],Upgrades[],MATCH("T"&amp;Remaining_Time[#Headers],Upgrades[#Headers],0),FALSE),0)*MAX(0,SUM('Construction Dashboard'!$G53:O53)),0)</f>
        <v>0</v>
      </c>
      <c r="O103" s="54">
        <f ca="1">IF(VALUE(Remaining_Time[#Headers])&lt;='Construction Dashboard'!$F53,IFERROR(VLOOKUP(Remaining_Time[[#This Row],[Time]],Upgrades[],MATCH("T"&amp;Remaining_Time[#Headers],Upgrades[#Headers],0),FALSE),0)*MAX(0,SUM('Construction Dashboard'!$G53:P53)),0)</f>
        <v>0</v>
      </c>
      <c r="P103" s="54">
        <f ca="1">IF(VALUE(Remaining_Time[#Headers])&lt;='Construction Dashboard'!$F53,IFERROR(VLOOKUP(Remaining_Time[[#This Row],[Time]],Upgrades[],MATCH("T"&amp;Remaining_Time[#Headers],Upgrades[#Headers],0),FALSE),0)*MAX(0,SUM('Construction Dashboard'!$G53:Q53)),0)</f>
        <v>0</v>
      </c>
      <c r="Q103" s="54">
        <f ca="1">IF(VALUE(Remaining_Time[#Headers])&lt;='Construction Dashboard'!$F53,IFERROR(VLOOKUP(Remaining_Time[[#This Row],[Time]],Upgrades[],MATCH("T"&amp;Remaining_Time[#Headers],Upgrades[#Headers],0),FALSE),0)*MAX(0,SUM('Construction Dashboard'!$G53:R53)),0)</f>
        <v>0</v>
      </c>
      <c r="R103" s="54">
        <f ca="1">IF(Remaining_Time[[#This Row],[MatchStr]]="IGNORE",0,SUM(Remaining_Time[[#This Row],[1]:[12]]))</f>
        <v>0</v>
      </c>
    </row>
    <row r="104" spans="1:18">
      <c r="A104" s="11" t="s">
        <v>83</v>
      </c>
      <c r="B104" s="49" t="str">
        <f>VLOOKUP(Remaining_Time[[#This Row],[Time]],Upgrades[],MATCH("Kind",Upgrades[#Headers],0),FALSE)</f>
        <v>Upgrade</v>
      </c>
      <c r="C104" s="49" t="str">
        <f>VLOOKUP(Remaining_Time[[#This Row],[Time]],Upgrades[],MATCH("Resource",Upgrades[#Headers],0),FALSE)</f>
        <v>Elixir</v>
      </c>
      <c r="D104" s="116" t="str">
        <f>IF(COUNTIF(Skips,Remaining_Time[[#This Row],[Time]])&gt;0,"IGNORE",Remaining_Time[Kind]&amp;"-"&amp;Remaining_Time[Resource])</f>
        <v>Upgrade-Elixir</v>
      </c>
      <c r="E104" s="47" t="str">
        <f ca="1">IFERROR(VLOOKUP(Remaining_Time[[#This Row],[Time]],Upgrades[],MATCH("T"&amp;MATCH(TRUE,INDEX(Remaining_Time[[#This Row],[1]:[12]]&lt;&gt;0,),0),Upgrades[#Headers],0),FALSE),"")</f>
        <v/>
      </c>
      <c r="F104" s="54">
        <f ca="1">IF(VALUE(Remaining_Time[#Headers])&lt;='Construction Dashboard'!$F54,IFERROR(VLOOKUP(Remaining_Time[[#This Row],[Time]],Upgrades[],MATCH("T"&amp;Remaining_Time[#Headers],Upgrades[#Headers],0),FALSE),0)*MAX(0,SUM('Construction Dashboard'!$G54:G54)),0)</f>
        <v>0</v>
      </c>
      <c r="G104" s="54">
        <f ca="1">IF(VALUE(Remaining_Time[#Headers])&lt;='Construction Dashboard'!$F54,IFERROR(VLOOKUP(Remaining_Time[[#This Row],[Time]],Upgrades[],MATCH("T"&amp;Remaining_Time[#Headers],Upgrades[#Headers],0),FALSE),0)*MAX(0,SUM('Construction Dashboard'!$G54:H54)),0)</f>
        <v>0</v>
      </c>
      <c r="H104" s="54">
        <f ca="1">IF(VALUE(Remaining_Time[#Headers])&lt;='Construction Dashboard'!$F54,IFERROR(VLOOKUP(Remaining_Time[[#This Row],[Time]],Upgrades[],MATCH("T"&amp;Remaining_Time[#Headers],Upgrades[#Headers],0),FALSE),0)*MAX(0,SUM('Construction Dashboard'!$G54:I54)),0)</f>
        <v>0</v>
      </c>
      <c r="I104" s="54">
        <f ca="1">IF(VALUE(Remaining_Time[#Headers])&lt;='Construction Dashboard'!$F54,IFERROR(VLOOKUP(Remaining_Time[[#This Row],[Time]],Upgrades[],MATCH("T"&amp;Remaining_Time[#Headers],Upgrades[#Headers],0),FALSE),0)*MAX(0,SUM('Construction Dashboard'!$G54:J54)),0)</f>
        <v>0</v>
      </c>
      <c r="J104" s="54">
        <f ca="1">IF(VALUE(Remaining_Time[#Headers])&lt;='Construction Dashboard'!$F54,IFERROR(VLOOKUP(Remaining_Time[[#This Row],[Time]],Upgrades[],MATCH("T"&amp;Remaining_Time[#Headers],Upgrades[#Headers],0),FALSE),0)*MAX(0,SUM('Construction Dashboard'!$G54:K54)),0)</f>
        <v>0</v>
      </c>
      <c r="K104" s="54">
        <f ca="1">IF(VALUE(Remaining_Time[#Headers])&lt;='Construction Dashboard'!$F54,IFERROR(VLOOKUP(Remaining_Time[[#This Row],[Time]],Upgrades[],MATCH("T"&amp;Remaining_Time[#Headers],Upgrades[#Headers],0),FALSE),0)*MAX(0,SUM('Construction Dashboard'!$G54:L54)),0)</f>
        <v>0</v>
      </c>
      <c r="L104" s="54">
        <f ca="1">IF(VALUE(Remaining_Time[#Headers])&lt;='Construction Dashboard'!$F54,IFERROR(VLOOKUP(Remaining_Time[[#This Row],[Time]],Upgrades[],MATCH("T"&amp;Remaining_Time[#Headers],Upgrades[#Headers],0),FALSE),0)*MAX(0,SUM('Construction Dashboard'!$G54:M54)),0)</f>
        <v>0</v>
      </c>
      <c r="M104" s="54">
        <f ca="1">IF(VALUE(Remaining_Time[#Headers])&lt;='Construction Dashboard'!$F54,IFERROR(VLOOKUP(Remaining_Time[[#This Row],[Time]],Upgrades[],MATCH("T"&amp;Remaining_Time[#Headers],Upgrades[#Headers],0),FALSE),0)*MAX(0,SUM('Construction Dashboard'!$G54:N54)),0)</f>
        <v>0</v>
      </c>
      <c r="N104" s="54">
        <f ca="1">IF(VALUE(Remaining_Time[#Headers])&lt;='Construction Dashboard'!$F54,IFERROR(VLOOKUP(Remaining_Time[[#This Row],[Time]],Upgrades[],MATCH("T"&amp;Remaining_Time[#Headers],Upgrades[#Headers],0),FALSE),0)*MAX(0,SUM('Construction Dashboard'!$G54:O54)),0)</f>
        <v>0</v>
      </c>
      <c r="O104" s="54">
        <f ca="1">IF(VALUE(Remaining_Time[#Headers])&lt;='Construction Dashboard'!$F54,IFERROR(VLOOKUP(Remaining_Time[[#This Row],[Time]],Upgrades[],MATCH("T"&amp;Remaining_Time[#Headers],Upgrades[#Headers],0),FALSE),0)*MAX(0,SUM('Construction Dashboard'!$G54:P54)),0)</f>
        <v>0</v>
      </c>
      <c r="P104" s="54">
        <f ca="1">IF(VALUE(Remaining_Time[#Headers])&lt;='Construction Dashboard'!$F54,IFERROR(VLOOKUP(Remaining_Time[[#This Row],[Time]],Upgrades[],MATCH("T"&amp;Remaining_Time[#Headers],Upgrades[#Headers],0),FALSE),0)*MAX(0,SUM('Construction Dashboard'!$G54:Q54)),0)</f>
        <v>0</v>
      </c>
      <c r="Q104" s="54">
        <f ca="1">IF(VALUE(Remaining_Time[#Headers])&lt;='Construction Dashboard'!$F54,IFERROR(VLOOKUP(Remaining_Time[[#This Row],[Time]],Upgrades[],MATCH("T"&amp;Remaining_Time[#Headers],Upgrades[#Headers],0),FALSE),0)*MAX(0,SUM('Construction Dashboard'!$G54:R54)),0)</f>
        <v>0</v>
      </c>
      <c r="R104" s="54">
        <f ca="1">IF(Remaining_Time[[#This Row],[MatchStr]]="IGNORE",0,SUM(Remaining_Time[[#This Row],[1]:[12]]))</f>
        <v>0</v>
      </c>
    </row>
    <row r="105" spans="1:18">
      <c r="A105" s="11" t="s">
        <v>84</v>
      </c>
      <c r="B105" s="49" t="str">
        <f>VLOOKUP(Remaining_Time[[#This Row],[Time]],Upgrades[],MATCH("Kind",Upgrades[#Headers],0),FALSE)</f>
        <v>Upgrade</v>
      </c>
      <c r="C105" s="49" t="str">
        <f>VLOOKUP(Remaining_Time[[#This Row],[Time]],Upgrades[],MATCH("Resource",Upgrades[#Headers],0),FALSE)</f>
        <v>Elixir</v>
      </c>
      <c r="D105" s="116" t="str">
        <f>IF(COUNTIF(Skips,Remaining_Time[[#This Row],[Time]])&gt;0,"IGNORE",Remaining_Time[Kind]&amp;"-"&amp;Remaining_Time[Resource])</f>
        <v>Upgrade-Elixir</v>
      </c>
      <c r="E105" s="47" t="str">
        <f ca="1">IFERROR(VLOOKUP(Remaining_Time[[#This Row],[Time]],Upgrades[],MATCH("T"&amp;MATCH(TRUE,INDEX(Remaining_Time[[#This Row],[1]:[12]]&lt;&gt;0,),0),Upgrades[#Headers],0),FALSE),"")</f>
        <v/>
      </c>
      <c r="F105" s="54">
        <f ca="1">IF(VALUE(Remaining_Time[#Headers])&lt;='Construction Dashboard'!$F55,IFERROR(VLOOKUP(Remaining_Time[[#This Row],[Time]],Upgrades[],MATCH("T"&amp;Remaining_Time[#Headers],Upgrades[#Headers],0),FALSE),0)*MAX(0,SUM('Construction Dashboard'!$G55:G55)),0)</f>
        <v>0</v>
      </c>
      <c r="G105" s="54">
        <f ca="1">IF(VALUE(Remaining_Time[#Headers])&lt;='Construction Dashboard'!$F55,IFERROR(VLOOKUP(Remaining_Time[[#This Row],[Time]],Upgrades[],MATCH("T"&amp;Remaining_Time[#Headers],Upgrades[#Headers],0),FALSE),0)*MAX(0,SUM('Construction Dashboard'!$G55:H55)),0)</f>
        <v>0</v>
      </c>
      <c r="H105" s="54">
        <f ca="1">IF(VALUE(Remaining_Time[#Headers])&lt;='Construction Dashboard'!$F55,IFERROR(VLOOKUP(Remaining_Time[[#This Row],[Time]],Upgrades[],MATCH("T"&amp;Remaining_Time[#Headers],Upgrades[#Headers],0),FALSE),0)*MAX(0,SUM('Construction Dashboard'!$G55:I55)),0)</f>
        <v>0</v>
      </c>
      <c r="I105" s="54">
        <f ca="1">IF(VALUE(Remaining_Time[#Headers])&lt;='Construction Dashboard'!$F55,IFERROR(VLOOKUP(Remaining_Time[[#This Row],[Time]],Upgrades[],MATCH("T"&amp;Remaining_Time[#Headers],Upgrades[#Headers],0),FALSE),0)*MAX(0,SUM('Construction Dashboard'!$G55:J55)),0)</f>
        <v>0</v>
      </c>
      <c r="J105" s="54">
        <f ca="1">IF(VALUE(Remaining_Time[#Headers])&lt;='Construction Dashboard'!$F55,IFERROR(VLOOKUP(Remaining_Time[[#This Row],[Time]],Upgrades[],MATCH("T"&amp;Remaining_Time[#Headers],Upgrades[#Headers],0),FALSE),0)*MAX(0,SUM('Construction Dashboard'!$G55:K55)),0)</f>
        <v>0</v>
      </c>
      <c r="K105" s="54">
        <f ca="1">IF(VALUE(Remaining_Time[#Headers])&lt;='Construction Dashboard'!$F55,IFERROR(VLOOKUP(Remaining_Time[[#This Row],[Time]],Upgrades[],MATCH("T"&amp;Remaining_Time[#Headers],Upgrades[#Headers],0),FALSE),0)*MAX(0,SUM('Construction Dashboard'!$G55:L55)),0)</f>
        <v>0</v>
      </c>
      <c r="L105" s="54">
        <f ca="1">IF(VALUE(Remaining_Time[#Headers])&lt;='Construction Dashboard'!$F55,IFERROR(VLOOKUP(Remaining_Time[[#This Row],[Time]],Upgrades[],MATCH("T"&amp;Remaining_Time[#Headers],Upgrades[#Headers],0),FALSE),0)*MAX(0,SUM('Construction Dashboard'!$G55:M55)),0)</f>
        <v>0</v>
      </c>
      <c r="M105" s="54">
        <f ca="1">IF(VALUE(Remaining_Time[#Headers])&lt;='Construction Dashboard'!$F55,IFERROR(VLOOKUP(Remaining_Time[[#This Row],[Time]],Upgrades[],MATCH("T"&amp;Remaining_Time[#Headers],Upgrades[#Headers],0),FALSE),0)*MAX(0,SUM('Construction Dashboard'!$G55:N55)),0)</f>
        <v>0</v>
      </c>
      <c r="N105" s="54">
        <f ca="1">IF(VALUE(Remaining_Time[#Headers])&lt;='Construction Dashboard'!$F55,IFERROR(VLOOKUP(Remaining_Time[[#This Row],[Time]],Upgrades[],MATCH("T"&amp;Remaining_Time[#Headers],Upgrades[#Headers],0),FALSE),0)*MAX(0,SUM('Construction Dashboard'!$G55:O55)),0)</f>
        <v>0</v>
      </c>
      <c r="O105" s="54">
        <f ca="1">IF(VALUE(Remaining_Time[#Headers])&lt;='Construction Dashboard'!$F55,IFERROR(VLOOKUP(Remaining_Time[[#This Row],[Time]],Upgrades[],MATCH("T"&amp;Remaining_Time[#Headers],Upgrades[#Headers],0),FALSE),0)*MAX(0,SUM('Construction Dashboard'!$G55:P55)),0)</f>
        <v>0</v>
      </c>
      <c r="P105" s="54">
        <f ca="1">IF(VALUE(Remaining_Time[#Headers])&lt;='Construction Dashboard'!$F55,IFERROR(VLOOKUP(Remaining_Time[[#This Row],[Time]],Upgrades[],MATCH("T"&amp;Remaining_Time[#Headers],Upgrades[#Headers],0),FALSE),0)*MAX(0,SUM('Construction Dashboard'!$G55:Q55)),0)</f>
        <v>0</v>
      </c>
      <c r="Q105" s="54">
        <f ca="1">IF(VALUE(Remaining_Time[#Headers])&lt;='Construction Dashboard'!$F55,IFERROR(VLOOKUP(Remaining_Time[[#This Row],[Time]],Upgrades[],MATCH("T"&amp;Remaining_Time[#Headers],Upgrades[#Headers],0),FALSE),0)*MAX(0,SUM('Construction Dashboard'!$G55:R55)),0)</f>
        <v>0</v>
      </c>
      <c r="R105" s="54">
        <f ca="1">IF(Remaining_Time[[#This Row],[MatchStr]]="IGNORE",0,SUM(Remaining_Time[[#This Row],[1]:[12]]))</f>
        <v>0</v>
      </c>
    </row>
    <row r="106" spans="1:18">
      <c r="A106" s="11" t="s">
        <v>85</v>
      </c>
      <c r="B106" s="49" t="str">
        <f>VLOOKUP(Remaining_Time[[#This Row],[Time]],Upgrades[],MATCH("Kind",Upgrades[#Headers],0),FALSE)</f>
        <v>Upgrade</v>
      </c>
      <c r="C106" s="49" t="str">
        <f>VLOOKUP(Remaining_Time[[#This Row],[Time]],Upgrades[],MATCH("Resource",Upgrades[#Headers],0),FALSE)</f>
        <v>Elixir</v>
      </c>
      <c r="D106" s="116" t="str">
        <f>IF(COUNTIF(Skips,Remaining_Time[[#This Row],[Time]])&gt;0,"IGNORE",Remaining_Time[Kind]&amp;"-"&amp;Remaining_Time[Resource])</f>
        <v>Upgrade-Elixir</v>
      </c>
      <c r="E106" s="47" t="str">
        <f ca="1">IFERROR(VLOOKUP(Remaining_Time[[#This Row],[Time]],Upgrades[],MATCH("T"&amp;MATCH(TRUE,INDEX(Remaining_Time[[#This Row],[1]:[12]]&lt;&gt;0,),0),Upgrades[#Headers],0),FALSE),"")</f>
        <v/>
      </c>
      <c r="F106" s="54">
        <f ca="1">IF(VALUE(Remaining_Time[#Headers])&lt;='Construction Dashboard'!$F56,IFERROR(VLOOKUP(Remaining_Time[[#This Row],[Time]],Upgrades[],MATCH("T"&amp;Remaining_Time[#Headers],Upgrades[#Headers],0),FALSE),0)*MAX(0,SUM('Construction Dashboard'!$G56:G56)),0)</f>
        <v>0</v>
      </c>
      <c r="G106" s="54">
        <f ca="1">IF(VALUE(Remaining_Time[#Headers])&lt;='Construction Dashboard'!$F56,IFERROR(VLOOKUP(Remaining_Time[[#This Row],[Time]],Upgrades[],MATCH("T"&amp;Remaining_Time[#Headers],Upgrades[#Headers],0),FALSE),0)*MAX(0,SUM('Construction Dashboard'!$G56:H56)),0)</f>
        <v>0</v>
      </c>
      <c r="H106" s="54">
        <f ca="1">IF(VALUE(Remaining_Time[#Headers])&lt;='Construction Dashboard'!$F56,IFERROR(VLOOKUP(Remaining_Time[[#This Row],[Time]],Upgrades[],MATCH("T"&amp;Remaining_Time[#Headers],Upgrades[#Headers],0),FALSE),0)*MAX(0,SUM('Construction Dashboard'!$G56:I56)),0)</f>
        <v>0</v>
      </c>
      <c r="I106" s="54">
        <f ca="1">IF(VALUE(Remaining_Time[#Headers])&lt;='Construction Dashboard'!$F56,IFERROR(VLOOKUP(Remaining_Time[[#This Row],[Time]],Upgrades[],MATCH("T"&amp;Remaining_Time[#Headers],Upgrades[#Headers],0),FALSE),0)*MAX(0,SUM('Construction Dashboard'!$G56:J56)),0)</f>
        <v>0</v>
      </c>
      <c r="J106" s="54">
        <f ca="1">IF(VALUE(Remaining_Time[#Headers])&lt;='Construction Dashboard'!$F56,IFERROR(VLOOKUP(Remaining_Time[[#This Row],[Time]],Upgrades[],MATCH("T"&amp;Remaining_Time[#Headers],Upgrades[#Headers],0),FALSE),0)*MAX(0,SUM('Construction Dashboard'!$G56:K56)),0)</f>
        <v>0</v>
      </c>
      <c r="K106" s="54">
        <f ca="1">IF(VALUE(Remaining_Time[#Headers])&lt;='Construction Dashboard'!$F56,IFERROR(VLOOKUP(Remaining_Time[[#This Row],[Time]],Upgrades[],MATCH("T"&amp;Remaining_Time[#Headers],Upgrades[#Headers],0),FALSE),0)*MAX(0,SUM('Construction Dashboard'!$G56:L56)),0)</f>
        <v>0</v>
      </c>
      <c r="L106" s="54">
        <f ca="1">IF(VALUE(Remaining_Time[#Headers])&lt;='Construction Dashboard'!$F56,IFERROR(VLOOKUP(Remaining_Time[[#This Row],[Time]],Upgrades[],MATCH("T"&amp;Remaining_Time[#Headers],Upgrades[#Headers],0),FALSE),0)*MAX(0,SUM('Construction Dashboard'!$G56:M56)),0)</f>
        <v>0</v>
      </c>
      <c r="M106" s="54">
        <f ca="1">IF(VALUE(Remaining_Time[#Headers])&lt;='Construction Dashboard'!$F56,IFERROR(VLOOKUP(Remaining_Time[[#This Row],[Time]],Upgrades[],MATCH("T"&amp;Remaining_Time[#Headers],Upgrades[#Headers],0),FALSE),0)*MAX(0,SUM('Construction Dashboard'!$G56:N56)),0)</f>
        <v>0</v>
      </c>
      <c r="N106" s="54">
        <f ca="1">IF(VALUE(Remaining_Time[#Headers])&lt;='Construction Dashboard'!$F56,IFERROR(VLOOKUP(Remaining_Time[[#This Row],[Time]],Upgrades[],MATCH("T"&amp;Remaining_Time[#Headers],Upgrades[#Headers],0),FALSE),0)*MAX(0,SUM('Construction Dashboard'!$G56:O56)),0)</f>
        <v>0</v>
      </c>
      <c r="O106" s="54">
        <f ca="1">IF(VALUE(Remaining_Time[#Headers])&lt;='Construction Dashboard'!$F56,IFERROR(VLOOKUP(Remaining_Time[[#This Row],[Time]],Upgrades[],MATCH("T"&amp;Remaining_Time[#Headers],Upgrades[#Headers],0),FALSE),0)*MAX(0,SUM('Construction Dashboard'!$G56:P56)),0)</f>
        <v>0</v>
      </c>
      <c r="P106" s="54">
        <f ca="1">IF(VALUE(Remaining_Time[#Headers])&lt;='Construction Dashboard'!$F56,IFERROR(VLOOKUP(Remaining_Time[[#This Row],[Time]],Upgrades[],MATCH("T"&amp;Remaining_Time[#Headers],Upgrades[#Headers],0),FALSE),0)*MAX(0,SUM('Construction Dashboard'!$G56:Q56)),0)</f>
        <v>0</v>
      </c>
      <c r="Q106" s="54">
        <f ca="1">IF(VALUE(Remaining_Time[#Headers])&lt;='Construction Dashboard'!$F56,IFERROR(VLOOKUP(Remaining_Time[[#This Row],[Time]],Upgrades[],MATCH("T"&amp;Remaining_Time[#Headers],Upgrades[#Headers],0),FALSE),0)*MAX(0,SUM('Construction Dashboard'!$G56:R56)),0)</f>
        <v>0</v>
      </c>
      <c r="R106" s="54">
        <f ca="1">IF(Remaining_Time[[#This Row],[MatchStr]]="IGNORE",0,SUM(Remaining_Time[[#This Row],[1]:[12]]))</f>
        <v>0</v>
      </c>
    </row>
    <row r="107" spans="1:18">
      <c r="A107" s="11" t="s">
        <v>86</v>
      </c>
      <c r="B107" s="49" t="str">
        <f>VLOOKUP(Remaining_Time[[#This Row],[Time]],Upgrades[],MATCH("Kind",Upgrades[#Headers],0),FALSE)</f>
        <v>Upgrade</v>
      </c>
      <c r="C107" s="49" t="str">
        <f>VLOOKUP(Remaining_Time[[#This Row],[Time]],Upgrades[],MATCH("Resource",Upgrades[#Headers],0),FALSE)</f>
        <v>Elixir</v>
      </c>
      <c r="D107" s="116" t="str">
        <f>IF(COUNTIF(Skips,Remaining_Time[[#This Row],[Time]])&gt;0,"IGNORE",Remaining_Time[Kind]&amp;"-"&amp;Remaining_Time[Resource])</f>
        <v>Upgrade-Elixir</v>
      </c>
      <c r="E107" s="47" t="str">
        <f ca="1">IFERROR(VLOOKUP(Remaining_Time[[#This Row],[Time]],Upgrades[],MATCH("T"&amp;MATCH(TRUE,INDEX(Remaining_Time[[#This Row],[1]:[12]]&lt;&gt;0,),0),Upgrades[#Headers],0),FALSE),"")</f>
        <v/>
      </c>
      <c r="F107" s="54">
        <f ca="1">IF(VALUE(Remaining_Time[#Headers])&lt;='Construction Dashboard'!$F57,IFERROR(VLOOKUP(Remaining_Time[[#This Row],[Time]],Upgrades[],MATCH("T"&amp;Remaining_Time[#Headers],Upgrades[#Headers],0),FALSE),0)*MAX(0,SUM('Construction Dashboard'!$G57:G57)),0)</f>
        <v>0</v>
      </c>
      <c r="G107" s="54">
        <f ca="1">IF(VALUE(Remaining_Time[#Headers])&lt;='Construction Dashboard'!$F57,IFERROR(VLOOKUP(Remaining_Time[[#This Row],[Time]],Upgrades[],MATCH("T"&amp;Remaining_Time[#Headers],Upgrades[#Headers],0),FALSE),0)*MAX(0,SUM('Construction Dashboard'!$G57:H57)),0)</f>
        <v>0</v>
      </c>
      <c r="H107" s="54">
        <f ca="1">IF(VALUE(Remaining_Time[#Headers])&lt;='Construction Dashboard'!$F57,IFERROR(VLOOKUP(Remaining_Time[[#This Row],[Time]],Upgrades[],MATCH("T"&amp;Remaining_Time[#Headers],Upgrades[#Headers],0),FALSE),0)*MAX(0,SUM('Construction Dashboard'!$G57:I57)),0)</f>
        <v>0</v>
      </c>
      <c r="I107" s="54">
        <f ca="1">IF(VALUE(Remaining_Time[#Headers])&lt;='Construction Dashboard'!$F57,IFERROR(VLOOKUP(Remaining_Time[[#This Row],[Time]],Upgrades[],MATCH("T"&amp;Remaining_Time[#Headers],Upgrades[#Headers],0),FALSE),0)*MAX(0,SUM('Construction Dashboard'!$G57:J57)),0)</f>
        <v>0</v>
      </c>
      <c r="J107" s="54">
        <f ca="1">IF(VALUE(Remaining_Time[#Headers])&lt;='Construction Dashboard'!$F57,IFERROR(VLOOKUP(Remaining_Time[[#This Row],[Time]],Upgrades[],MATCH("T"&amp;Remaining_Time[#Headers],Upgrades[#Headers],0),FALSE),0)*MAX(0,SUM('Construction Dashboard'!$G57:K57)),0)</f>
        <v>0</v>
      </c>
      <c r="K107" s="54">
        <f ca="1">IF(VALUE(Remaining_Time[#Headers])&lt;='Construction Dashboard'!$F57,IFERROR(VLOOKUP(Remaining_Time[[#This Row],[Time]],Upgrades[],MATCH("T"&amp;Remaining_Time[#Headers],Upgrades[#Headers],0),FALSE),0)*MAX(0,SUM('Construction Dashboard'!$G57:L57)),0)</f>
        <v>0</v>
      </c>
      <c r="L107" s="54">
        <f ca="1">IF(VALUE(Remaining_Time[#Headers])&lt;='Construction Dashboard'!$F57,IFERROR(VLOOKUP(Remaining_Time[[#This Row],[Time]],Upgrades[],MATCH("T"&amp;Remaining_Time[#Headers],Upgrades[#Headers],0),FALSE),0)*MAX(0,SUM('Construction Dashboard'!$G57:M57)),0)</f>
        <v>0</v>
      </c>
      <c r="M107" s="54">
        <f ca="1">IF(VALUE(Remaining_Time[#Headers])&lt;='Construction Dashboard'!$F57,IFERROR(VLOOKUP(Remaining_Time[[#This Row],[Time]],Upgrades[],MATCH("T"&amp;Remaining_Time[#Headers],Upgrades[#Headers],0),FALSE),0)*MAX(0,SUM('Construction Dashboard'!$G57:N57)),0)</f>
        <v>0</v>
      </c>
      <c r="N107" s="54">
        <f ca="1">IF(VALUE(Remaining_Time[#Headers])&lt;='Construction Dashboard'!$F57,IFERROR(VLOOKUP(Remaining_Time[[#This Row],[Time]],Upgrades[],MATCH("T"&amp;Remaining_Time[#Headers],Upgrades[#Headers],0),FALSE),0)*MAX(0,SUM('Construction Dashboard'!$G57:O57)),0)</f>
        <v>0</v>
      </c>
      <c r="O107" s="54">
        <f ca="1">IF(VALUE(Remaining_Time[#Headers])&lt;='Construction Dashboard'!$F57,IFERROR(VLOOKUP(Remaining_Time[[#This Row],[Time]],Upgrades[],MATCH("T"&amp;Remaining_Time[#Headers],Upgrades[#Headers],0),FALSE),0)*MAX(0,SUM('Construction Dashboard'!$G57:P57)),0)</f>
        <v>0</v>
      </c>
      <c r="P107" s="54">
        <f ca="1">IF(VALUE(Remaining_Time[#Headers])&lt;='Construction Dashboard'!$F57,IFERROR(VLOOKUP(Remaining_Time[[#This Row],[Time]],Upgrades[],MATCH("T"&amp;Remaining_Time[#Headers],Upgrades[#Headers],0),FALSE),0)*MAX(0,SUM('Construction Dashboard'!$G57:Q57)),0)</f>
        <v>0</v>
      </c>
      <c r="Q107" s="54">
        <f ca="1">IF(VALUE(Remaining_Time[#Headers])&lt;='Construction Dashboard'!$F57,IFERROR(VLOOKUP(Remaining_Time[[#This Row],[Time]],Upgrades[],MATCH("T"&amp;Remaining_Time[#Headers],Upgrades[#Headers],0),FALSE),0)*MAX(0,SUM('Construction Dashboard'!$G57:R57)),0)</f>
        <v>0</v>
      </c>
      <c r="R107" s="54">
        <f ca="1">IF(Remaining_Time[[#This Row],[MatchStr]]="IGNORE",0,SUM(Remaining_Time[[#This Row],[1]:[12]]))</f>
        <v>0</v>
      </c>
    </row>
    <row r="108" spans="1:18">
      <c r="A108" s="11" t="s">
        <v>87</v>
      </c>
      <c r="B108" s="49" t="str">
        <f>VLOOKUP(Remaining_Time[[#This Row],[Time]],Upgrades[],MATCH("Kind",Upgrades[#Headers],0),FALSE)</f>
        <v>Upgrade</v>
      </c>
      <c r="C108" s="49" t="str">
        <f>VLOOKUP(Remaining_Time[[#This Row],[Time]],Upgrades[],MATCH("Resource",Upgrades[#Headers],0),FALSE)</f>
        <v>Elixir</v>
      </c>
      <c r="D108" s="116" t="str">
        <f>IF(COUNTIF(Skips,Remaining_Time[[#This Row],[Time]])&gt;0,"IGNORE",Remaining_Time[Kind]&amp;"-"&amp;Remaining_Time[Resource])</f>
        <v>IGNORE</v>
      </c>
      <c r="E108" s="47">
        <f ca="1">IFERROR(VLOOKUP(Remaining_Time[[#This Row],[Time]],Upgrades[],MATCH("T"&amp;MATCH(TRUE,INDEX(Remaining_Time[[#This Row],[1]:[12]]&lt;&gt;0,),0),Upgrades[#Headers],0),FALSE),"")</f>
        <v>2</v>
      </c>
      <c r="F108" s="54">
        <f ca="1">IF(VALUE(Remaining_Time[#Headers])&lt;='Construction Dashboard'!$F58,IFERROR(VLOOKUP(Remaining_Time[[#This Row],[Time]],Upgrades[],MATCH("T"&amp;Remaining_Time[#Headers],Upgrades[#Headers],0),FALSE),0)*MAX(0,SUM('Construction Dashboard'!$G58:G58)),0)</f>
        <v>0</v>
      </c>
      <c r="G108" s="54">
        <f ca="1">IF(VALUE(Remaining_Time[#Headers])&lt;='Construction Dashboard'!$F58,IFERROR(VLOOKUP(Remaining_Time[[#This Row],[Time]],Upgrades[],MATCH("T"&amp;Remaining_Time[#Headers],Upgrades[#Headers],0),FALSE),0)*MAX(0,SUM('Construction Dashboard'!$G58:H58)),0)</f>
        <v>0</v>
      </c>
      <c r="H108" s="54">
        <f ca="1">IF(VALUE(Remaining_Time[#Headers])&lt;='Construction Dashboard'!$F58,IFERROR(VLOOKUP(Remaining_Time[[#This Row],[Time]],Upgrades[],MATCH("T"&amp;Remaining_Time[#Headers],Upgrades[#Headers],0),FALSE),0)*MAX(0,SUM('Construction Dashboard'!$G58:I58)),0)</f>
        <v>2</v>
      </c>
      <c r="I108" s="54">
        <f ca="1">IF(VALUE(Remaining_Time[#Headers])&lt;='Construction Dashboard'!$F58,IFERROR(VLOOKUP(Remaining_Time[[#This Row],[Time]],Upgrades[],MATCH("T"&amp;Remaining_Time[#Headers],Upgrades[#Headers],0),FALSE),0)*MAX(0,SUM('Construction Dashboard'!$G58:J58)),0)</f>
        <v>3</v>
      </c>
      <c r="J108" s="54">
        <f ca="1">IF(VALUE(Remaining_Time[#Headers])&lt;='Construction Dashboard'!$F58,IFERROR(VLOOKUP(Remaining_Time[[#This Row],[Time]],Upgrades[],MATCH("T"&amp;Remaining_Time[#Headers],Upgrades[#Headers],0),FALSE),0)*MAX(0,SUM('Construction Dashboard'!$G58:K58)),0)</f>
        <v>0</v>
      </c>
      <c r="K108" s="54">
        <f ca="1">IF(VALUE(Remaining_Time[#Headers])&lt;='Construction Dashboard'!$F58,IFERROR(VLOOKUP(Remaining_Time[[#This Row],[Time]],Upgrades[],MATCH("T"&amp;Remaining_Time[#Headers],Upgrades[#Headers],0),FALSE),0)*MAX(0,SUM('Construction Dashboard'!$G58:L58)),0)</f>
        <v>0</v>
      </c>
      <c r="L108" s="54">
        <f ca="1">IF(VALUE(Remaining_Time[#Headers])&lt;='Construction Dashboard'!$F58,IFERROR(VLOOKUP(Remaining_Time[[#This Row],[Time]],Upgrades[],MATCH("T"&amp;Remaining_Time[#Headers],Upgrades[#Headers],0),FALSE),0)*MAX(0,SUM('Construction Dashboard'!$G58:M58)),0)</f>
        <v>0</v>
      </c>
      <c r="M108" s="54">
        <f ca="1">IF(VALUE(Remaining_Time[#Headers])&lt;='Construction Dashboard'!$F58,IFERROR(VLOOKUP(Remaining_Time[[#This Row],[Time]],Upgrades[],MATCH("T"&amp;Remaining_Time[#Headers],Upgrades[#Headers],0),FALSE),0)*MAX(0,SUM('Construction Dashboard'!$G58:N58)),0)</f>
        <v>0</v>
      </c>
      <c r="N108" s="54">
        <f ca="1">IF(VALUE(Remaining_Time[#Headers])&lt;='Construction Dashboard'!$F58,IFERROR(VLOOKUP(Remaining_Time[[#This Row],[Time]],Upgrades[],MATCH("T"&amp;Remaining_Time[#Headers],Upgrades[#Headers],0),FALSE),0)*MAX(0,SUM('Construction Dashboard'!$G58:O58)),0)</f>
        <v>0</v>
      </c>
      <c r="O108" s="54">
        <f ca="1">IF(VALUE(Remaining_Time[#Headers])&lt;='Construction Dashboard'!$F58,IFERROR(VLOOKUP(Remaining_Time[[#This Row],[Time]],Upgrades[],MATCH("T"&amp;Remaining_Time[#Headers],Upgrades[#Headers],0),FALSE),0)*MAX(0,SUM('Construction Dashboard'!$G58:P58)),0)</f>
        <v>0</v>
      </c>
      <c r="P108" s="54">
        <f ca="1">IF(VALUE(Remaining_Time[#Headers])&lt;='Construction Dashboard'!$F58,IFERROR(VLOOKUP(Remaining_Time[[#This Row],[Time]],Upgrades[],MATCH("T"&amp;Remaining_Time[#Headers],Upgrades[#Headers],0),FALSE),0)*MAX(0,SUM('Construction Dashboard'!$G58:Q58)),0)</f>
        <v>0</v>
      </c>
      <c r="Q108" s="54">
        <f ca="1">IF(VALUE(Remaining_Time[#Headers])&lt;='Construction Dashboard'!$F58,IFERROR(VLOOKUP(Remaining_Time[[#This Row],[Time]],Upgrades[],MATCH("T"&amp;Remaining_Time[#Headers],Upgrades[#Headers],0),FALSE),0)*MAX(0,SUM('Construction Dashboard'!$G58:R58)),0)</f>
        <v>0</v>
      </c>
      <c r="R108" s="54">
        <f>IF(Remaining_Time[[#This Row],[MatchStr]]="IGNORE",0,SUM(Remaining_Time[[#This Row],[1]:[12]]))</f>
        <v>0</v>
      </c>
    </row>
    <row r="109" spans="1:18">
      <c r="A109" s="11" t="s">
        <v>88</v>
      </c>
      <c r="B109" s="49" t="str">
        <f>VLOOKUP(Remaining_Time[[#This Row],[Time]],Upgrades[],MATCH("Kind",Upgrades[#Headers],0),FALSE)</f>
        <v>Upgrade</v>
      </c>
      <c r="C109" s="49" t="str">
        <f>VLOOKUP(Remaining_Time[[#This Row],[Time]],Upgrades[],MATCH("Resource",Upgrades[#Headers],0),FALSE)</f>
        <v>Elixir</v>
      </c>
      <c r="D109" s="116" t="str">
        <f>IF(COUNTIF(Skips,Remaining_Time[[#This Row],[Time]])&gt;0,"IGNORE",Remaining_Time[Kind]&amp;"-"&amp;Remaining_Time[Resource])</f>
        <v>Upgrade-Elixir</v>
      </c>
      <c r="E109" s="47" t="str">
        <f ca="1">IFERROR(VLOOKUP(Remaining_Time[[#This Row],[Time]],Upgrades[],MATCH("T"&amp;MATCH(TRUE,INDEX(Remaining_Time[[#This Row],[1]:[12]]&lt;&gt;0,),0),Upgrades[#Headers],0),FALSE),"")</f>
        <v/>
      </c>
      <c r="F109" s="54">
        <f ca="1">IF(VALUE(Remaining_Time[#Headers])&lt;='Construction Dashboard'!$F59,IFERROR(VLOOKUP(Remaining_Time[[#This Row],[Time]],Upgrades[],MATCH("T"&amp;Remaining_Time[#Headers],Upgrades[#Headers],0),FALSE),0)*MAX(0,SUM('Construction Dashboard'!$G59:G59)),0)</f>
        <v>0</v>
      </c>
      <c r="G109" s="54">
        <f ca="1">IF(VALUE(Remaining_Time[#Headers])&lt;='Construction Dashboard'!$F59,IFERROR(VLOOKUP(Remaining_Time[[#This Row],[Time]],Upgrades[],MATCH("T"&amp;Remaining_Time[#Headers],Upgrades[#Headers],0),FALSE),0)*MAX(0,SUM('Construction Dashboard'!$G59:H59)),0)</f>
        <v>0</v>
      </c>
      <c r="H109" s="54">
        <f ca="1">IF(VALUE(Remaining_Time[#Headers])&lt;='Construction Dashboard'!$F59,IFERROR(VLOOKUP(Remaining_Time[[#This Row],[Time]],Upgrades[],MATCH("T"&amp;Remaining_Time[#Headers],Upgrades[#Headers],0),FALSE),0)*MAX(0,SUM('Construction Dashboard'!$G59:I59)),0)</f>
        <v>0</v>
      </c>
      <c r="I109" s="54">
        <f ca="1">IF(VALUE(Remaining_Time[#Headers])&lt;='Construction Dashboard'!$F59,IFERROR(VLOOKUP(Remaining_Time[[#This Row],[Time]],Upgrades[],MATCH("T"&amp;Remaining_Time[#Headers],Upgrades[#Headers],0),FALSE),0)*MAX(0,SUM('Construction Dashboard'!$G59:J59)),0)</f>
        <v>0</v>
      </c>
      <c r="J109" s="54">
        <f ca="1">IF(VALUE(Remaining_Time[#Headers])&lt;='Construction Dashboard'!$F59,IFERROR(VLOOKUP(Remaining_Time[[#This Row],[Time]],Upgrades[],MATCH("T"&amp;Remaining_Time[#Headers],Upgrades[#Headers],0),FALSE),0)*MAX(0,SUM('Construction Dashboard'!$G59:K59)),0)</f>
        <v>0</v>
      </c>
      <c r="K109" s="54">
        <f ca="1">IF(VALUE(Remaining_Time[#Headers])&lt;='Construction Dashboard'!$F59,IFERROR(VLOOKUP(Remaining_Time[[#This Row],[Time]],Upgrades[],MATCH("T"&amp;Remaining_Time[#Headers],Upgrades[#Headers],0),FALSE),0)*MAX(0,SUM('Construction Dashboard'!$G59:L59)),0)</f>
        <v>0</v>
      </c>
      <c r="L109" s="54">
        <f ca="1">IF(VALUE(Remaining_Time[#Headers])&lt;='Construction Dashboard'!$F59,IFERROR(VLOOKUP(Remaining_Time[[#This Row],[Time]],Upgrades[],MATCH("T"&amp;Remaining_Time[#Headers],Upgrades[#Headers],0),FALSE),0)*MAX(0,SUM('Construction Dashboard'!$G59:M59)),0)</f>
        <v>0</v>
      </c>
      <c r="M109" s="54">
        <f ca="1">IF(VALUE(Remaining_Time[#Headers])&lt;='Construction Dashboard'!$F59,IFERROR(VLOOKUP(Remaining_Time[[#This Row],[Time]],Upgrades[],MATCH("T"&amp;Remaining_Time[#Headers],Upgrades[#Headers],0),FALSE),0)*MAX(0,SUM('Construction Dashboard'!$G59:N59)),0)</f>
        <v>0</v>
      </c>
      <c r="N109" s="54">
        <f ca="1">IF(VALUE(Remaining_Time[#Headers])&lt;='Construction Dashboard'!$F59,IFERROR(VLOOKUP(Remaining_Time[[#This Row],[Time]],Upgrades[],MATCH("T"&amp;Remaining_Time[#Headers],Upgrades[#Headers],0),FALSE),0)*MAX(0,SUM('Construction Dashboard'!$G59:O59)),0)</f>
        <v>0</v>
      </c>
      <c r="O109" s="54">
        <f ca="1">IF(VALUE(Remaining_Time[#Headers])&lt;='Construction Dashboard'!$F59,IFERROR(VLOOKUP(Remaining_Time[[#This Row],[Time]],Upgrades[],MATCH("T"&amp;Remaining_Time[#Headers],Upgrades[#Headers],0),FALSE),0)*MAX(0,SUM('Construction Dashboard'!$G59:P59)),0)</f>
        <v>0</v>
      </c>
      <c r="P109" s="54">
        <f ca="1">IF(VALUE(Remaining_Time[#Headers])&lt;='Construction Dashboard'!$F59,IFERROR(VLOOKUP(Remaining_Time[[#This Row],[Time]],Upgrades[],MATCH("T"&amp;Remaining_Time[#Headers],Upgrades[#Headers],0),FALSE),0)*MAX(0,SUM('Construction Dashboard'!$G59:Q59)),0)</f>
        <v>0</v>
      </c>
      <c r="Q109" s="54">
        <f ca="1">IF(VALUE(Remaining_Time[#Headers])&lt;='Construction Dashboard'!$F59,IFERROR(VLOOKUP(Remaining_Time[[#This Row],[Time]],Upgrades[],MATCH("T"&amp;Remaining_Time[#Headers],Upgrades[#Headers],0),FALSE),0)*MAX(0,SUM('Construction Dashboard'!$G59:R59)),0)</f>
        <v>0</v>
      </c>
      <c r="R109" s="54">
        <f ca="1">IF(Remaining_Time[[#This Row],[MatchStr]]="IGNORE",0,SUM(Remaining_Time[[#This Row],[1]:[12]]))</f>
        <v>0</v>
      </c>
    </row>
    <row r="110" spans="1:18">
      <c r="A110" s="11" t="s">
        <v>89</v>
      </c>
      <c r="B110" s="49" t="str">
        <f>VLOOKUP(Remaining_Time[[#This Row],[Time]],Upgrades[],MATCH("Kind",Upgrades[#Headers],0),FALSE)</f>
        <v>Upgrade</v>
      </c>
      <c r="C110" s="49" t="str">
        <f>VLOOKUP(Remaining_Time[[#This Row],[Time]],Upgrades[],MATCH("Resource",Upgrades[#Headers],0),FALSE)</f>
        <v>Elixir</v>
      </c>
      <c r="D110" s="116" t="str">
        <f>IF(COUNTIF(Skips,Remaining_Time[[#This Row],[Time]])&gt;0,"IGNORE",Remaining_Time[Kind]&amp;"-"&amp;Remaining_Time[Resource])</f>
        <v>Upgrade-Elixir</v>
      </c>
      <c r="E110" s="47" t="str">
        <f ca="1">IFERROR(VLOOKUP(Remaining_Time[[#This Row],[Time]],Upgrades[],MATCH("T"&amp;MATCH(TRUE,INDEX(Remaining_Time[[#This Row],[1]:[12]]&lt;&gt;0,),0),Upgrades[#Headers],0),FALSE),"")</f>
        <v/>
      </c>
      <c r="F110" s="54">
        <f ca="1">IF(VALUE(Remaining_Time[#Headers])&lt;='Construction Dashboard'!$F60,IFERROR(VLOOKUP(Remaining_Time[[#This Row],[Time]],Upgrades[],MATCH("T"&amp;Remaining_Time[#Headers],Upgrades[#Headers],0),FALSE),0)*MAX(0,SUM('Construction Dashboard'!$G60:G60)),0)</f>
        <v>0</v>
      </c>
      <c r="G110" s="54">
        <f ca="1">IF(VALUE(Remaining_Time[#Headers])&lt;='Construction Dashboard'!$F60,IFERROR(VLOOKUP(Remaining_Time[[#This Row],[Time]],Upgrades[],MATCH("T"&amp;Remaining_Time[#Headers],Upgrades[#Headers],0),FALSE),0)*MAX(0,SUM('Construction Dashboard'!$G60:H60)),0)</f>
        <v>0</v>
      </c>
      <c r="H110" s="54">
        <f ca="1">IF(VALUE(Remaining_Time[#Headers])&lt;='Construction Dashboard'!$F60,IFERROR(VLOOKUP(Remaining_Time[[#This Row],[Time]],Upgrades[],MATCH("T"&amp;Remaining_Time[#Headers],Upgrades[#Headers],0),FALSE),0)*MAX(0,SUM('Construction Dashboard'!$G60:I60)),0)</f>
        <v>0</v>
      </c>
      <c r="I110" s="54">
        <f ca="1">IF(VALUE(Remaining_Time[#Headers])&lt;='Construction Dashboard'!$F60,IFERROR(VLOOKUP(Remaining_Time[[#This Row],[Time]],Upgrades[],MATCH("T"&amp;Remaining_Time[#Headers],Upgrades[#Headers],0),FALSE),0)*MAX(0,SUM('Construction Dashboard'!$G60:J60)),0)</f>
        <v>0</v>
      </c>
      <c r="J110" s="54">
        <f ca="1">IF(VALUE(Remaining_Time[#Headers])&lt;='Construction Dashboard'!$F60,IFERROR(VLOOKUP(Remaining_Time[[#This Row],[Time]],Upgrades[],MATCH("T"&amp;Remaining_Time[#Headers],Upgrades[#Headers],0),FALSE),0)*MAX(0,SUM('Construction Dashboard'!$G60:K60)),0)</f>
        <v>0</v>
      </c>
      <c r="K110" s="54">
        <f ca="1">IF(VALUE(Remaining_Time[#Headers])&lt;='Construction Dashboard'!$F60,IFERROR(VLOOKUP(Remaining_Time[[#This Row],[Time]],Upgrades[],MATCH("T"&amp;Remaining_Time[#Headers],Upgrades[#Headers],0),FALSE),0)*MAX(0,SUM('Construction Dashboard'!$G60:L60)),0)</f>
        <v>0</v>
      </c>
      <c r="L110" s="54">
        <f ca="1">IF(VALUE(Remaining_Time[#Headers])&lt;='Construction Dashboard'!$F60,IFERROR(VLOOKUP(Remaining_Time[[#This Row],[Time]],Upgrades[],MATCH("T"&amp;Remaining_Time[#Headers],Upgrades[#Headers],0),FALSE),0)*MAX(0,SUM('Construction Dashboard'!$G60:M60)),0)</f>
        <v>0</v>
      </c>
      <c r="M110" s="54">
        <f ca="1">IF(VALUE(Remaining_Time[#Headers])&lt;='Construction Dashboard'!$F60,IFERROR(VLOOKUP(Remaining_Time[[#This Row],[Time]],Upgrades[],MATCH("T"&amp;Remaining_Time[#Headers],Upgrades[#Headers],0),FALSE),0)*MAX(0,SUM('Construction Dashboard'!$G60:N60)),0)</f>
        <v>0</v>
      </c>
      <c r="N110" s="54">
        <f ca="1">IF(VALUE(Remaining_Time[#Headers])&lt;='Construction Dashboard'!$F60,IFERROR(VLOOKUP(Remaining_Time[[#This Row],[Time]],Upgrades[],MATCH("T"&amp;Remaining_Time[#Headers],Upgrades[#Headers],0),FALSE),0)*MAX(0,SUM('Construction Dashboard'!$G60:O60)),0)</f>
        <v>0</v>
      </c>
      <c r="O110" s="54">
        <f ca="1">IF(VALUE(Remaining_Time[#Headers])&lt;='Construction Dashboard'!$F60,IFERROR(VLOOKUP(Remaining_Time[[#This Row],[Time]],Upgrades[],MATCH("T"&amp;Remaining_Time[#Headers],Upgrades[#Headers],0),FALSE),0)*MAX(0,SUM('Construction Dashboard'!$G60:P60)),0)</f>
        <v>0</v>
      </c>
      <c r="P110" s="54">
        <f ca="1">IF(VALUE(Remaining_Time[#Headers])&lt;='Construction Dashboard'!$F60,IFERROR(VLOOKUP(Remaining_Time[[#This Row],[Time]],Upgrades[],MATCH("T"&amp;Remaining_Time[#Headers],Upgrades[#Headers],0),FALSE),0)*MAX(0,SUM('Construction Dashboard'!$G60:Q60)),0)</f>
        <v>0</v>
      </c>
      <c r="Q110" s="54">
        <f ca="1">IF(VALUE(Remaining_Time[#Headers])&lt;='Construction Dashboard'!$F60,IFERROR(VLOOKUP(Remaining_Time[[#This Row],[Time]],Upgrades[],MATCH("T"&amp;Remaining_Time[#Headers],Upgrades[#Headers],0),FALSE),0)*MAX(0,SUM('Construction Dashboard'!$G60:R60)),0)</f>
        <v>0</v>
      </c>
      <c r="R110" s="54">
        <f ca="1">IF(Remaining_Time[[#This Row],[MatchStr]]="IGNORE",0,SUM(Remaining_Time[[#This Row],[1]:[12]]))</f>
        <v>0</v>
      </c>
    </row>
    <row r="111" spans="1:18">
      <c r="A111" s="11" t="s">
        <v>90</v>
      </c>
      <c r="B111" s="49" t="str">
        <f>VLOOKUP(Remaining_Time[[#This Row],[Time]],Upgrades[],MATCH("Kind",Upgrades[#Headers],0),FALSE)</f>
        <v>Upgrade</v>
      </c>
      <c r="C111" s="49" t="str">
        <f>VLOOKUP(Remaining_Time[[#This Row],[Time]],Upgrades[],MATCH("Resource",Upgrades[#Headers],0),FALSE)</f>
        <v>Elixir</v>
      </c>
      <c r="D111" s="116" t="str">
        <f>IF(COUNTIF(Skips,Remaining_Time[[#This Row],[Time]])&gt;0,"IGNORE",Remaining_Time[Kind]&amp;"-"&amp;Remaining_Time[Resource])</f>
        <v>Upgrade-Elixir</v>
      </c>
      <c r="E111" s="47" t="str">
        <f ca="1">IFERROR(VLOOKUP(Remaining_Time[[#This Row],[Time]],Upgrades[],MATCH("T"&amp;MATCH(TRUE,INDEX(Remaining_Time[[#This Row],[1]:[12]]&lt;&gt;0,),0),Upgrades[#Headers],0),FALSE),"")</f>
        <v/>
      </c>
      <c r="F111" s="54">
        <f ca="1">IF(VALUE(Remaining_Time[#Headers])&lt;='Construction Dashboard'!$F61,IFERROR(VLOOKUP(Remaining_Time[[#This Row],[Time]],Upgrades[],MATCH("T"&amp;Remaining_Time[#Headers],Upgrades[#Headers],0),FALSE),0)*MAX(0,SUM('Construction Dashboard'!$G61:G61)),0)</f>
        <v>0</v>
      </c>
      <c r="G111" s="54">
        <f ca="1">IF(VALUE(Remaining_Time[#Headers])&lt;='Construction Dashboard'!$F61,IFERROR(VLOOKUP(Remaining_Time[[#This Row],[Time]],Upgrades[],MATCH("T"&amp;Remaining_Time[#Headers],Upgrades[#Headers],0),FALSE),0)*MAX(0,SUM('Construction Dashboard'!$G61:H61)),0)</f>
        <v>0</v>
      </c>
      <c r="H111" s="54">
        <f ca="1">IF(VALUE(Remaining_Time[#Headers])&lt;='Construction Dashboard'!$F61,IFERROR(VLOOKUP(Remaining_Time[[#This Row],[Time]],Upgrades[],MATCH("T"&amp;Remaining_Time[#Headers],Upgrades[#Headers],0),FALSE),0)*MAX(0,SUM('Construction Dashboard'!$G61:I61)),0)</f>
        <v>0</v>
      </c>
      <c r="I111" s="54">
        <f ca="1">IF(VALUE(Remaining_Time[#Headers])&lt;='Construction Dashboard'!$F61,IFERROR(VLOOKUP(Remaining_Time[[#This Row],[Time]],Upgrades[],MATCH("T"&amp;Remaining_Time[#Headers],Upgrades[#Headers],0),FALSE),0)*MAX(0,SUM('Construction Dashboard'!$G61:J61)),0)</f>
        <v>0</v>
      </c>
      <c r="J111" s="54">
        <f ca="1">IF(VALUE(Remaining_Time[#Headers])&lt;='Construction Dashboard'!$F61,IFERROR(VLOOKUP(Remaining_Time[[#This Row],[Time]],Upgrades[],MATCH("T"&amp;Remaining_Time[#Headers],Upgrades[#Headers],0),FALSE),0)*MAX(0,SUM('Construction Dashboard'!$G61:K61)),0)</f>
        <v>0</v>
      </c>
      <c r="K111" s="54">
        <f ca="1">IF(VALUE(Remaining_Time[#Headers])&lt;='Construction Dashboard'!$F61,IFERROR(VLOOKUP(Remaining_Time[[#This Row],[Time]],Upgrades[],MATCH("T"&amp;Remaining_Time[#Headers],Upgrades[#Headers],0),FALSE),0)*MAX(0,SUM('Construction Dashboard'!$G61:L61)),0)</f>
        <v>0</v>
      </c>
      <c r="L111" s="54">
        <f ca="1">IF(VALUE(Remaining_Time[#Headers])&lt;='Construction Dashboard'!$F61,IFERROR(VLOOKUP(Remaining_Time[[#This Row],[Time]],Upgrades[],MATCH("T"&amp;Remaining_Time[#Headers],Upgrades[#Headers],0),FALSE),0)*MAX(0,SUM('Construction Dashboard'!$G61:M61)),0)</f>
        <v>0</v>
      </c>
      <c r="M111" s="54">
        <f ca="1">IF(VALUE(Remaining_Time[#Headers])&lt;='Construction Dashboard'!$F61,IFERROR(VLOOKUP(Remaining_Time[[#This Row],[Time]],Upgrades[],MATCH("T"&amp;Remaining_Time[#Headers],Upgrades[#Headers],0),FALSE),0)*MAX(0,SUM('Construction Dashboard'!$G61:N61)),0)</f>
        <v>0</v>
      </c>
      <c r="N111" s="54">
        <f ca="1">IF(VALUE(Remaining_Time[#Headers])&lt;='Construction Dashboard'!$F61,IFERROR(VLOOKUP(Remaining_Time[[#This Row],[Time]],Upgrades[],MATCH("T"&amp;Remaining_Time[#Headers],Upgrades[#Headers],0),FALSE),0)*MAX(0,SUM('Construction Dashboard'!$G61:O61)),0)</f>
        <v>0</v>
      </c>
      <c r="O111" s="54">
        <f ca="1">IF(VALUE(Remaining_Time[#Headers])&lt;='Construction Dashboard'!$F61,IFERROR(VLOOKUP(Remaining_Time[[#This Row],[Time]],Upgrades[],MATCH("T"&amp;Remaining_Time[#Headers],Upgrades[#Headers],0),FALSE),0)*MAX(0,SUM('Construction Dashboard'!$G61:P61)),0)</f>
        <v>0</v>
      </c>
      <c r="P111" s="54">
        <f ca="1">IF(VALUE(Remaining_Time[#Headers])&lt;='Construction Dashboard'!$F61,IFERROR(VLOOKUP(Remaining_Time[[#This Row],[Time]],Upgrades[],MATCH("T"&amp;Remaining_Time[#Headers],Upgrades[#Headers],0),FALSE),0)*MAX(0,SUM('Construction Dashboard'!$G61:Q61)),0)</f>
        <v>0</v>
      </c>
      <c r="Q111" s="54">
        <f ca="1">IF(VALUE(Remaining_Time[#Headers])&lt;='Construction Dashboard'!$F61,IFERROR(VLOOKUP(Remaining_Time[[#This Row],[Time]],Upgrades[],MATCH("T"&amp;Remaining_Time[#Headers],Upgrades[#Headers],0),FALSE),0)*MAX(0,SUM('Construction Dashboard'!$G61:R61)),0)</f>
        <v>0</v>
      </c>
      <c r="R111" s="54">
        <f ca="1">IF(Remaining_Time[[#This Row],[MatchStr]]="IGNORE",0,SUM(Remaining_Time[[#This Row],[1]:[12]]))</f>
        <v>0</v>
      </c>
    </row>
    <row r="112" spans="1:18">
      <c r="A112" s="11" t="s">
        <v>91</v>
      </c>
      <c r="B112" s="49" t="str">
        <f>VLOOKUP(Remaining_Time[[#This Row],[Time]],Upgrades[],MATCH("Kind",Upgrades[#Headers],0),FALSE)</f>
        <v>Upgrade</v>
      </c>
      <c r="C112" s="49" t="str">
        <f>VLOOKUP(Remaining_Time[[#This Row],[Time]],Upgrades[],MATCH("Resource",Upgrades[#Headers],0),FALSE)</f>
        <v>Elixir</v>
      </c>
      <c r="D112" s="116" t="str">
        <f>IF(COUNTIF(Skips,Remaining_Time[[#This Row],[Time]])&gt;0,"IGNORE",Remaining_Time[Kind]&amp;"-"&amp;Remaining_Time[Resource])</f>
        <v>Upgrade-Elixir</v>
      </c>
      <c r="E112" s="47" t="str">
        <f ca="1">IFERROR(VLOOKUP(Remaining_Time[[#This Row],[Time]],Upgrades[],MATCH("T"&amp;MATCH(TRUE,INDEX(Remaining_Time[[#This Row],[1]:[12]]&lt;&gt;0,),0),Upgrades[#Headers],0),FALSE),"")</f>
        <v/>
      </c>
      <c r="F112" s="54">
        <f ca="1">IF(VALUE(Remaining_Time[#Headers])&lt;='Construction Dashboard'!$F62,IFERROR(VLOOKUP(Remaining_Time[[#This Row],[Time]],Upgrades[],MATCH("T"&amp;Remaining_Time[#Headers],Upgrades[#Headers],0),FALSE),0)*MAX(0,SUM('Construction Dashboard'!$G62:G62)),0)</f>
        <v>0</v>
      </c>
      <c r="G112" s="54">
        <f ca="1">IF(VALUE(Remaining_Time[#Headers])&lt;='Construction Dashboard'!$F62,IFERROR(VLOOKUP(Remaining_Time[[#This Row],[Time]],Upgrades[],MATCH("T"&amp;Remaining_Time[#Headers],Upgrades[#Headers],0),FALSE),0)*MAX(0,SUM('Construction Dashboard'!$G62:H62)),0)</f>
        <v>0</v>
      </c>
      <c r="H112" s="54">
        <f ca="1">IF(VALUE(Remaining_Time[#Headers])&lt;='Construction Dashboard'!$F62,IFERROR(VLOOKUP(Remaining_Time[[#This Row],[Time]],Upgrades[],MATCH("T"&amp;Remaining_Time[#Headers],Upgrades[#Headers],0),FALSE),0)*MAX(0,SUM('Construction Dashboard'!$G62:I62)),0)</f>
        <v>0</v>
      </c>
      <c r="I112" s="54">
        <f ca="1">IF(VALUE(Remaining_Time[#Headers])&lt;='Construction Dashboard'!$F62,IFERROR(VLOOKUP(Remaining_Time[[#This Row],[Time]],Upgrades[],MATCH("T"&amp;Remaining_Time[#Headers],Upgrades[#Headers],0),FALSE),0)*MAX(0,SUM('Construction Dashboard'!$G62:J62)),0)</f>
        <v>0</v>
      </c>
      <c r="J112" s="54">
        <f ca="1">IF(VALUE(Remaining_Time[#Headers])&lt;='Construction Dashboard'!$F62,IFERROR(VLOOKUP(Remaining_Time[[#This Row],[Time]],Upgrades[],MATCH("T"&amp;Remaining_Time[#Headers],Upgrades[#Headers],0),FALSE),0)*MAX(0,SUM('Construction Dashboard'!$G62:K62)),0)</f>
        <v>0</v>
      </c>
      <c r="K112" s="54">
        <f ca="1">IF(VALUE(Remaining_Time[#Headers])&lt;='Construction Dashboard'!$F62,IFERROR(VLOOKUP(Remaining_Time[[#This Row],[Time]],Upgrades[],MATCH("T"&amp;Remaining_Time[#Headers],Upgrades[#Headers],0),FALSE),0)*MAX(0,SUM('Construction Dashboard'!$G62:L62)),0)</f>
        <v>0</v>
      </c>
      <c r="L112" s="54">
        <f ca="1">IF(VALUE(Remaining_Time[#Headers])&lt;='Construction Dashboard'!$F62,IFERROR(VLOOKUP(Remaining_Time[[#This Row],[Time]],Upgrades[],MATCH("T"&amp;Remaining_Time[#Headers],Upgrades[#Headers],0),FALSE),0)*MAX(0,SUM('Construction Dashboard'!$G62:M62)),0)</f>
        <v>0</v>
      </c>
      <c r="M112" s="54">
        <f ca="1">IF(VALUE(Remaining_Time[#Headers])&lt;='Construction Dashboard'!$F62,IFERROR(VLOOKUP(Remaining_Time[[#This Row],[Time]],Upgrades[],MATCH("T"&amp;Remaining_Time[#Headers],Upgrades[#Headers],0),FALSE),0)*MAX(0,SUM('Construction Dashboard'!$G62:N62)),0)</f>
        <v>0</v>
      </c>
      <c r="N112" s="54">
        <f ca="1">IF(VALUE(Remaining_Time[#Headers])&lt;='Construction Dashboard'!$F62,IFERROR(VLOOKUP(Remaining_Time[[#This Row],[Time]],Upgrades[],MATCH("T"&amp;Remaining_Time[#Headers],Upgrades[#Headers],0),FALSE),0)*MAX(0,SUM('Construction Dashboard'!$G62:O62)),0)</f>
        <v>0</v>
      </c>
      <c r="O112" s="54">
        <f ca="1">IF(VALUE(Remaining_Time[#Headers])&lt;='Construction Dashboard'!$F62,IFERROR(VLOOKUP(Remaining_Time[[#This Row],[Time]],Upgrades[],MATCH("T"&amp;Remaining_Time[#Headers],Upgrades[#Headers],0),FALSE),0)*MAX(0,SUM('Construction Dashboard'!$G62:P62)),0)</f>
        <v>0</v>
      </c>
      <c r="P112" s="54">
        <f ca="1">IF(VALUE(Remaining_Time[#Headers])&lt;='Construction Dashboard'!$F62,IFERROR(VLOOKUP(Remaining_Time[[#This Row],[Time]],Upgrades[],MATCH("T"&amp;Remaining_Time[#Headers],Upgrades[#Headers],0),FALSE),0)*MAX(0,SUM('Construction Dashboard'!$G62:Q62)),0)</f>
        <v>0</v>
      </c>
      <c r="Q112" s="54">
        <f ca="1">IF(VALUE(Remaining_Time[#Headers])&lt;='Construction Dashboard'!$F62,IFERROR(VLOOKUP(Remaining_Time[[#This Row],[Time]],Upgrades[],MATCH("T"&amp;Remaining_Time[#Headers],Upgrades[#Headers],0),FALSE),0)*MAX(0,SUM('Construction Dashboard'!$G62:R62)),0)</f>
        <v>0</v>
      </c>
      <c r="R112" s="54">
        <f ca="1">IF(Remaining_Time[[#This Row],[MatchStr]]="IGNORE",0,SUM(Remaining_Time[[#This Row],[1]:[12]]))</f>
        <v>0</v>
      </c>
    </row>
    <row r="113" spans="1:18">
      <c r="A113" s="11" t="s">
        <v>92</v>
      </c>
      <c r="B113" s="49" t="str">
        <f>VLOOKUP(Remaining_Time[[#This Row],[Time]],Upgrades[],MATCH("Kind",Upgrades[#Headers],0),FALSE)</f>
        <v>Upgrade</v>
      </c>
      <c r="C113" s="49" t="str">
        <f>VLOOKUP(Remaining_Time[[#This Row],[Time]],Upgrades[],MATCH("Resource",Upgrades[#Headers],0),FALSE)</f>
        <v>Elixir</v>
      </c>
      <c r="D113" s="116" t="str">
        <f>IF(COUNTIF(Skips,Remaining_Time[[#This Row],[Time]])&gt;0,"IGNORE",Remaining_Time[Kind]&amp;"-"&amp;Remaining_Time[Resource])</f>
        <v>Upgrade-Elixir</v>
      </c>
      <c r="E113" s="47" t="str">
        <f ca="1">IFERROR(VLOOKUP(Remaining_Time[[#This Row],[Time]],Upgrades[],MATCH("T"&amp;MATCH(TRUE,INDEX(Remaining_Time[[#This Row],[1]:[12]]&lt;&gt;0,),0),Upgrades[#Headers],0),FALSE),"")</f>
        <v/>
      </c>
      <c r="F113" s="54">
        <f ca="1">IF(VALUE(Remaining_Time[#Headers])&lt;='Construction Dashboard'!$F63,IFERROR(VLOOKUP(Remaining_Time[[#This Row],[Time]],Upgrades[],MATCH("T"&amp;Remaining_Time[#Headers],Upgrades[#Headers],0),FALSE),0)*MAX(0,SUM('Construction Dashboard'!$G63:G63)),0)</f>
        <v>0</v>
      </c>
      <c r="G113" s="54">
        <f ca="1">IF(VALUE(Remaining_Time[#Headers])&lt;='Construction Dashboard'!$F63,IFERROR(VLOOKUP(Remaining_Time[[#This Row],[Time]],Upgrades[],MATCH("T"&amp;Remaining_Time[#Headers],Upgrades[#Headers],0),FALSE),0)*MAX(0,SUM('Construction Dashboard'!$G63:H63)),0)</f>
        <v>0</v>
      </c>
      <c r="H113" s="54">
        <f ca="1">IF(VALUE(Remaining_Time[#Headers])&lt;='Construction Dashboard'!$F63,IFERROR(VLOOKUP(Remaining_Time[[#This Row],[Time]],Upgrades[],MATCH("T"&amp;Remaining_Time[#Headers],Upgrades[#Headers],0),FALSE),0)*MAX(0,SUM('Construction Dashboard'!$G63:I63)),0)</f>
        <v>0</v>
      </c>
      <c r="I113" s="54">
        <f ca="1">IF(VALUE(Remaining_Time[#Headers])&lt;='Construction Dashboard'!$F63,IFERROR(VLOOKUP(Remaining_Time[[#This Row],[Time]],Upgrades[],MATCH("T"&amp;Remaining_Time[#Headers],Upgrades[#Headers],0),FALSE),0)*MAX(0,SUM('Construction Dashboard'!$G63:J63)),0)</f>
        <v>0</v>
      </c>
      <c r="J113" s="54">
        <f ca="1">IF(VALUE(Remaining_Time[#Headers])&lt;='Construction Dashboard'!$F63,IFERROR(VLOOKUP(Remaining_Time[[#This Row],[Time]],Upgrades[],MATCH("T"&amp;Remaining_Time[#Headers],Upgrades[#Headers],0),FALSE),0)*MAX(0,SUM('Construction Dashboard'!$G63:K63)),0)</f>
        <v>0</v>
      </c>
      <c r="K113" s="54">
        <f ca="1">IF(VALUE(Remaining_Time[#Headers])&lt;='Construction Dashboard'!$F63,IFERROR(VLOOKUP(Remaining_Time[[#This Row],[Time]],Upgrades[],MATCH("T"&amp;Remaining_Time[#Headers],Upgrades[#Headers],0),FALSE),0)*MAX(0,SUM('Construction Dashboard'!$G63:L63)),0)</f>
        <v>0</v>
      </c>
      <c r="L113" s="54">
        <f ca="1">IF(VALUE(Remaining_Time[#Headers])&lt;='Construction Dashboard'!$F63,IFERROR(VLOOKUP(Remaining_Time[[#This Row],[Time]],Upgrades[],MATCH("T"&amp;Remaining_Time[#Headers],Upgrades[#Headers],0),FALSE),0)*MAX(0,SUM('Construction Dashboard'!$G63:M63)),0)</f>
        <v>0</v>
      </c>
      <c r="M113" s="54">
        <f ca="1">IF(VALUE(Remaining_Time[#Headers])&lt;='Construction Dashboard'!$F63,IFERROR(VLOOKUP(Remaining_Time[[#This Row],[Time]],Upgrades[],MATCH("T"&amp;Remaining_Time[#Headers],Upgrades[#Headers],0),FALSE),0)*MAX(0,SUM('Construction Dashboard'!$G63:N63)),0)</f>
        <v>0</v>
      </c>
      <c r="N113" s="54">
        <f ca="1">IF(VALUE(Remaining_Time[#Headers])&lt;='Construction Dashboard'!$F63,IFERROR(VLOOKUP(Remaining_Time[[#This Row],[Time]],Upgrades[],MATCH("T"&amp;Remaining_Time[#Headers],Upgrades[#Headers],0),FALSE),0)*MAX(0,SUM('Construction Dashboard'!$G63:O63)),0)</f>
        <v>0</v>
      </c>
      <c r="O113" s="54">
        <f ca="1">IF(VALUE(Remaining_Time[#Headers])&lt;='Construction Dashboard'!$F63,IFERROR(VLOOKUP(Remaining_Time[[#This Row],[Time]],Upgrades[],MATCH("T"&amp;Remaining_Time[#Headers],Upgrades[#Headers],0),FALSE),0)*MAX(0,SUM('Construction Dashboard'!$G63:P63)),0)</f>
        <v>0</v>
      </c>
      <c r="P113" s="54">
        <f ca="1">IF(VALUE(Remaining_Time[#Headers])&lt;='Construction Dashboard'!$F63,IFERROR(VLOOKUP(Remaining_Time[[#This Row],[Time]],Upgrades[],MATCH("T"&amp;Remaining_Time[#Headers],Upgrades[#Headers],0),FALSE),0)*MAX(0,SUM('Construction Dashboard'!$G63:Q63)),0)</f>
        <v>0</v>
      </c>
      <c r="Q113" s="54">
        <f ca="1">IF(VALUE(Remaining_Time[#Headers])&lt;='Construction Dashboard'!$F63,IFERROR(VLOOKUP(Remaining_Time[[#This Row],[Time]],Upgrades[],MATCH("T"&amp;Remaining_Time[#Headers],Upgrades[#Headers],0),FALSE),0)*MAX(0,SUM('Construction Dashboard'!$G63:R63)),0)</f>
        <v>0</v>
      </c>
      <c r="R113" s="54">
        <f ca="1">IF(Remaining_Time[[#This Row],[MatchStr]]="IGNORE",0,SUM(Remaining_Time[[#This Row],[1]:[12]]))</f>
        <v>0</v>
      </c>
    </row>
    <row r="114" spans="1:18">
      <c r="A114" s="11" t="s">
        <v>93</v>
      </c>
      <c r="B114" s="49" t="str">
        <f>VLOOKUP(Remaining_Time[[#This Row],[Time]],Upgrades[],MATCH("Kind",Upgrades[#Headers],0),FALSE)</f>
        <v>Upgrade</v>
      </c>
      <c r="C114" s="49" t="str">
        <f>VLOOKUP(Remaining_Time[[#This Row],[Time]],Upgrades[],MATCH("Resource",Upgrades[#Headers],0),FALSE)</f>
        <v>Elixir</v>
      </c>
      <c r="D114" s="116" t="str">
        <f>IF(COUNTIF(Skips,Remaining_Time[[#This Row],[Time]])&gt;0,"IGNORE",Remaining_Time[Kind]&amp;"-"&amp;Remaining_Time[Resource])</f>
        <v>Upgrade-Elixir</v>
      </c>
      <c r="E114" s="47" t="str">
        <f ca="1">IFERROR(VLOOKUP(Remaining_Time[[#This Row],[Time]],Upgrades[],MATCH("T"&amp;MATCH(TRUE,INDEX(Remaining_Time[[#This Row],[1]:[12]]&lt;&gt;0,),0),Upgrades[#Headers],0),FALSE),"")</f>
        <v/>
      </c>
      <c r="F114" s="54">
        <f ca="1">IF(VALUE(Remaining_Time[#Headers])&lt;='Construction Dashboard'!$F64,IFERROR(VLOOKUP(Remaining_Time[[#This Row],[Time]],Upgrades[],MATCH("T"&amp;Remaining_Time[#Headers],Upgrades[#Headers],0),FALSE),0)*MAX(0,SUM('Construction Dashboard'!$G64:G64)),0)</f>
        <v>0</v>
      </c>
      <c r="G114" s="54">
        <f ca="1">IF(VALUE(Remaining_Time[#Headers])&lt;='Construction Dashboard'!$F64,IFERROR(VLOOKUP(Remaining_Time[[#This Row],[Time]],Upgrades[],MATCH("T"&amp;Remaining_Time[#Headers],Upgrades[#Headers],0),FALSE),0)*MAX(0,SUM('Construction Dashboard'!$G64:H64)),0)</f>
        <v>0</v>
      </c>
      <c r="H114" s="54">
        <f ca="1">IF(VALUE(Remaining_Time[#Headers])&lt;='Construction Dashboard'!$F64,IFERROR(VLOOKUP(Remaining_Time[[#This Row],[Time]],Upgrades[],MATCH("T"&amp;Remaining_Time[#Headers],Upgrades[#Headers],0),FALSE),0)*MAX(0,SUM('Construction Dashboard'!$G64:I64)),0)</f>
        <v>0</v>
      </c>
      <c r="I114" s="54">
        <f ca="1">IF(VALUE(Remaining_Time[#Headers])&lt;='Construction Dashboard'!$F64,IFERROR(VLOOKUP(Remaining_Time[[#This Row],[Time]],Upgrades[],MATCH("T"&amp;Remaining_Time[#Headers],Upgrades[#Headers],0),FALSE),0)*MAX(0,SUM('Construction Dashboard'!$G64:J64)),0)</f>
        <v>0</v>
      </c>
      <c r="J114" s="54">
        <f ca="1">IF(VALUE(Remaining_Time[#Headers])&lt;='Construction Dashboard'!$F64,IFERROR(VLOOKUP(Remaining_Time[[#This Row],[Time]],Upgrades[],MATCH("T"&amp;Remaining_Time[#Headers],Upgrades[#Headers],0),FALSE),0)*MAX(0,SUM('Construction Dashboard'!$G64:K64)),0)</f>
        <v>0</v>
      </c>
      <c r="K114" s="54">
        <f ca="1">IF(VALUE(Remaining_Time[#Headers])&lt;='Construction Dashboard'!$F64,IFERROR(VLOOKUP(Remaining_Time[[#This Row],[Time]],Upgrades[],MATCH("T"&amp;Remaining_Time[#Headers],Upgrades[#Headers],0),FALSE),0)*MAX(0,SUM('Construction Dashboard'!$G64:L64)),0)</f>
        <v>0</v>
      </c>
      <c r="L114" s="54">
        <f ca="1">IF(VALUE(Remaining_Time[#Headers])&lt;='Construction Dashboard'!$F64,IFERROR(VLOOKUP(Remaining_Time[[#This Row],[Time]],Upgrades[],MATCH("T"&amp;Remaining_Time[#Headers],Upgrades[#Headers],0),FALSE),0)*MAX(0,SUM('Construction Dashboard'!$G64:M64)),0)</f>
        <v>0</v>
      </c>
      <c r="M114" s="54">
        <f ca="1">IF(VALUE(Remaining_Time[#Headers])&lt;='Construction Dashboard'!$F64,IFERROR(VLOOKUP(Remaining_Time[[#This Row],[Time]],Upgrades[],MATCH("T"&amp;Remaining_Time[#Headers],Upgrades[#Headers],0),FALSE),0)*MAX(0,SUM('Construction Dashboard'!$G64:N64)),0)</f>
        <v>0</v>
      </c>
      <c r="N114" s="54">
        <f ca="1">IF(VALUE(Remaining_Time[#Headers])&lt;='Construction Dashboard'!$F64,IFERROR(VLOOKUP(Remaining_Time[[#This Row],[Time]],Upgrades[],MATCH("T"&amp;Remaining_Time[#Headers],Upgrades[#Headers],0),FALSE),0)*MAX(0,SUM('Construction Dashboard'!$G64:O64)),0)</f>
        <v>0</v>
      </c>
      <c r="O114" s="54">
        <f ca="1">IF(VALUE(Remaining_Time[#Headers])&lt;='Construction Dashboard'!$F64,IFERROR(VLOOKUP(Remaining_Time[[#This Row],[Time]],Upgrades[],MATCH("T"&amp;Remaining_Time[#Headers],Upgrades[#Headers],0),FALSE),0)*MAX(0,SUM('Construction Dashboard'!$G64:P64)),0)</f>
        <v>0</v>
      </c>
      <c r="P114" s="54">
        <f ca="1">IF(VALUE(Remaining_Time[#Headers])&lt;='Construction Dashboard'!$F64,IFERROR(VLOOKUP(Remaining_Time[[#This Row],[Time]],Upgrades[],MATCH("T"&amp;Remaining_Time[#Headers],Upgrades[#Headers],0),FALSE),0)*MAX(0,SUM('Construction Dashboard'!$G64:Q64)),0)</f>
        <v>0</v>
      </c>
      <c r="Q114" s="54">
        <f ca="1">IF(VALUE(Remaining_Time[#Headers])&lt;='Construction Dashboard'!$F64,IFERROR(VLOOKUP(Remaining_Time[[#This Row],[Time]],Upgrades[],MATCH("T"&amp;Remaining_Time[#Headers],Upgrades[#Headers],0),FALSE),0)*MAX(0,SUM('Construction Dashboard'!$G64:R64)),0)</f>
        <v>0</v>
      </c>
      <c r="R114" s="54">
        <f ca="1">IF(Remaining_Time[[#This Row],[MatchStr]]="IGNORE",0,SUM(Remaining_Time[[#This Row],[1]:[12]]))</f>
        <v>0</v>
      </c>
    </row>
    <row r="115" spans="1:18">
      <c r="A115" s="11" t="s">
        <v>94</v>
      </c>
      <c r="B115" s="49" t="str">
        <f>VLOOKUP(Remaining_Time[[#This Row],[Time]],Upgrades[],MATCH("Kind",Upgrades[#Headers],0),FALSE)</f>
        <v>Upgrade</v>
      </c>
      <c r="C115" s="49" t="str">
        <f>VLOOKUP(Remaining_Time[[#This Row],[Time]],Upgrades[],MATCH("Resource",Upgrades[#Headers],0),FALSE)</f>
        <v>Elixir</v>
      </c>
      <c r="D115" s="116" t="str">
        <f>IF(COUNTIF(Skips,Remaining_Time[[#This Row],[Time]])&gt;0,"IGNORE",Remaining_Time[Kind]&amp;"-"&amp;Remaining_Time[Resource])</f>
        <v>Upgrade-Elixir</v>
      </c>
      <c r="E115" s="47" t="str">
        <f ca="1">IFERROR(VLOOKUP(Remaining_Time[[#This Row],[Time]],Upgrades[],MATCH("T"&amp;MATCH(TRUE,INDEX(Remaining_Time[[#This Row],[1]:[12]]&lt;&gt;0,),0),Upgrades[#Headers],0),FALSE),"")</f>
        <v/>
      </c>
      <c r="F115" s="54">
        <f ca="1">IF(VALUE(Remaining_Time[#Headers])&lt;='Construction Dashboard'!$F65,IFERROR(VLOOKUP(Remaining_Time[[#This Row],[Time]],Upgrades[],MATCH("T"&amp;Remaining_Time[#Headers],Upgrades[#Headers],0),FALSE),0)*MAX(0,SUM('Construction Dashboard'!$G65:G65)),0)</f>
        <v>0</v>
      </c>
      <c r="G115" s="54">
        <f ca="1">IF(VALUE(Remaining_Time[#Headers])&lt;='Construction Dashboard'!$F65,IFERROR(VLOOKUP(Remaining_Time[[#This Row],[Time]],Upgrades[],MATCH("T"&amp;Remaining_Time[#Headers],Upgrades[#Headers],0),FALSE),0)*MAX(0,SUM('Construction Dashboard'!$G65:H65)),0)</f>
        <v>0</v>
      </c>
      <c r="H115" s="54">
        <f ca="1">IF(VALUE(Remaining_Time[#Headers])&lt;='Construction Dashboard'!$F65,IFERROR(VLOOKUP(Remaining_Time[[#This Row],[Time]],Upgrades[],MATCH("T"&amp;Remaining_Time[#Headers],Upgrades[#Headers],0),FALSE),0)*MAX(0,SUM('Construction Dashboard'!$G65:I65)),0)</f>
        <v>0</v>
      </c>
      <c r="I115" s="54">
        <f ca="1">IF(VALUE(Remaining_Time[#Headers])&lt;='Construction Dashboard'!$F65,IFERROR(VLOOKUP(Remaining_Time[[#This Row],[Time]],Upgrades[],MATCH("T"&amp;Remaining_Time[#Headers],Upgrades[#Headers],0),FALSE),0)*MAX(0,SUM('Construction Dashboard'!$G65:J65)),0)</f>
        <v>0</v>
      </c>
      <c r="J115" s="54">
        <f ca="1">IF(VALUE(Remaining_Time[#Headers])&lt;='Construction Dashboard'!$F65,IFERROR(VLOOKUP(Remaining_Time[[#This Row],[Time]],Upgrades[],MATCH("T"&amp;Remaining_Time[#Headers],Upgrades[#Headers],0),FALSE),0)*MAX(0,SUM('Construction Dashboard'!$G65:K65)),0)</f>
        <v>0</v>
      </c>
      <c r="K115" s="54">
        <f ca="1">IF(VALUE(Remaining_Time[#Headers])&lt;='Construction Dashboard'!$F65,IFERROR(VLOOKUP(Remaining_Time[[#This Row],[Time]],Upgrades[],MATCH("T"&amp;Remaining_Time[#Headers],Upgrades[#Headers],0),FALSE),0)*MAX(0,SUM('Construction Dashboard'!$G65:L65)),0)</f>
        <v>0</v>
      </c>
      <c r="L115" s="54">
        <f ca="1">IF(VALUE(Remaining_Time[#Headers])&lt;='Construction Dashboard'!$F65,IFERROR(VLOOKUP(Remaining_Time[[#This Row],[Time]],Upgrades[],MATCH("T"&amp;Remaining_Time[#Headers],Upgrades[#Headers],0),FALSE),0)*MAX(0,SUM('Construction Dashboard'!$G65:M65)),0)</f>
        <v>0</v>
      </c>
      <c r="M115" s="54">
        <f ca="1">IF(VALUE(Remaining_Time[#Headers])&lt;='Construction Dashboard'!$F65,IFERROR(VLOOKUP(Remaining_Time[[#This Row],[Time]],Upgrades[],MATCH("T"&amp;Remaining_Time[#Headers],Upgrades[#Headers],0),FALSE),0)*MAX(0,SUM('Construction Dashboard'!$G65:N65)),0)</f>
        <v>0</v>
      </c>
      <c r="N115" s="54">
        <f ca="1">IF(VALUE(Remaining_Time[#Headers])&lt;='Construction Dashboard'!$F65,IFERROR(VLOOKUP(Remaining_Time[[#This Row],[Time]],Upgrades[],MATCH("T"&amp;Remaining_Time[#Headers],Upgrades[#Headers],0),FALSE),0)*MAX(0,SUM('Construction Dashboard'!$G65:O65)),0)</f>
        <v>0</v>
      </c>
      <c r="O115" s="54">
        <f ca="1">IF(VALUE(Remaining_Time[#Headers])&lt;='Construction Dashboard'!$F65,IFERROR(VLOOKUP(Remaining_Time[[#This Row],[Time]],Upgrades[],MATCH("T"&amp;Remaining_Time[#Headers],Upgrades[#Headers],0),FALSE),0)*MAX(0,SUM('Construction Dashboard'!$G65:P65)),0)</f>
        <v>0</v>
      </c>
      <c r="P115" s="54">
        <f ca="1">IF(VALUE(Remaining_Time[#Headers])&lt;='Construction Dashboard'!$F65,IFERROR(VLOOKUP(Remaining_Time[[#This Row],[Time]],Upgrades[],MATCH("T"&amp;Remaining_Time[#Headers],Upgrades[#Headers],0),FALSE),0)*MAX(0,SUM('Construction Dashboard'!$G65:Q65)),0)</f>
        <v>0</v>
      </c>
      <c r="Q115" s="54">
        <f ca="1">IF(VALUE(Remaining_Time[#Headers])&lt;='Construction Dashboard'!$F65,IFERROR(VLOOKUP(Remaining_Time[[#This Row],[Time]],Upgrades[],MATCH("T"&amp;Remaining_Time[#Headers],Upgrades[#Headers],0),FALSE),0)*MAX(0,SUM('Construction Dashboard'!$G65:R65)),0)</f>
        <v>0</v>
      </c>
      <c r="R115" s="54">
        <f ca="1">IF(Remaining_Time[[#This Row],[MatchStr]]="IGNORE",0,SUM(Remaining_Time[[#This Row],[1]:[12]]))</f>
        <v>0</v>
      </c>
    </row>
    <row r="116" spans="1:18">
      <c r="A116" s="11" t="s">
        <v>95</v>
      </c>
      <c r="B116" s="49" t="str">
        <f>VLOOKUP(Remaining_Time[[#This Row],[Time]],Upgrades[],MATCH("Kind",Upgrades[#Headers],0),FALSE)</f>
        <v>Upgrade</v>
      </c>
      <c r="C116" s="49" t="str">
        <f>VLOOKUP(Remaining_Time[[#This Row],[Time]],Upgrades[],MATCH("Resource",Upgrades[#Headers],0),FALSE)</f>
        <v>Elixir</v>
      </c>
      <c r="D116" s="116" t="str">
        <f>IF(COUNTIF(Skips,Remaining_Time[[#This Row],[Time]])&gt;0,"IGNORE",Remaining_Time[Kind]&amp;"-"&amp;Remaining_Time[Resource])</f>
        <v>Upgrade-Elixir</v>
      </c>
      <c r="E116" s="47" t="str">
        <f ca="1">IFERROR(VLOOKUP(Remaining_Time[[#This Row],[Time]],Upgrades[],MATCH("T"&amp;MATCH(TRUE,INDEX(Remaining_Time[[#This Row],[1]:[12]]&lt;&gt;0,),0),Upgrades[#Headers],0),FALSE),"")</f>
        <v/>
      </c>
      <c r="F116" s="54">
        <f ca="1">IF(VALUE(Remaining_Time[#Headers])&lt;='Construction Dashboard'!$F66,IFERROR(VLOOKUP(Remaining_Time[[#This Row],[Time]],Upgrades[],MATCH("T"&amp;Remaining_Time[#Headers],Upgrades[#Headers],0),FALSE),0)*MAX(0,SUM('Construction Dashboard'!$G66:G66)),0)</f>
        <v>0</v>
      </c>
      <c r="G116" s="54">
        <f ca="1">IF(VALUE(Remaining_Time[#Headers])&lt;='Construction Dashboard'!$F66,IFERROR(VLOOKUP(Remaining_Time[[#This Row],[Time]],Upgrades[],MATCH("T"&amp;Remaining_Time[#Headers],Upgrades[#Headers],0),FALSE),0)*MAX(0,SUM('Construction Dashboard'!$G66:H66)),0)</f>
        <v>0</v>
      </c>
      <c r="H116" s="54">
        <f ca="1">IF(VALUE(Remaining_Time[#Headers])&lt;='Construction Dashboard'!$F66,IFERROR(VLOOKUP(Remaining_Time[[#This Row],[Time]],Upgrades[],MATCH("T"&amp;Remaining_Time[#Headers],Upgrades[#Headers],0),FALSE),0)*MAX(0,SUM('Construction Dashboard'!$G66:I66)),0)</f>
        <v>0</v>
      </c>
      <c r="I116" s="54">
        <f ca="1">IF(VALUE(Remaining_Time[#Headers])&lt;='Construction Dashboard'!$F66,IFERROR(VLOOKUP(Remaining_Time[[#This Row],[Time]],Upgrades[],MATCH("T"&amp;Remaining_Time[#Headers],Upgrades[#Headers],0),FALSE),0)*MAX(0,SUM('Construction Dashboard'!$G66:J66)),0)</f>
        <v>0</v>
      </c>
      <c r="J116" s="54">
        <f ca="1">IF(VALUE(Remaining_Time[#Headers])&lt;='Construction Dashboard'!$F66,IFERROR(VLOOKUP(Remaining_Time[[#This Row],[Time]],Upgrades[],MATCH("T"&amp;Remaining_Time[#Headers],Upgrades[#Headers],0),FALSE),0)*MAX(0,SUM('Construction Dashboard'!$G66:K66)),0)</f>
        <v>0</v>
      </c>
      <c r="K116" s="54">
        <f ca="1">IF(VALUE(Remaining_Time[#Headers])&lt;='Construction Dashboard'!$F66,IFERROR(VLOOKUP(Remaining_Time[[#This Row],[Time]],Upgrades[],MATCH("T"&amp;Remaining_Time[#Headers],Upgrades[#Headers],0),FALSE),0)*MAX(0,SUM('Construction Dashboard'!$G66:L66)),0)</f>
        <v>0</v>
      </c>
      <c r="L116" s="54">
        <f ca="1">IF(VALUE(Remaining_Time[#Headers])&lt;='Construction Dashboard'!$F66,IFERROR(VLOOKUP(Remaining_Time[[#This Row],[Time]],Upgrades[],MATCH("T"&amp;Remaining_Time[#Headers],Upgrades[#Headers],0),FALSE),0)*MAX(0,SUM('Construction Dashboard'!$G66:M66)),0)</f>
        <v>0</v>
      </c>
      <c r="M116" s="54">
        <f ca="1">IF(VALUE(Remaining_Time[#Headers])&lt;='Construction Dashboard'!$F66,IFERROR(VLOOKUP(Remaining_Time[[#This Row],[Time]],Upgrades[],MATCH("T"&amp;Remaining_Time[#Headers],Upgrades[#Headers],0),FALSE),0)*MAX(0,SUM('Construction Dashboard'!$G66:N66)),0)</f>
        <v>0</v>
      </c>
      <c r="N116" s="54">
        <f ca="1">IF(VALUE(Remaining_Time[#Headers])&lt;='Construction Dashboard'!$F66,IFERROR(VLOOKUP(Remaining_Time[[#This Row],[Time]],Upgrades[],MATCH("T"&amp;Remaining_Time[#Headers],Upgrades[#Headers],0),FALSE),0)*MAX(0,SUM('Construction Dashboard'!$G66:O66)),0)</f>
        <v>0</v>
      </c>
      <c r="O116" s="54">
        <f ca="1">IF(VALUE(Remaining_Time[#Headers])&lt;='Construction Dashboard'!$F66,IFERROR(VLOOKUP(Remaining_Time[[#This Row],[Time]],Upgrades[],MATCH("T"&amp;Remaining_Time[#Headers],Upgrades[#Headers],0),FALSE),0)*MAX(0,SUM('Construction Dashboard'!$G66:P66)),0)</f>
        <v>0</v>
      </c>
      <c r="P116" s="54">
        <f ca="1">IF(VALUE(Remaining_Time[#Headers])&lt;='Construction Dashboard'!$F66,IFERROR(VLOOKUP(Remaining_Time[[#This Row],[Time]],Upgrades[],MATCH("T"&amp;Remaining_Time[#Headers],Upgrades[#Headers],0),FALSE),0)*MAX(0,SUM('Construction Dashboard'!$G66:Q66)),0)</f>
        <v>0</v>
      </c>
      <c r="Q116" s="54">
        <f ca="1">IF(VALUE(Remaining_Time[#Headers])&lt;='Construction Dashboard'!$F66,IFERROR(VLOOKUP(Remaining_Time[[#This Row],[Time]],Upgrades[],MATCH("T"&amp;Remaining_Time[#Headers],Upgrades[#Headers],0),FALSE),0)*MAX(0,SUM('Construction Dashboard'!$G66:R66)),0)</f>
        <v>0</v>
      </c>
      <c r="R116" s="54">
        <f ca="1">IF(Remaining_Time[[#This Row],[MatchStr]]="IGNORE",0,SUM(Remaining_Time[[#This Row],[1]:[12]]))</f>
        <v>0</v>
      </c>
    </row>
    <row r="117" spans="1:18">
      <c r="A117" s="11" t="s">
        <v>96</v>
      </c>
      <c r="B117" s="49" t="str">
        <f>VLOOKUP(Remaining_Time[[#This Row],[Time]],Upgrades[],MATCH("Kind",Upgrades[#Headers],0),FALSE)</f>
        <v>Upgrade</v>
      </c>
      <c r="C117" s="49" t="str">
        <f>VLOOKUP(Remaining_Time[[#This Row],[Time]],Upgrades[],MATCH("Resource",Upgrades[#Headers],0),FALSE)</f>
        <v>Elixir</v>
      </c>
      <c r="D117" s="116" t="str">
        <f>IF(COUNTIF(Skips,Remaining_Time[[#This Row],[Time]])&gt;0,"IGNORE",Remaining_Time[Kind]&amp;"-"&amp;Remaining_Time[Resource])</f>
        <v>Upgrade-Elixir</v>
      </c>
      <c r="E117" s="47" t="str">
        <f ca="1">IFERROR(VLOOKUP(Remaining_Time[[#This Row],[Time]],Upgrades[],MATCH("T"&amp;MATCH(TRUE,INDEX(Remaining_Time[[#This Row],[1]:[12]]&lt;&gt;0,),0),Upgrades[#Headers],0),FALSE),"")</f>
        <v/>
      </c>
      <c r="F117" s="54">
        <f ca="1">IF(VALUE(Remaining_Time[#Headers])&lt;='Construction Dashboard'!$F67,IFERROR(VLOOKUP(Remaining_Time[[#This Row],[Time]],Upgrades[],MATCH("T"&amp;Remaining_Time[#Headers],Upgrades[#Headers],0),FALSE),0)*MAX(0,SUM('Construction Dashboard'!$G67:G67)),0)</f>
        <v>0</v>
      </c>
      <c r="G117" s="54">
        <f ca="1">IF(VALUE(Remaining_Time[#Headers])&lt;='Construction Dashboard'!$F67,IFERROR(VLOOKUP(Remaining_Time[[#This Row],[Time]],Upgrades[],MATCH("T"&amp;Remaining_Time[#Headers],Upgrades[#Headers],0),FALSE),0)*MAX(0,SUM('Construction Dashboard'!$G67:H67)),0)</f>
        <v>0</v>
      </c>
      <c r="H117" s="54">
        <f ca="1">IF(VALUE(Remaining_Time[#Headers])&lt;='Construction Dashboard'!$F67,IFERROR(VLOOKUP(Remaining_Time[[#This Row],[Time]],Upgrades[],MATCH("T"&amp;Remaining_Time[#Headers],Upgrades[#Headers],0),FALSE),0)*MAX(0,SUM('Construction Dashboard'!$G67:I67)),0)</f>
        <v>0</v>
      </c>
      <c r="I117" s="54">
        <f ca="1">IF(VALUE(Remaining_Time[#Headers])&lt;='Construction Dashboard'!$F67,IFERROR(VLOOKUP(Remaining_Time[[#This Row],[Time]],Upgrades[],MATCH("T"&amp;Remaining_Time[#Headers],Upgrades[#Headers],0),FALSE),0)*MAX(0,SUM('Construction Dashboard'!$G67:J67)),0)</f>
        <v>0</v>
      </c>
      <c r="J117" s="54">
        <f ca="1">IF(VALUE(Remaining_Time[#Headers])&lt;='Construction Dashboard'!$F67,IFERROR(VLOOKUP(Remaining_Time[[#This Row],[Time]],Upgrades[],MATCH("T"&amp;Remaining_Time[#Headers],Upgrades[#Headers],0),FALSE),0)*MAX(0,SUM('Construction Dashboard'!$G67:K67)),0)</f>
        <v>0</v>
      </c>
      <c r="K117" s="54">
        <f ca="1">IF(VALUE(Remaining_Time[#Headers])&lt;='Construction Dashboard'!$F67,IFERROR(VLOOKUP(Remaining_Time[[#This Row],[Time]],Upgrades[],MATCH("T"&amp;Remaining_Time[#Headers],Upgrades[#Headers],0),FALSE),0)*MAX(0,SUM('Construction Dashboard'!$G67:L67)),0)</f>
        <v>0</v>
      </c>
      <c r="L117" s="54">
        <f ca="1">IF(VALUE(Remaining_Time[#Headers])&lt;='Construction Dashboard'!$F67,IFERROR(VLOOKUP(Remaining_Time[[#This Row],[Time]],Upgrades[],MATCH("T"&amp;Remaining_Time[#Headers],Upgrades[#Headers],0),FALSE),0)*MAX(0,SUM('Construction Dashboard'!$G67:M67)),0)</f>
        <v>0</v>
      </c>
      <c r="M117" s="54">
        <f ca="1">IF(VALUE(Remaining_Time[#Headers])&lt;='Construction Dashboard'!$F67,IFERROR(VLOOKUP(Remaining_Time[[#This Row],[Time]],Upgrades[],MATCH("T"&amp;Remaining_Time[#Headers],Upgrades[#Headers],0),FALSE),0)*MAX(0,SUM('Construction Dashboard'!$G67:N67)),0)</f>
        <v>0</v>
      </c>
      <c r="N117" s="54">
        <f ca="1">IF(VALUE(Remaining_Time[#Headers])&lt;='Construction Dashboard'!$F67,IFERROR(VLOOKUP(Remaining_Time[[#This Row],[Time]],Upgrades[],MATCH("T"&amp;Remaining_Time[#Headers],Upgrades[#Headers],0),FALSE),0)*MAX(0,SUM('Construction Dashboard'!$G67:O67)),0)</f>
        <v>0</v>
      </c>
      <c r="O117" s="54">
        <f ca="1">IF(VALUE(Remaining_Time[#Headers])&lt;='Construction Dashboard'!$F67,IFERROR(VLOOKUP(Remaining_Time[[#This Row],[Time]],Upgrades[],MATCH("T"&amp;Remaining_Time[#Headers],Upgrades[#Headers],0),FALSE),0)*MAX(0,SUM('Construction Dashboard'!$G67:P67)),0)</f>
        <v>0</v>
      </c>
      <c r="P117" s="54">
        <f ca="1">IF(VALUE(Remaining_Time[#Headers])&lt;='Construction Dashboard'!$F67,IFERROR(VLOOKUP(Remaining_Time[[#This Row],[Time]],Upgrades[],MATCH("T"&amp;Remaining_Time[#Headers],Upgrades[#Headers],0),FALSE),0)*MAX(0,SUM('Construction Dashboard'!$G67:Q67)),0)</f>
        <v>0</v>
      </c>
      <c r="Q117" s="54">
        <f ca="1">IF(VALUE(Remaining_Time[#Headers])&lt;='Construction Dashboard'!$F67,IFERROR(VLOOKUP(Remaining_Time[[#This Row],[Time]],Upgrades[],MATCH("T"&amp;Remaining_Time[#Headers],Upgrades[#Headers],0),FALSE),0)*MAX(0,SUM('Construction Dashboard'!$G67:R67)),0)</f>
        <v>0</v>
      </c>
      <c r="R117" s="54">
        <f ca="1">IF(Remaining_Time[[#This Row],[MatchStr]]="IGNORE",0,SUM(Remaining_Time[[#This Row],[1]:[12]]))</f>
        <v>0</v>
      </c>
    </row>
    <row r="118" spans="1:18">
      <c r="A118" s="11" t="s">
        <v>97</v>
      </c>
      <c r="B118" s="49" t="str">
        <f>VLOOKUP(Remaining_Time[[#This Row],[Time]],Upgrades[],MATCH("Kind",Upgrades[#Headers],0),FALSE)</f>
        <v>Upgrade</v>
      </c>
      <c r="C118" s="49" t="str">
        <f>VLOOKUP(Remaining_Time[[#This Row],[Time]],Upgrades[],MATCH("Resource",Upgrades[#Headers],0),FALSE)</f>
        <v>Dark Elixir</v>
      </c>
      <c r="D118" s="116" t="str">
        <f>IF(COUNTIF(Skips,Remaining_Time[[#This Row],[Time]])&gt;0,"IGNORE",Remaining_Time[Kind]&amp;"-"&amp;Remaining_Time[Resource])</f>
        <v>IGNORE</v>
      </c>
      <c r="E118" s="47">
        <f ca="1">IFERROR(VLOOKUP(Remaining_Time[[#This Row],[Time]],Upgrades[],MATCH("T"&amp;MATCH(TRUE,INDEX(Remaining_Time[[#This Row],[1]:[12]]&lt;&gt;0,),0),Upgrades[#Headers],0),FALSE),"")</f>
        <v>5</v>
      </c>
      <c r="F118" s="54">
        <f ca="1">IF(VALUE(Remaining_Time[#Headers])&lt;='Construction Dashboard'!$F68,IFERROR(VLOOKUP(Remaining_Time[[#This Row],[Time]],Upgrades[],MATCH("T"&amp;Remaining_Time[#Headers],Upgrades[#Headers],0),FALSE),0)*MAX(0,SUM('Construction Dashboard'!$G68:G68)),0)</f>
        <v>0</v>
      </c>
      <c r="G118" s="54">
        <f ca="1">IF(VALUE(Remaining_Time[#Headers])&lt;='Construction Dashboard'!$F68,IFERROR(VLOOKUP(Remaining_Time[[#This Row],[Time]],Upgrades[],MATCH("T"&amp;Remaining_Time[#Headers],Upgrades[#Headers],0),FALSE),0)*MAX(0,SUM('Construction Dashboard'!$G68:H68)),0)</f>
        <v>5</v>
      </c>
      <c r="H118" s="54">
        <f ca="1">IF(VALUE(Remaining_Time[#Headers])&lt;='Construction Dashboard'!$F68,IFERROR(VLOOKUP(Remaining_Time[[#This Row],[Time]],Upgrades[],MATCH("T"&amp;Remaining_Time[#Headers],Upgrades[#Headers],0),FALSE),0)*MAX(0,SUM('Construction Dashboard'!$G68:I68)),0)</f>
        <v>0</v>
      </c>
      <c r="I118" s="54">
        <f ca="1">IF(VALUE(Remaining_Time[#Headers])&lt;='Construction Dashboard'!$F68,IFERROR(VLOOKUP(Remaining_Time[[#This Row],[Time]],Upgrades[],MATCH("T"&amp;Remaining_Time[#Headers],Upgrades[#Headers],0),FALSE),0)*MAX(0,SUM('Construction Dashboard'!$G68:J68)),0)</f>
        <v>0</v>
      </c>
      <c r="J118" s="54">
        <f ca="1">IF(VALUE(Remaining_Time[#Headers])&lt;='Construction Dashboard'!$F68,IFERROR(VLOOKUP(Remaining_Time[[#This Row],[Time]],Upgrades[],MATCH("T"&amp;Remaining_Time[#Headers],Upgrades[#Headers],0),FALSE),0)*MAX(0,SUM('Construction Dashboard'!$G68:K68)),0)</f>
        <v>0</v>
      </c>
      <c r="K118" s="54">
        <f ca="1">IF(VALUE(Remaining_Time[#Headers])&lt;='Construction Dashboard'!$F68,IFERROR(VLOOKUP(Remaining_Time[[#This Row],[Time]],Upgrades[],MATCH("T"&amp;Remaining_Time[#Headers],Upgrades[#Headers],0),FALSE),0)*MAX(0,SUM('Construction Dashboard'!$G68:L68)),0)</f>
        <v>0</v>
      </c>
      <c r="L118" s="54">
        <f ca="1">IF(VALUE(Remaining_Time[#Headers])&lt;='Construction Dashboard'!$F68,IFERROR(VLOOKUP(Remaining_Time[[#This Row],[Time]],Upgrades[],MATCH("T"&amp;Remaining_Time[#Headers],Upgrades[#Headers],0),FALSE),0)*MAX(0,SUM('Construction Dashboard'!$G68:M68)),0)</f>
        <v>0</v>
      </c>
      <c r="M118" s="54">
        <f ca="1">IF(VALUE(Remaining_Time[#Headers])&lt;='Construction Dashboard'!$F68,IFERROR(VLOOKUP(Remaining_Time[[#This Row],[Time]],Upgrades[],MATCH("T"&amp;Remaining_Time[#Headers],Upgrades[#Headers],0),FALSE),0)*MAX(0,SUM('Construction Dashboard'!$G68:N68)),0)</f>
        <v>0</v>
      </c>
      <c r="N118" s="54">
        <f ca="1">IF(VALUE(Remaining_Time[#Headers])&lt;='Construction Dashboard'!$F68,IFERROR(VLOOKUP(Remaining_Time[[#This Row],[Time]],Upgrades[],MATCH("T"&amp;Remaining_Time[#Headers],Upgrades[#Headers],0),FALSE),0)*MAX(0,SUM('Construction Dashboard'!$G68:O68)),0)</f>
        <v>0</v>
      </c>
      <c r="O118" s="54">
        <f ca="1">IF(VALUE(Remaining_Time[#Headers])&lt;='Construction Dashboard'!$F68,IFERROR(VLOOKUP(Remaining_Time[[#This Row],[Time]],Upgrades[],MATCH("T"&amp;Remaining_Time[#Headers],Upgrades[#Headers],0),FALSE),0)*MAX(0,SUM('Construction Dashboard'!$G68:P68)),0)</f>
        <v>0</v>
      </c>
      <c r="P118" s="54">
        <f ca="1">IF(VALUE(Remaining_Time[#Headers])&lt;='Construction Dashboard'!$F68,IFERROR(VLOOKUP(Remaining_Time[[#This Row],[Time]],Upgrades[],MATCH("T"&amp;Remaining_Time[#Headers],Upgrades[#Headers],0),FALSE),0)*MAX(0,SUM('Construction Dashboard'!$G68:Q68)),0)</f>
        <v>0</v>
      </c>
      <c r="Q118" s="54">
        <f ca="1">IF(VALUE(Remaining_Time[#Headers])&lt;='Construction Dashboard'!$F68,IFERROR(VLOOKUP(Remaining_Time[[#This Row],[Time]],Upgrades[],MATCH("T"&amp;Remaining_Time[#Headers],Upgrades[#Headers],0),FALSE),0)*MAX(0,SUM('Construction Dashboard'!$G68:R68)),0)</f>
        <v>0</v>
      </c>
      <c r="R118" s="54">
        <f>IF(Remaining_Time[[#This Row],[MatchStr]]="IGNORE",0,SUM(Remaining_Time[[#This Row],[1]:[12]]))</f>
        <v>0</v>
      </c>
    </row>
    <row r="119" spans="1:18">
      <c r="A119" s="11" t="s">
        <v>98</v>
      </c>
      <c r="B119" s="49" t="str">
        <f>VLOOKUP(Remaining_Time[[#This Row],[Time]],Upgrades[],MATCH("Kind",Upgrades[#Headers],0),FALSE)</f>
        <v>Upgrade</v>
      </c>
      <c r="C119" s="49" t="str">
        <f>VLOOKUP(Remaining_Time[[#This Row],[Time]],Upgrades[],MATCH("Resource",Upgrades[#Headers],0),FALSE)</f>
        <v>Dark Elixir</v>
      </c>
      <c r="D119" s="116" t="str">
        <f>IF(COUNTIF(Skips,Remaining_Time[[#This Row],[Time]])&gt;0,"IGNORE",Remaining_Time[Kind]&amp;"-"&amp;Remaining_Time[Resource])</f>
        <v>Upgrade-Dark Elixir</v>
      </c>
      <c r="E119" s="47">
        <f ca="1">IFERROR(VLOOKUP(Remaining_Time[[#This Row],[Time]],Upgrades[],MATCH("T"&amp;MATCH(TRUE,INDEX(Remaining_Time[[#This Row],[1]:[12]]&lt;&gt;0,),0),Upgrades[#Headers],0),FALSE),"")</f>
        <v>8</v>
      </c>
      <c r="F119" s="54">
        <f ca="1">IF(VALUE(Remaining_Time[#Headers])&lt;='Construction Dashboard'!$F69,IFERROR(VLOOKUP(Remaining_Time[[#This Row],[Time]],Upgrades[],MATCH("T"&amp;Remaining_Time[#Headers],Upgrades[#Headers],0),FALSE),0)*MAX(0,SUM('Construction Dashboard'!$G69:G69)),0)</f>
        <v>0</v>
      </c>
      <c r="G119" s="54">
        <f ca="1">IF(VALUE(Remaining_Time[#Headers])&lt;='Construction Dashboard'!$F69,IFERROR(VLOOKUP(Remaining_Time[[#This Row],[Time]],Upgrades[],MATCH("T"&amp;Remaining_Time[#Headers],Upgrades[#Headers],0),FALSE),0)*MAX(0,SUM('Construction Dashboard'!$G69:H69)),0)</f>
        <v>8</v>
      </c>
      <c r="H119" s="54">
        <f ca="1">IF(VALUE(Remaining_Time[#Headers])&lt;='Construction Dashboard'!$F69,IFERROR(VLOOKUP(Remaining_Time[[#This Row],[Time]],Upgrades[],MATCH("T"&amp;Remaining_Time[#Headers],Upgrades[#Headers],0),FALSE),0)*MAX(0,SUM('Construction Dashboard'!$G69:I69)),0)</f>
        <v>0</v>
      </c>
      <c r="I119" s="54">
        <f ca="1">IF(VALUE(Remaining_Time[#Headers])&lt;='Construction Dashboard'!$F69,IFERROR(VLOOKUP(Remaining_Time[[#This Row],[Time]],Upgrades[],MATCH("T"&amp;Remaining_Time[#Headers],Upgrades[#Headers],0),FALSE),0)*MAX(0,SUM('Construction Dashboard'!$G69:J69)),0)</f>
        <v>0</v>
      </c>
      <c r="J119" s="54">
        <f ca="1">IF(VALUE(Remaining_Time[#Headers])&lt;='Construction Dashboard'!$F69,IFERROR(VLOOKUP(Remaining_Time[[#This Row],[Time]],Upgrades[],MATCH("T"&amp;Remaining_Time[#Headers],Upgrades[#Headers],0),FALSE),0)*MAX(0,SUM('Construction Dashboard'!$G69:K69)),0)</f>
        <v>0</v>
      </c>
      <c r="K119" s="54">
        <f ca="1">IF(VALUE(Remaining_Time[#Headers])&lt;='Construction Dashboard'!$F69,IFERROR(VLOOKUP(Remaining_Time[[#This Row],[Time]],Upgrades[],MATCH("T"&amp;Remaining_Time[#Headers],Upgrades[#Headers],0),FALSE),0)*MAX(0,SUM('Construction Dashboard'!$G69:L69)),0)</f>
        <v>0</v>
      </c>
      <c r="L119" s="54">
        <f ca="1">IF(VALUE(Remaining_Time[#Headers])&lt;='Construction Dashboard'!$F69,IFERROR(VLOOKUP(Remaining_Time[[#This Row],[Time]],Upgrades[],MATCH("T"&amp;Remaining_Time[#Headers],Upgrades[#Headers],0),FALSE),0)*MAX(0,SUM('Construction Dashboard'!$G69:M69)),0)</f>
        <v>0</v>
      </c>
      <c r="M119" s="54">
        <f ca="1">IF(VALUE(Remaining_Time[#Headers])&lt;='Construction Dashboard'!$F69,IFERROR(VLOOKUP(Remaining_Time[[#This Row],[Time]],Upgrades[],MATCH("T"&amp;Remaining_Time[#Headers],Upgrades[#Headers],0),FALSE),0)*MAX(0,SUM('Construction Dashboard'!$G69:N69)),0)</f>
        <v>0</v>
      </c>
      <c r="N119" s="54">
        <f ca="1">IF(VALUE(Remaining_Time[#Headers])&lt;='Construction Dashboard'!$F69,IFERROR(VLOOKUP(Remaining_Time[[#This Row],[Time]],Upgrades[],MATCH("T"&amp;Remaining_Time[#Headers],Upgrades[#Headers],0),FALSE),0)*MAX(0,SUM('Construction Dashboard'!$G69:O69)),0)</f>
        <v>0</v>
      </c>
      <c r="O119" s="54">
        <f ca="1">IF(VALUE(Remaining_Time[#Headers])&lt;='Construction Dashboard'!$F69,IFERROR(VLOOKUP(Remaining_Time[[#This Row],[Time]],Upgrades[],MATCH("T"&amp;Remaining_Time[#Headers],Upgrades[#Headers],0),FALSE),0)*MAX(0,SUM('Construction Dashboard'!$G69:P69)),0)</f>
        <v>0</v>
      </c>
      <c r="P119" s="54">
        <f ca="1">IF(VALUE(Remaining_Time[#Headers])&lt;='Construction Dashboard'!$F69,IFERROR(VLOOKUP(Remaining_Time[[#This Row],[Time]],Upgrades[],MATCH("T"&amp;Remaining_Time[#Headers],Upgrades[#Headers],0),FALSE),0)*MAX(0,SUM('Construction Dashboard'!$G69:Q69)),0)</f>
        <v>0</v>
      </c>
      <c r="Q119" s="54">
        <f ca="1">IF(VALUE(Remaining_Time[#Headers])&lt;='Construction Dashboard'!$F69,IFERROR(VLOOKUP(Remaining_Time[[#This Row],[Time]],Upgrades[],MATCH("T"&amp;Remaining_Time[#Headers],Upgrades[#Headers],0),FALSE),0)*MAX(0,SUM('Construction Dashboard'!$G69:R69)),0)</f>
        <v>0</v>
      </c>
      <c r="R119" s="54">
        <f ca="1">IF(Remaining_Time[[#This Row],[MatchStr]]="IGNORE",0,SUM(Remaining_Time[[#This Row],[1]:[12]]))</f>
        <v>8</v>
      </c>
    </row>
    <row r="120" spans="1:18">
      <c r="A120" s="11" t="s">
        <v>99</v>
      </c>
      <c r="B120" s="49" t="str">
        <f>VLOOKUP(Remaining_Time[[#This Row],[Time]],Upgrades[],MATCH("Kind",Upgrades[#Headers],0),FALSE)</f>
        <v>Upgrade</v>
      </c>
      <c r="C120" s="49" t="str">
        <f>VLOOKUP(Remaining_Time[[#This Row],[Time]],Upgrades[],MATCH("Resource",Upgrades[#Headers],0),FALSE)</f>
        <v>Dark Elixir</v>
      </c>
      <c r="D120" s="116" t="str">
        <f>IF(COUNTIF(Skips,Remaining_Time[[#This Row],[Time]])&gt;0,"IGNORE",Remaining_Time[Kind]&amp;"-"&amp;Remaining_Time[Resource])</f>
        <v>Upgrade-Dark Elixir</v>
      </c>
      <c r="E120" s="47" t="str">
        <f ca="1">IFERROR(VLOOKUP(Remaining_Time[[#This Row],[Time]],Upgrades[],MATCH("T"&amp;MATCH(TRUE,INDEX(Remaining_Time[[#This Row],[1]:[12]]&lt;&gt;0,),0),Upgrades[#Headers],0),FALSE),"")</f>
        <v/>
      </c>
      <c r="F120" s="54">
        <f ca="1">IF(VALUE(Remaining_Time[#Headers])&lt;='Construction Dashboard'!$F70,IFERROR(VLOOKUP(Remaining_Time[[#This Row],[Time]],Upgrades[],MATCH("T"&amp;Remaining_Time[#Headers],Upgrades[#Headers],0),FALSE),0)*MAX(0,SUM('Construction Dashboard'!$G70:G70)),0)</f>
        <v>0</v>
      </c>
      <c r="G120" s="54">
        <f ca="1">IF(VALUE(Remaining_Time[#Headers])&lt;='Construction Dashboard'!$F70,IFERROR(VLOOKUP(Remaining_Time[[#This Row],[Time]],Upgrades[],MATCH("T"&amp;Remaining_Time[#Headers],Upgrades[#Headers],0),FALSE),0)*MAX(0,SUM('Construction Dashboard'!$G70:H70)),0)</f>
        <v>0</v>
      </c>
      <c r="H120" s="54">
        <f ca="1">IF(VALUE(Remaining_Time[#Headers])&lt;='Construction Dashboard'!$F70,IFERROR(VLOOKUP(Remaining_Time[[#This Row],[Time]],Upgrades[],MATCH("T"&amp;Remaining_Time[#Headers],Upgrades[#Headers],0),FALSE),0)*MAX(0,SUM('Construction Dashboard'!$G70:I70)),0)</f>
        <v>0</v>
      </c>
      <c r="I120" s="54">
        <f ca="1">IF(VALUE(Remaining_Time[#Headers])&lt;='Construction Dashboard'!$F70,IFERROR(VLOOKUP(Remaining_Time[[#This Row],[Time]],Upgrades[],MATCH("T"&amp;Remaining_Time[#Headers],Upgrades[#Headers],0),FALSE),0)*MAX(0,SUM('Construction Dashboard'!$G70:J70)),0)</f>
        <v>0</v>
      </c>
      <c r="J120" s="54">
        <f ca="1">IF(VALUE(Remaining_Time[#Headers])&lt;='Construction Dashboard'!$F70,IFERROR(VLOOKUP(Remaining_Time[[#This Row],[Time]],Upgrades[],MATCH("T"&amp;Remaining_Time[#Headers],Upgrades[#Headers],0),FALSE),0)*MAX(0,SUM('Construction Dashboard'!$G70:K70)),0)</f>
        <v>0</v>
      </c>
      <c r="K120" s="54">
        <f ca="1">IF(VALUE(Remaining_Time[#Headers])&lt;='Construction Dashboard'!$F70,IFERROR(VLOOKUP(Remaining_Time[[#This Row],[Time]],Upgrades[],MATCH("T"&amp;Remaining_Time[#Headers],Upgrades[#Headers],0),FALSE),0)*MAX(0,SUM('Construction Dashboard'!$G70:L70)),0)</f>
        <v>0</v>
      </c>
      <c r="L120" s="54">
        <f ca="1">IF(VALUE(Remaining_Time[#Headers])&lt;='Construction Dashboard'!$F70,IFERROR(VLOOKUP(Remaining_Time[[#This Row],[Time]],Upgrades[],MATCH("T"&amp;Remaining_Time[#Headers],Upgrades[#Headers],0),FALSE),0)*MAX(0,SUM('Construction Dashboard'!$G70:M70)),0)</f>
        <v>0</v>
      </c>
      <c r="M120" s="54">
        <f ca="1">IF(VALUE(Remaining_Time[#Headers])&lt;='Construction Dashboard'!$F70,IFERROR(VLOOKUP(Remaining_Time[[#This Row],[Time]],Upgrades[],MATCH("T"&amp;Remaining_Time[#Headers],Upgrades[#Headers],0),FALSE),0)*MAX(0,SUM('Construction Dashboard'!$G70:N70)),0)</f>
        <v>0</v>
      </c>
      <c r="N120" s="54">
        <f ca="1">IF(VALUE(Remaining_Time[#Headers])&lt;='Construction Dashboard'!$F70,IFERROR(VLOOKUP(Remaining_Time[[#This Row],[Time]],Upgrades[],MATCH("T"&amp;Remaining_Time[#Headers],Upgrades[#Headers],0),FALSE),0)*MAX(0,SUM('Construction Dashboard'!$G70:O70)),0)</f>
        <v>0</v>
      </c>
      <c r="O120" s="54">
        <f ca="1">IF(VALUE(Remaining_Time[#Headers])&lt;='Construction Dashboard'!$F70,IFERROR(VLOOKUP(Remaining_Time[[#This Row],[Time]],Upgrades[],MATCH("T"&amp;Remaining_Time[#Headers],Upgrades[#Headers],0),FALSE),0)*MAX(0,SUM('Construction Dashboard'!$G70:P70)),0)</f>
        <v>0</v>
      </c>
      <c r="P120" s="54">
        <f ca="1">IF(VALUE(Remaining_Time[#Headers])&lt;='Construction Dashboard'!$F70,IFERROR(VLOOKUP(Remaining_Time[[#This Row],[Time]],Upgrades[],MATCH("T"&amp;Remaining_Time[#Headers],Upgrades[#Headers],0),FALSE),0)*MAX(0,SUM('Construction Dashboard'!$G70:Q70)),0)</f>
        <v>0</v>
      </c>
      <c r="Q120" s="54">
        <f ca="1">IF(VALUE(Remaining_Time[#Headers])&lt;='Construction Dashboard'!$F70,IFERROR(VLOOKUP(Remaining_Time[[#This Row],[Time]],Upgrades[],MATCH("T"&amp;Remaining_Time[#Headers],Upgrades[#Headers],0),FALSE),0)*MAX(0,SUM('Construction Dashboard'!$G70:R70)),0)</f>
        <v>0</v>
      </c>
      <c r="R120" s="54">
        <f ca="1">IF(Remaining_Time[[#This Row],[MatchStr]]="IGNORE",0,SUM(Remaining_Time[[#This Row],[1]:[12]]))</f>
        <v>0</v>
      </c>
    </row>
    <row r="121" spans="1:18">
      <c r="A121" s="11" t="s">
        <v>100</v>
      </c>
      <c r="B121" s="49" t="str">
        <f>VLOOKUP(Remaining_Time[[#This Row],[Time]],Upgrades[],MATCH("Kind",Upgrades[#Headers],0),FALSE)</f>
        <v>Upgrade</v>
      </c>
      <c r="C121" s="49" t="str">
        <f>VLOOKUP(Remaining_Time[[#This Row],[Time]],Upgrades[],MATCH("Resource",Upgrades[#Headers],0),FALSE)</f>
        <v>Dark Elixir</v>
      </c>
      <c r="D121" s="116" t="str">
        <f>IF(COUNTIF(Skips,Remaining_Time[[#This Row],[Time]])&gt;0,"IGNORE",Remaining_Time[Kind]&amp;"-"&amp;Remaining_Time[Resource])</f>
        <v>Upgrade-Dark Elixir</v>
      </c>
      <c r="E121" s="47" t="str">
        <f ca="1">IFERROR(VLOOKUP(Remaining_Time[[#This Row],[Time]],Upgrades[],MATCH("T"&amp;MATCH(TRUE,INDEX(Remaining_Time[[#This Row],[1]:[12]]&lt;&gt;0,),0),Upgrades[#Headers],0),FALSE),"")</f>
        <v/>
      </c>
      <c r="F121" s="54">
        <f ca="1">IF(VALUE(Remaining_Time[#Headers])&lt;='Construction Dashboard'!$F71,IFERROR(VLOOKUP(Remaining_Time[[#This Row],[Time]],Upgrades[],MATCH("T"&amp;Remaining_Time[#Headers],Upgrades[#Headers],0),FALSE),0)*MAX(0,SUM('Construction Dashboard'!$G71:G71)),0)</f>
        <v>0</v>
      </c>
      <c r="G121" s="54">
        <f ca="1">IF(VALUE(Remaining_Time[#Headers])&lt;='Construction Dashboard'!$F71,IFERROR(VLOOKUP(Remaining_Time[[#This Row],[Time]],Upgrades[],MATCH("T"&amp;Remaining_Time[#Headers],Upgrades[#Headers],0),FALSE),0)*MAX(0,SUM('Construction Dashboard'!$G71:H71)),0)</f>
        <v>0</v>
      </c>
      <c r="H121" s="54">
        <f ca="1">IF(VALUE(Remaining_Time[#Headers])&lt;='Construction Dashboard'!$F71,IFERROR(VLOOKUP(Remaining_Time[[#This Row],[Time]],Upgrades[],MATCH("T"&amp;Remaining_Time[#Headers],Upgrades[#Headers],0),FALSE),0)*MAX(0,SUM('Construction Dashboard'!$G71:I71)),0)</f>
        <v>0</v>
      </c>
      <c r="I121" s="54">
        <f ca="1">IF(VALUE(Remaining_Time[#Headers])&lt;='Construction Dashboard'!$F71,IFERROR(VLOOKUP(Remaining_Time[[#This Row],[Time]],Upgrades[],MATCH("T"&amp;Remaining_Time[#Headers],Upgrades[#Headers],0),FALSE),0)*MAX(0,SUM('Construction Dashboard'!$G71:J71)),0)</f>
        <v>0</v>
      </c>
      <c r="J121" s="54">
        <f ca="1">IF(VALUE(Remaining_Time[#Headers])&lt;='Construction Dashboard'!$F71,IFERROR(VLOOKUP(Remaining_Time[[#This Row],[Time]],Upgrades[],MATCH("T"&amp;Remaining_Time[#Headers],Upgrades[#Headers],0),FALSE),0)*MAX(0,SUM('Construction Dashboard'!$G71:K71)),0)</f>
        <v>0</v>
      </c>
      <c r="K121" s="54">
        <f ca="1">IF(VALUE(Remaining_Time[#Headers])&lt;='Construction Dashboard'!$F71,IFERROR(VLOOKUP(Remaining_Time[[#This Row],[Time]],Upgrades[],MATCH("T"&amp;Remaining_Time[#Headers],Upgrades[#Headers],0),FALSE),0)*MAX(0,SUM('Construction Dashboard'!$G71:L71)),0)</f>
        <v>0</v>
      </c>
      <c r="L121" s="54">
        <f ca="1">IF(VALUE(Remaining_Time[#Headers])&lt;='Construction Dashboard'!$F71,IFERROR(VLOOKUP(Remaining_Time[[#This Row],[Time]],Upgrades[],MATCH("T"&amp;Remaining_Time[#Headers],Upgrades[#Headers],0),FALSE),0)*MAX(0,SUM('Construction Dashboard'!$G71:M71)),0)</f>
        <v>0</v>
      </c>
      <c r="M121" s="54">
        <f ca="1">IF(VALUE(Remaining_Time[#Headers])&lt;='Construction Dashboard'!$F71,IFERROR(VLOOKUP(Remaining_Time[[#This Row],[Time]],Upgrades[],MATCH("T"&amp;Remaining_Time[#Headers],Upgrades[#Headers],0),FALSE),0)*MAX(0,SUM('Construction Dashboard'!$G71:N71)),0)</f>
        <v>0</v>
      </c>
      <c r="N121" s="54">
        <f ca="1">IF(VALUE(Remaining_Time[#Headers])&lt;='Construction Dashboard'!$F71,IFERROR(VLOOKUP(Remaining_Time[[#This Row],[Time]],Upgrades[],MATCH("T"&amp;Remaining_Time[#Headers],Upgrades[#Headers],0),FALSE),0)*MAX(0,SUM('Construction Dashboard'!$G71:O71)),0)</f>
        <v>0</v>
      </c>
      <c r="O121" s="54">
        <f ca="1">IF(VALUE(Remaining_Time[#Headers])&lt;='Construction Dashboard'!$F71,IFERROR(VLOOKUP(Remaining_Time[[#This Row],[Time]],Upgrades[],MATCH("T"&amp;Remaining_Time[#Headers],Upgrades[#Headers],0),FALSE),0)*MAX(0,SUM('Construction Dashboard'!$G71:P71)),0)</f>
        <v>0</v>
      </c>
      <c r="P121" s="54">
        <f ca="1">IF(VALUE(Remaining_Time[#Headers])&lt;='Construction Dashboard'!$F71,IFERROR(VLOOKUP(Remaining_Time[[#This Row],[Time]],Upgrades[],MATCH("T"&amp;Remaining_Time[#Headers],Upgrades[#Headers],0),FALSE),0)*MAX(0,SUM('Construction Dashboard'!$G71:Q71)),0)</f>
        <v>0</v>
      </c>
      <c r="Q121" s="54">
        <f ca="1">IF(VALUE(Remaining_Time[#Headers])&lt;='Construction Dashboard'!$F71,IFERROR(VLOOKUP(Remaining_Time[[#This Row],[Time]],Upgrades[],MATCH("T"&amp;Remaining_Time[#Headers],Upgrades[#Headers],0),FALSE),0)*MAX(0,SUM('Construction Dashboard'!$G71:R71)),0)</f>
        <v>0</v>
      </c>
      <c r="R121" s="54">
        <f ca="1">IF(Remaining_Time[[#This Row],[MatchStr]]="IGNORE",0,SUM(Remaining_Time[[#This Row],[1]:[12]]))</f>
        <v>0</v>
      </c>
    </row>
    <row r="122" spans="1:18">
      <c r="A122" s="50" t="s">
        <v>101</v>
      </c>
      <c r="B122" s="51" t="str">
        <f>VLOOKUP(Remaining_Time[[#This Row],[Time]],Upgrades[],MATCH("Kind",Upgrades[#Headers],0),FALSE)</f>
        <v>Upgrade</v>
      </c>
      <c r="C122" s="51" t="str">
        <f>VLOOKUP(Remaining_Time[[#This Row],[Time]],Upgrades[],MATCH("Resource",Upgrades[#Headers],0),FALSE)</f>
        <v>Dark Elixir</v>
      </c>
      <c r="D122" s="117" t="str">
        <f>IF(COUNTIF(Skips,Remaining_Time[[#This Row],[Time]])&gt;0,"IGNORE",Remaining_Time[Kind]&amp;"-"&amp;Remaining_Time[Resource])</f>
        <v>Upgrade-Dark Elixir</v>
      </c>
      <c r="E122" s="52" t="str">
        <f ca="1">IFERROR(VLOOKUP(Remaining_Time[[#This Row],[Time]],Upgrades[],MATCH("T"&amp;MATCH(TRUE,INDEX(Remaining_Time[[#This Row],[1]:[12]]&lt;&gt;0,),0),Upgrades[#Headers],0),FALSE),"")</f>
        <v/>
      </c>
      <c r="F122" s="56">
        <f ca="1">IF(VALUE(Remaining_Time[#Headers])&lt;='Construction Dashboard'!$F72,IFERROR(VLOOKUP(Remaining_Time[[#This Row],[Time]],Upgrades[],MATCH("T"&amp;Remaining_Time[#Headers],Upgrades[#Headers],0),FALSE),0)*MAX(0,SUM('Construction Dashboard'!$G72:G72)),0)</f>
        <v>0</v>
      </c>
      <c r="G122" s="56">
        <f ca="1">IF(VALUE(Remaining_Time[#Headers])&lt;='Construction Dashboard'!$F72,IFERROR(VLOOKUP(Remaining_Time[[#This Row],[Time]],Upgrades[],MATCH("T"&amp;Remaining_Time[#Headers],Upgrades[#Headers],0),FALSE),0)*MAX(0,SUM('Construction Dashboard'!$G72:H72)),0)</f>
        <v>0</v>
      </c>
      <c r="H122" s="56">
        <f ca="1">IF(VALUE(Remaining_Time[#Headers])&lt;='Construction Dashboard'!$F72,IFERROR(VLOOKUP(Remaining_Time[[#This Row],[Time]],Upgrades[],MATCH("T"&amp;Remaining_Time[#Headers],Upgrades[#Headers],0),FALSE),0)*MAX(0,SUM('Construction Dashboard'!$G72:I72)),0)</f>
        <v>0</v>
      </c>
      <c r="I122" s="56">
        <f ca="1">IF(VALUE(Remaining_Time[#Headers])&lt;='Construction Dashboard'!$F72,IFERROR(VLOOKUP(Remaining_Time[[#This Row],[Time]],Upgrades[],MATCH("T"&amp;Remaining_Time[#Headers],Upgrades[#Headers],0),FALSE),0)*MAX(0,SUM('Construction Dashboard'!$G72:J72)),0)</f>
        <v>0</v>
      </c>
      <c r="J122" s="56">
        <f ca="1">IF(VALUE(Remaining_Time[#Headers])&lt;='Construction Dashboard'!$F72,IFERROR(VLOOKUP(Remaining_Time[[#This Row],[Time]],Upgrades[],MATCH("T"&amp;Remaining_Time[#Headers],Upgrades[#Headers],0),FALSE),0)*MAX(0,SUM('Construction Dashboard'!$G72:K72)),0)</f>
        <v>0</v>
      </c>
      <c r="K122" s="56">
        <f ca="1">IF(VALUE(Remaining_Time[#Headers])&lt;='Construction Dashboard'!$F72,IFERROR(VLOOKUP(Remaining_Time[[#This Row],[Time]],Upgrades[],MATCH("T"&amp;Remaining_Time[#Headers],Upgrades[#Headers],0),FALSE),0)*MAX(0,SUM('Construction Dashboard'!$G72:L72)),0)</f>
        <v>0</v>
      </c>
      <c r="L122" s="56">
        <f ca="1">IF(VALUE(Remaining_Time[#Headers])&lt;='Construction Dashboard'!$F72,IFERROR(VLOOKUP(Remaining_Time[[#This Row],[Time]],Upgrades[],MATCH("T"&amp;Remaining_Time[#Headers],Upgrades[#Headers],0),FALSE),0)*MAX(0,SUM('Construction Dashboard'!$G72:M72)),0)</f>
        <v>0</v>
      </c>
      <c r="M122" s="56">
        <f ca="1">IF(VALUE(Remaining_Time[#Headers])&lt;='Construction Dashboard'!$F72,IFERROR(VLOOKUP(Remaining_Time[[#This Row],[Time]],Upgrades[],MATCH("T"&amp;Remaining_Time[#Headers],Upgrades[#Headers],0),FALSE),0)*MAX(0,SUM('Construction Dashboard'!$G72:N72)),0)</f>
        <v>0</v>
      </c>
      <c r="N122" s="56">
        <f ca="1">IF(VALUE(Remaining_Time[#Headers])&lt;='Construction Dashboard'!$F72,IFERROR(VLOOKUP(Remaining_Time[[#This Row],[Time]],Upgrades[],MATCH("T"&amp;Remaining_Time[#Headers],Upgrades[#Headers],0),FALSE),0)*MAX(0,SUM('Construction Dashboard'!$G72:O72)),0)</f>
        <v>0</v>
      </c>
      <c r="O122" s="56">
        <f ca="1">IF(VALUE(Remaining_Time[#Headers])&lt;='Construction Dashboard'!$F72,IFERROR(VLOOKUP(Remaining_Time[[#This Row],[Time]],Upgrades[],MATCH("T"&amp;Remaining_Time[#Headers],Upgrades[#Headers],0),FALSE),0)*MAX(0,SUM('Construction Dashboard'!$G72:P72)),0)</f>
        <v>0</v>
      </c>
      <c r="P122" s="56">
        <f ca="1">IF(VALUE(Remaining_Time[#Headers])&lt;='Construction Dashboard'!$F72,IFERROR(VLOOKUP(Remaining_Time[[#This Row],[Time]],Upgrades[],MATCH("T"&amp;Remaining_Time[#Headers],Upgrades[#Headers],0),FALSE),0)*MAX(0,SUM('Construction Dashboard'!$G72:Q72)),0)</f>
        <v>0</v>
      </c>
      <c r="Q122" s="56">
        <f ca="1">IF(VALUE(Remaining_Time[#Headers])&lt;='Construction Dashboard'!$F72,IFERROR(VLOOKUP(Remaining_Time[[#This Row],[Time]],Upgrades[],MATCH("T"&amp;Remaining_Time[#Headers],Upgrades[#Headers],0),FALSE),0)*MAX(0,SUM('Construction Dashboard'!$G72:R72)),0)</f>
        <v>0</v>
      </c>
      <c r="R122" s="56">
        <f ca="1">IF(Remaining_Time[[#This Row],[MatchStr]]="IGNORE",0,SUM(Remaining_Time[[#This Row],[1]:[12]]))</f>
        <v>0</v>
      </c>
    </row>
  </sheetData>
  <mergeCells count="4">
    <mergeCell ref="A71:AA71"/>
    <mergeCell ref="A17:AA17"/>
    <mergeCell ref="A11:AA11"/>
    <mergeCell ref="A1:AA1"/>
  </mergeCells>
  <conditionalFormatting sqref="A10:XFD1048576 A1:XFD2 R9:XFD9 U3:XFD8 G5:O5 R5:T5 A3:F8 A9:O9">
    <cfRule type="containsErrors" dxfId="61" priority="13">
      <formula>ISERROR(A1)</formula>
    </cfRule>
  </conditionalFormatting>
  <conditionalFormatting sqref="E20:E68">
    <cfRule type="colorScale" priority="14">
      <colorScale>
        <cfvo type="min"/>
        <cfvo type="max"/>
        <color theme="6" tint="0.79998168889431442"/>
        <color theme="6" tint="-0.249977111117893"/>
      </colorScale>
    </cfRule>
  </conditionalFormatting>
  <conditionalFormatting sqref="E74:E122">
    <cfRule type="colorScale" priority="12">
      <colorScale>
        <cfvo type="min"/>
        <cfvo type="max"/>
        <color theme="6" tint="0.79998168889431442"/>
        <color theme="6" tint="-0.249977111117893"/>
      </colorScale>
    </cfRule>
  </conditionalFormatting>
  <conditionalFormatting sqref="G4:T4">
    <cfRule type="containsErrors" dxfId="60" priority="10">
      <formula>ISERROR(G4)</formula>
    </cfRule>
  </conditionalFormatting>
  <conditionalFormatting sqref="G3:T3">
    <cfRule type="containsErrors" dxfId="59" priority="9">
      <formula>ISERROR(G3)</formula>
    </cfRule>
  </conditionalFormatting>
  <conditionalFormatting sqref="P6">
    <cfRule type="containsErrors" dxfId="58" priority="2">
      <formula>ISERROR(P6)</formula>
    </cfRule>
  </conditionalFormatting>
  <conditionalFormatting sqref="P5">
    <cfRule type="containsErrors" dxfId="57" priority="5">
      <formula>ISERROR(P5)</formula>
    </cfRule>
  </conditionalFormatting>
  <conditionalFormatting sqref="Q5">
    <cfRule type="containsErrors" dxfId="56" priority="4">
      <formula>ISERROR(Q5)</formula>
    </cfRule>
  </conditionalFormatting>
  <conditionalFormatting sqref="H6:O6 R6:T6">
    <cfRule type="containsErrors" dxfId="55" priority="3">
      <formula>ISERROR(H6)</formula>
    </cfRule>
  </conditionalFormatting>
  <conditionalFormatting sqref="Q6">
    <cfRule type="containsErrors" dxfId="54" priority="1">
      <formula>ISERROR(Q6)</formula>
    </cfRule>
  </conditionalFormatting>
  <pageMargins left="0.75" right="0.75" top="1" bottom="1" header="0.5" footer="0.5"/>
  <pageSetup orientation="portrait" horizontalDpi="4294967292" verticalDpi="4294967292"/>
  <tableParts count="3">
    <tablePart r:id="rId1"/>
    <tablePart r:id="rId2"/>
    <tablePart r:id="rId3"/>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Construction Dashboard</vt:lpstr>
      <vt:lpstr>Army Dashboard</vt:lpstr>
      <vt:lpstr>Scratch</vt:lpstr>
      <vt:lpstr>About</vt:lpstr>
      <vt:lpstr>Data</vt:lpstr>
      <vt:lpstr>Calculations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Strax-Haber</dc:creator>
  <cp:lastModifiedBy>Matthew Strax-Haber</cp:lastModifiedBy>
  <cp:lastPrinted>2014-06-25T09:05:00Z</cp:lastPrinted>
  <dcterms:created xsi:type="dcterms:W3CDTF">2014-05-21T13:26:34Z</dcterms:created>
  <dcterms:modified xsi:type="dcterms:W3CDTF">2014-08-03T05:40:27Z</dcterms:modified>
</cp:coreProperties>
</file>