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9AF0" lockStructure="1"/>
  <bookViews>
    <workbookView xWindow="0" yWindow="0" windowWidth="38400" windowHeight="21080" tabRatio="669"/>
    <workbookView xWindow="0" yWindow="0" windowWidth="38400" windowHeight="21080" tabRatio="500"/>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Actionables">Data!$A$245:$A$298</definedName>
    <definedName name="AllNames">Upgrades[Building]</definedName>
    <definedName name="AQLevel">'Construction Dashboard'!$I$22</definedName>
    <definedName name="ArmyCap">'Construction Dashboard'!$K$13</definedName>
    <definedName name="AttackSet">'Army Dashboard'!$D$15</definedName>
    <definedName name="BKLevel">'Construction Dashboard'!$I$21</definedName>
    <definedName name="Booleans">Data!$C$245:$C$246</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SetToMax">'Construction Dashboard'!$I$20</definedName>
    <definedName name="Skips">'Construction Dashboard'!$P$19:$S$20</definedName>
    <definedName name="SpellCap">Calculations!$B$9</definedName>
    <definedName name="THL">'Construction Dashboard'!#REF!</definedName>
    <definedName name="THLevel">Calculations!$B$5</definedName>
    <definedName name="UnitSetNames">AttackSets[[#Headers],[LastUsed]:[       ]]</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K13" i="4" l="1" a="1"/>
  <c r="K13" i="4"/>
  <c r="C37" i="7"/>
  <c r="C36" i="7"/>
  <c r="C35" i="7"/>
  <c r="C34" i="7"/>
  <c r="C33" i="7"/>
  <c r="C32" i="7"/>
  <c r="C31" i="7"/>
  <c r="C30" i="7"/>
  <c r="C29" i="7"/>
  <c r="C28" i="7"/>
  <c r="C27" i="7"/>
  <c r="C26" i="7"/>
  <c r="C25" i="7"/>
  <c r="C24" i="7"/>
  <c r="C23" i="7"/>
  <c r="C22" i="7"/>
  <c r="C21" i="7"/>
  <c r="C20" i="7"/>
  <c r="C19" i="7"/>
  <c r="C18" i="7"/>
  <c r="E37" i="7"/>
  <c r="E36" i="7"/>
  <c r="E35" i="7"/>
  <c r="E34" i="7"/>
  <c r="E33" i="7"/>
  <c r="E32" i="7"/>
  <c r="E31" i="7"/>
  <c r="E30" i="7"/>
  <c r="E29" i="7"/>
  <c r="E28" i="7"/>
  <c r="E27" i="7"/>
  <c r="E26" i="7"/>
  <c r="E25" i="7"/>
  <c r="E24" i="7"/>
  <c r="E23" i="7"/>
  <c r="E22" i="7"/>
  <c r="E21" i="7"/>
  <c r="E20" i="7"/>
  <c r="E19" i="7"/>
  <c r="E18" i="7"/>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B122" i="8"/>
  <c r="B121" i="8"/>
  <c r="B120" i="8"/>
  <c r="B119" i="8"/>
  <c r="B118" i="8"/>
  <c r="B11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20" i="8"/>
  <c r="C20" i="8"/>
  <c r="D20" i="8"/>
  <c r="B21" i="8"/>
  <c r="C21" i="8"/>
  <c r="D21" i="8"/>
  <c r="D22" i="8"/>
  <c r="B23" i="8"/>
  <c r="C23" i="8"/>
  <c r="D23" i="8"/>
  <c r="B24" i="8"/>
  <c r="C24" i="8"/>
  <c r="D24" i="8"/>
  <c r="B25" i="8"/>
  <c r="C25" i="8"/>
  <c r="D25" i="8"/>
  <c r="B26" i="8"/>
  <c r="C26" i="8"/>
  <c r="D26" i="8"/>
  <c r="B27" i="8"/>
  <c r="C27" i="8"/>
  <c r="D27" i="8"/>
  <c r="B28" i="8"/>
  <c r="C28" i="8"/>
  <c r="D28" i="8"/>
  <c r="D29" i="8"/>
  <c r="B30" i="8"/>
  <c r="C30" i="8"/>
  <c r="D30" i="8"/>
  <c r="B31" i="8"/>
  <c r="C31" i="8"/>
  <c r="D31" i="8"/>
  <c r="B32" i="8"/>
  <c r="C32" i="8"/>
  <c r="D32" i="8"/>
  <c r="B33" i="8"/>
  <c r="C33" i="8"/>
  <c r="D33" i="8"/>
  <c r="B34" i="8"/>
  <c r="C34" i="8"/>
  <c r="D34" i="8"/>
  <c r="B35" i="8"/>
  <c r="C35" i="8"/>
  <c r="D35" i="8"/>
  <c r="B36" i="8"/>
  <c r="C36" i="8"/>
  <c r="D36" i="8"/>
  <c r="B37" i="8"/>
  <c r="C37" i="8"/>
  <c r="D37" i="8"/>
  <c r="B38" i="8"/>
  <c r="C38" i="8"/>
  <c r="D38" i="8"/>
  <c r="B39" i="8"/>
  <c r="C39" i="8"/>
  <c r="D39" i="8"/>
  <c r="B40" i="8"/>
  <c r="C40" i="8"/>
  <c r="D40" i="8"/>
  <c r="B41" i="8"/>
  <c r="C41" i="8"/>
  <c r="D41" i="8"/>
  <c r="B42" i="8"/>
  <c r="C42" i="8"/>
  <c r="D42" i="8"/>
  <c r="B43" i="8"/>
  <c r="C43" i="8"/>
  <c r="D43" i="8"/>
  <c r="B44" i="8"/>
  <c r="C44" i="8"/>
  <c r="D44" i="8"/>
  <c r="B45" i="8"/>
  <c r="C45" i="8"/>
  <c r="D45" i="8"/>
  <c r="B46" i="8"/>
  <c r="C46" i="8"/>
  <c r="D46" i="8"/>
  <c r="B47" i="8"/>
  <c r="C47" i="8"/>
  <c r="D47" i="8"/>
  <c r="B48" i="8"/>
  <c r="C48" i="8"/>
  <c r="D48" i="8"/>
  <c r="B49" i="8"/>
  <c r="C49" i="8"/>
  <c r="D49" i="8"/>
  <c r="B50" i="8"/>
  <c r="C50" i="8"/>
  <c r="D50" i="8"/>
  <c r="B51" i="8"/>
  <c r="C51" i="8"/>
  <c r="D51" i="8"/>
  <c r="B52" i="8"/>
  <c r="C52" i="8"/>
  <c r="D52" i="8"/>
  <c r="B53" i="8"/>
  <c r="C53" i="8"/>
  <c r="D53" i="8"/>
  <c r="D54" i="8"/>
  <c r="B55" i="8"/>
  <c r="C55" i="8"/>
  <c r="D55" i="8"/>
  <c r="B56" i="8"/>
  <c r="C56" i="8"/>
  <c r="D56" i="8"/>
  <c r="B57" i="8"/>
  <c r="C57" i="8"/>
  <c r="D57" i="8"/>
  <c r="B58" i="8"/>
  <c r="C58" i="8"/>
  <c r="D58" i="8"/>
  <c r="B59" i="8"/>
  <c r="C59" i="8"/>
  <c r="D59" i="8"/>
  <c r="B60" i="8"/>
  <c r="C60" i="8"/>
  <c r="D60" i="8"/>
  <c r="B61" i="8"/>
  <c r="C61" i="8"/>
  <c r="D61" i="8"/>
  <c r="B62" i="8"/>
  <c r="C62" i="8"/>
  <c r="D62" i="8"/>
  <c r="B63" i="8"/>
  <c r="C63" i="8"/>
  <c r="D63" i="8"/>
  <c r="D64" i="8"/>
  <c r="B65" i="8"/>
  <c r="C65" i="8"/>
  <c r="D65" i="8"/>
  <c r="B66" i="8"/>
  <c r="C66" i="8"/>
  <c r="D66" i="8"/>
  <c r="B67" i="8"/>
  <c r="C67" i="8"/>
  <c r="D67" i="8"/>
  <c r="B68" i="8"/>
  <c r="C68" i="8"/>
  <c r="D68"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B6" i="8"/>
  <c r="B5" i="8"/>
  <c r="B24" i="4"/>
  <c r="F24" i="4"/>
  <c r="E24" i="4"/>
  <c r="G24" i="4"/>
  <c r="F20" i="8"/>
  <c r="B26" i="4"/>
  <c r="E26" i="4"/>
  <c r="G26" i="4"/>
  <c r="B25" i="4"/>
  <c r="F25" i="4"/>
  <c r="E25" i="4"/>
  <c r="G25" i="4"/>
  <c r="F21" i="8"/>
  <c r="F26" i="4"/>
  <c r="F22" i="8"/>
  <c r="B27" i="4"/>
  <c r="F27" i="4"/>
  <c r="E27" i="4"/>
  <c r="G27" i="4"/>
  <c r="F23" i="8"/>
  <c r="B28" i="4"/>
  <c r="F28" i="4"/>
  <c r="E28" i="4"/>
  <c r="G28" i="4"/>
  <c r="F24" i="8"/>
  <c r="B29" i="4"/>
  <c r="F29" i="4"/>
  <c r="E29" i="4"/>
  <c r="G29" i="4"/>
  <c r="F25" i="8"/>
  <c r="B30" i="4"/>
  <c r="F30" i="4"/>
  <c r="F26" i="8"/>
  <c r="B31" i="4"/>
  <c r="F31" i="4"/>
  <c r="E31" i="4"/>
  <c r="G31" i="4"/>
  <c r="F27" i="8"/>
  <c r="B32" i="4"/>
  <c r="F32" i="4"/>
  <c r="E32" i="4"/>
  <c r="G32" i="4"/>
  <c r="F28" i="8"/>
  <c r="B33" i="4"/>
  <c r="F33" i="4"/>
  <c r="E33" i="4"/>
  <c r="G33" i="4"/>
  <c r="F29" i="8"/>
  <c r="B34" i="4"/>
  <c r="F34" i="4"/>
  <c r="E34" i="4"/>
  <c r="G34" i="4"/>
  <c r="F30" i="8"/>
  <c r="B35" i="4"/>
  <c r="F35" i="4"/>
  <c r="E35" i="4"/>
  <c r="G35" i="4"/>
  <c r="F31" i="8"/>
  <c r="B36" i="4"/>
  <c r="F36" i="4"/>
  <c r="E36" i="4"/>
  <c r="G36" i="4"/>
  <c r="F32" i="8"/>
  <c r="B37" i="4"/>
  <c r="F37" i="4"/>
  <c r="E37" i="4"/>
  <c r="G37" i="4"/>
  <c r="F33" i="8"/>
  <c r="B38" i="4"/>
  <c r="F38" i="4"/>
  <c r="E38" i="4"/>
  <c r="G38" i="4"/>
  <c r="F34" i="8"/>
  <c r="B39" i="4"/>
  <c r="F39" i="4"/>
  <c r="E39" i="4"/>
  <c r="G39" i="4"/>
  <c r="F35" i="8"/>
  <c r="B40" i="4"/>
  <c r="F40" i="4"/>
  <c r="E40" i="4"/>
  <c r="G40" i="4"/>
  <c r="F36" i="8"/>
  <c r="B41" i="4"/>
  <c r="F41" i="4"/>
  <c r="E41" i="4"/>
  <c r="G41" i="4"/>
  <c r="F37" i="8"/>
  <c r="B42" i="4"/>
  <c r="F42" i="4"/>
  <c r="E42" i="4"/>
  <c r="G42" i="4"/>
  <c r="F38" i="8"/>
  <c r="B43" i="4"/>
  <c r="F43" i="4"/>
  <c r="E43" i="4"/>
  <c r="G43" i="4"/>
  <c r="F39" i="8"/>
  <c r="B44" i="4"/>
  <c r="F44" i="4"/>
  <c r="E44" i="4"/>
  <c r="G44" i="4"/>
  <c r="F40" i="8"/>
  <c r="B45" i="4"/>
  <c r="F45" i="4"/>
  <c r="E45" i="4"/>
  <c r="G45" i="4"/>
  <c r="F41" i="8"/>
  <c r="B46" i="4"/>
  <c r="F46" i="4"/>
  <c r="E46" i="4"/>
  <c r="G46" i="4"/>
  <c r="F42" i="8"/>
  <c r="B47" i="4"/>
  <c r="F47" i="4"/>
  <c r="E47" i="4"/>
  <c r="G47" i="4"/>
  <c r="F43" i="8"/>
  <c r="B48" i="4"/>
  <c r="F48" i="4"/>
  <c r="E48" i="4"/>
  <c r="G48" i="4"/>
  <c r="F44" i="8"/>
  <c r="B49" i="4"/>
  <c r="F49" i="4"/>
  <c r="F45" i="8"/>
  <c r="B50" i="4"/>
  <c r="F50" i="4"/>
  <c r="F46" i="8"/>
  <c r="B51" i="4"/>
  <c r="F51" i="4"/>
  <c r="E51" i="4"/>
  <c r="G51" i="4"/>
  <c r="F47" i="8"/>
  <c r="B52" i="4"/>
  <c r="F52" i="4"/>
  <c r="F48" i="8"/>
  <c r="B53" i="4"/>
  <c r="F53" i="4"/>
  <c r="E53" i="4"/>
  <c r="G53" i="4"/>
  <c r="F49" i="8"/>
  <c r="B54" i="4"/>
  <c r="F54" i="4"/>
  <c r="E54" i="4"/>
  <c r="G54" i="4"/>
  <c r="F50" i="8"/>
  <c r="B55" i="4"/>
  <c r="F55" i="4"/>
  <c r="E55" i="4"/>
  <c r="G55" i="4"/>
  <c r="F51" i="8"/>
  <c r="B56" i="4"/>
  <c r="F56" i="4"/>
  <c r="E56" i="4"/>
  <c r="G56" i="4"/>
  <c r="F52" i="8"/>
  <c r="B57" i="4"/>
  <c r="F57" i="4"/>
  <c r="E57" i="4"/>
  <c r="G57" i="4"/>
  <c r="F53" i="8"/>
  <c r="B58" i="4"/>
  <c r="F58" i="4"/>
  <c r="E58" i="4"/>
  <c r="G58" i="4"/>
  <c r="F54" i="8"/>
  <c r="B59" i="4"/>
  <c r="F59" i="4"/>
  <c r="E59" i="4"/>
  <c r="G59" i="4"/>
  <c r="F55" i="8"/>
  <c r="B60" i="4"/>
  <c r="F60" i="4"/>
  <c r="E60" i="4"/>
  <c r="G60" i="4"/>
  <c r="F56" i="8"/>
  <c r="B61" i="4"/>
  <c r="F61" i="4"/>
  <c r="E61" i="4"/>
  <c r="G61" i="4"/>
  <c r="F57" i="8"/>
  <c r="B62" i="4"/>
  <c r="F62" i="4"/>
  <c r="F58" i="8"/>
  <c r="B63" i="4"/>
  <c r="F63" i="4"/>
  <c r="E63" i="4"/>
  <c r="G63" i="4"/>
  <c r="F59" i="8"/>
  <c r="B64" i="4"/>
  <c r="F64" i="4"/>
  <c r="E64" i="4"/>
  <c r="G64" i="4"/>
  <c r="F60" i="8"/>
  <c r="B65" i="4"/>
  <c r="F65" i="4"/>
  <c r="E65" i="4"/>
  <c r="G65" i="4"/>
  <c r="F61" i="8"/>
  <c r="B66" i="4"/>
  <c r="F66" i="4"/>
  <c r="F62" i="8"/>
  <c r="B67" i="4"/>
  <c r="F67" i="4"/>
  <c r="F63" i="8"/>
  <c r="B68" i="4"/>
  <c r="F68" i="4"/>
  <c r="E68" i="4"/>
  <c r="G68" i="4"/>
  <c r="F64" i="8"/>
  <c r="B69" i="4"/>
  <c r="F69" i="4"/>
  <c r="E69" i="4"/>
  <c r="G69" i="4"/>
  <c r="F65" i="8"/>
  <c r="B70" i="4"/>
  <c r="F70" i="4"/>
  <c r="F66" i="8"/>
  <c r="B71" i="4"/>
  <c r="F71" i="4"/>
  <c r="F67" i="8"/>
  <c r="B72" i="4"/>
  <c r="F72" i="4"/>
  <c r="F68" i="8"/>
  <c r="B8" i="8"/>
  <c r="B7" i="8"/>
  <c r="B9" i="8"/>
  <c r="B4" i="8"/>
  <c r="E30" i="4"/>
  <c r="E49" i="4"/>
  <c r="E50" i="4"/>
  <c r="E52" i="4"/>
  <c r="E62" i="4"/>
  <c r="E66" i="4"/>
  <c r="E67" i="4"/>
  <c r="E70" i="4"/>
  <c r="E71" i="4"/>
  <c r="E72" i="4"/>
  <c r="C14" i="8"/>
  <c r="D14" i="8"/>
  <c r="E14" i="8"/>
  <c r="J14" i="8"/>
  <c r="C15" i="8"/>
  <c r="D15" i="8"/>
  <c r="E15" i="8"/>
  <c r="J15" i="8"/>
  <c r="N8" i="4"/>
  <c r="G35" i="8"/>
  <c r="H35" i="8"/>
  <c r="I35" i="8"/>
  <c r="J35" i="8"/>
  <c r="K35" i="8"/>
  <c r="L35" i="8"/>
  <c r="M35" i="8"/>
  <c r="N35" i="8"/>
  <c r="O35" i="8"/>
  <c r="P35" i="8"/>
  <c r="Q35" i="8"/>
  <c r="R35" i="8"/>
  <c r="C22" i="8"/>
  <c r="G20" i="8"/>
  <c r="H20" i="8"/>
  <c r="I20" i="8"/>
  <c r="J20" i="8"/>
  <c r="K20" i="8"/>
  <c r="L20" i="8"/>
  <c r="M20" i="8"/>
  <c r="N20" i="8"/>
  <c r="O20" i="8"/>
  <c r="P20" i="8"/>
  <c r="Q20" i="8"/>
  <c r="R20" i="8"/>
  <c r="G21" i="8"/>
  <c r="H21" i="8"/>
  <c r="I21" i="8"/>
  <c r="J21" i="8"/>
  <c r="K21" i="8"/>
  <c r="L21" i="8"/>
  <c r="M21" i="8"/>
  <c r="N21" i="8"/>
  <c r="O21" i="8"/>
  <c r="P21" i="8"/>
  <c r="Q21" i="8"/>
  <c r="R21" i="8"/>
  <c r="G22" i="8"/>
  <c r="H22" i="8"/>
  <c r="I22" i="8"/>
  <c r="J22" i="8"/>
  <c r="K22" i="8"/>
  <c r="L22" i="8"/>
  <c r="M22" i="8"/>
  <c r="N22" i="8"/>
  <c r="O22" i="8"/>
  <c r="P22" i="8"/>
  <c r="Q22" i="8"/>
  <c r="R22" i="8"/>
  <c r="G23" i="8"/>
  <c r="H23" i="8"/>
  <c r="I23" i="8"/>
  <c r="J23" i="8"/>
  <c r="K23" i="8"/>
  <c r="L23" i="8"/>
  <c r="M23" i="8"/>
  <c r="N23" i="8"/>
  <c r="O23" i="8"/>
  <c r="P23" i="8"/>
  <c r="Q23" i="8"/>
  <c r="R23" i="8"/>
  <c r="G24" i="8"/>
  <c r="H24" i="8"/>
  <c r="I24" i="8"/>
  <c r="J24" i="8"/>
  <c r="K24" i="8"/>
  <c r="L24" i="8"/>
  <c r="M24" i="8"/>
  <c r="N24" i="8"/>
  <c r="O24" i="8"/>
  <c r="P24" i="8"/>
  <c r="Q24" i="8"/>
  <c r="R24" i="8"/>
  <c r="G25" i="8"/>
  <c r="H25" i="8"/>
  <c r="I25" i="8"/>
  <c r="J25" i="8"/>
  <c r="K25" i="8"/>
  <c r="L25" i="8"/>
  <c r="M25" i="8"/>
  <c r="N25" i="8"/>
  <c r="O25" i="8"/>
  <c r="P25" i="8"/>
  <c r="Q25" i="8"/>
  <c r="R25" i="8"/>
  <c r="G26" i="8"/>
  <c r="H26" i="8"/>
  <c r="I26" i="8"/>
  <c r="J26" i="8"/>
  <c r="K26" i="8"/>
  <c r="L26" i="8"/>
  <c r="M26" i="8"/>
  <c r="N26" i="8"/>
  <c r="O26" i="8"/>
  <c r="P26" i="8"/>
  <c r="Q26" i="8"/>
  <c r="R26" i="8"/>
  <c r="G27" i="8"/>
  <c r="H27" i="8"/>
  <c r="I27" i="8"/>
  <c r="J27" i="8"/>
  <c r="K27" i="8"/>
  <c r="L27" i="8"/>
  <c r="M27" i="8"/>
  <c r="N27" i="8"/>
  <c r="O27" i="8"/>
  <c r="P27" i="8"/>
  <c r="Q27" i="8"/>
  <c r="R27" i="8"/>
  <c r="G28" i="8"/>
  <c r="H28" i="8"/>
  <c r="I28" i="8"/>
  <c r="J28" i="8"/>
  <c r="K28" i="8"/>
  <c r="L28" i="8"/>
  <c r="M28" i="8"/>
  <c r="N28" i="8"/>
  <c r="O28" i="8"/>
  <c r="P28" i="8"/>
  <c r="Q28" i="8"/>
  <c r="R28" i="8"/>
  <c r="G29" i="8"/>
  <c r="H29" i="8"/>
  <c r="I29" i="8"/>
  <c r="J29" i="8"/>
  <c r="K29" i="8"/>
  <c r="L29" i="8"/>
  <c r="M29" i="8"/>
  <c r="N29" i="8"/>
  <c r="O29" i="8"/>
  <c r="P29" i="8"/>
  <c r="Q29" i="8"/>
  <c r="R29" i="8"/>
  <c r="G30" i="8"/>
  <c r="H30" i="8"/>
  <c r="I30" i="8"/>
  <c r="J30" i="8"/>
  <c r="K30" i="8"/>
  <c r="L30" i="8"/>
  <c r="M30" i="8"/>
  <c r="N30" i="8"/>
  <c r="O30" i="8"/>
  <c r="P30" i="8"/>
  <c r="Q30" i="8"/>
  <c r="R30" i="8"/>
  <c r="G31" i="8"/>
  <c r="H31" i="8"/>
  <c r="I31" i="8"/>
  <c r="J31" i="8"/>
  <c r="K31" i="8"/>
  <c r="L31" i="8"/>
  <c r="M31" i="8"/>
  <c r="N31" i="8"/>
  <c r="O31" i="8"/>
  <c r="P31" i="8"/>
  <c r="Q31" i="8"/>
  <c r="R31" i="8"/>
  <c r="G32" i="8"/>
  <c r="H32" i="8"/>
  <c r="I32" i="8"/>
  <c r="J32" i="8"/>
  <c r="K32" i="8"/>
  <c r="L32" i="8"/>
  <c r="M32" i="8"/>
  <c r="N32" i="8"/>
  <c r="O32" i="8"/>
  <c r="P32" i="8"/>
  <c r="Q32" i="8"/>
  <c r="R32" i="8"/>
  <c r="G33" i="8"/>
  <c r="H33" i="8"/>
  <c r="I33" i="8"/>
  <c r="J33" i="8"/>
  <c r="K33" i="8"/>
  <c r="L33" i="8"/>
  <c r="M33" i="8"/>
  <c r="N33" i="8"/>
  <c r="O33" i="8"/>
  <c r="P33" i="8"/>
  <c r="Q33" i="8"/>
  <c r="R33" i="8"/>
  <c r="G34" i="8"/>
  <c r="H34" i="8"/>
  <c r="I34" i="8"/>
  <c r="J34" i="8"/>
  <c r="K34" i="8"/>
  <c r="L34" i="8"/>
  <c r="M34" i="8"/>
  <c r="N34" i="8"/>
  <c r="O34" i="8"/>
  <c r="P34" i="8"/>
  <c r="Q34" i="8"/>
  <c r="R34" i="8"/>
  <c r="G36" i="8"/>
  <c r="H36" i="8"/>
  <c r="I36" i="8"/>
  <c r="J36" i="8"/>
  <c r="K36" i="8"/>
  <c r="L36" i="8"/>
  <c r="M36" i="8"/>
  <c r="N36" i="8"/>
  <c r="O36" i="8"/>
  <c r="P36" i="8"/>
  <c r="Q36" i="8"/>
  <c r="R36" i="8"/>
  <c r="G37" i="8"/>
  <c r="H37" i="8"/>
  <c r="I37" i="8"/>
  <c r="J37" i="8"/>
  <c r="K37" i="8"/>
  <c r="L37" i="8"/>
  <c r="M37" i="8"/>
  <c r="N37" i="8"/>
  <c r="O37" i="8"/>
  <c r="P37" i="8"/>
  <c r="Q37" i="8"/>
  <c r="R37" i="8"/>
  <c r="G38" i="8"/>
  <c r="H38" i="8"/>
  <c r="I38" i="8"/>
  <c r="J38" i="8"/>
  <c r="K38" i="8"/>
  <c r="L38" i="8"/>
  <c r="M38" i="8"/>
  <c r="N38" i="8"/>
  <c r="O38" i="8"/>
  <c r="P38" i="8"/>
  <c r="Q38" i="8"/>
  <c r="R38" i="8"/>
  <c r="G39" i="8"/>
  <c r="H39" i="8"/>
  <c r="I39" i="8"/>
  <c r="J39" i="8"/>
  <c r="K39" i="8"/>
  <c r="L39" i="8"/>
  <c r="M39" i="8"/>
  <c r="N39" i="8"/>
  <c r="O39" i="8"/>
  <c r="P39" i="8"/>
  <c r="Q39" i="8"/>
  <c r="R39" i="8"/>
  <c r="G40" i="8"/>
  <c r="H40" i="8"/>
  <c r="I40" i="8"/>
  <c r="J40" i="8"/>
  <c r="K40" i="8"/>
  <c r="L40" i="8"/>
  <c r="M40" i="8"/>
  <c r="N40" i="8"/>
  <c r="O40" i="8"/>
  <c r="P40" i="8"/>
  <c r="Q40" i="8"/>
  <c r="R40" i="8"/>
  <c r="G41" i="8"/>
  <c r="H41" i="8"/>
  <c r="I41" i="8"/>
  <c r="J41" i="8"/>
  <c r="K41" i="8"/>
  <c r="L41" i="8"/>
  <c r="M41" i="8"/>
  <c r="N41" i="8"/>
  <c r="O41" i="8"/>
  <c r="P41" i="8"/>
  <c r="Q41" i="8"/>
  <c r="R41" i="8"/>
  <c r="G42" i="8"/>
  <c r="H42" i="8"/>
  <c r="I42" i="8"/>
  <c r="J42" i="8"/>
  <c r="K42" i="8"/>
  <c r="L42" i="8"/>
  <c r="M42" i="8"/>
  <c r="N42" i="8"/>
  <c r="O42" i="8"/>
  <c r="P42" i="8"/>
  <c r="Q42" i="8"/>
  <c r="R42" i="8"/>
  <c r="G43" i="8"/>
  <c r="H43" i="8"/>
  <c r="I43" i="8"/>
  <c r="J43" i="8"/>
  <c r="K43" i="8"/>
  <c r="L43" i="8"/>
  <c r="M43" i="8"/>
  <c r="N43" i="8"/>
  <c r="O43" i="8"/>
  <c r="P43" i="8"/>
  <c r="Q43" i="8"/>
  <c r="R43" i="8"/>
  <c r="G44" i="8"/>
  <c r="H44" i="8"/>
  <c r="I44" i="8"/>
  <c r="J44" i="8"/>
  <c r="K44" i="8"/>
  <c r="L44" i="8"/>
  <c r="M44" i="8"/>
  <c r="N44" i="8"/>
  <c r="O44" i="8"/>
  <c r="P44" i="8"/>
  <c r="Q44" i="8"/>
  <c r="R44" i="8"/>
  <c r="G45" i="8"/>
  <c r="H45" i="8"/>
  <c r="I45" i="8"/>
  <c r="J45" i="8"/>
  <c r="K45" i="8"/>
  <c r="L45" i="8"/>
  <c r="M45" i="8"/>
  <c r="N45" i="8"/>
  <c r="O45" i="8"/>
  <c r="P45" i="8"/>
  <c r="Q45" i="8"/>
  <c r="R45" i="8"/>
  <c r="G46" i="8"/>
  <c r="H46" i="8"/>
  <c r="I46" i="8"/>
  <c r="J46" i="8"/>
  <c r="K46" i="8"/>
  <c r="L46" i="8"/>
  <c r="M46" i="8"/>
  <c r="N46" i="8"/>
  <c r="O46" i="8"/>
  <c r="P46" i="8"/>
  <c r="Q46" i="8"/>
  <c r="R46" i="8"/>
  <c r="G47" i="8"/>
  <c r="H47" i="8"/>
  <c r="I47" i="8"/>
  <c r="J47" i="8"/>
  <c r="K47" i="8"/>
  <c r="L47" i="8"/>
  <c r="M47" i="8"/>
  <c r="N47" i="8"/>
  <c r="O47" i="8"/>
  <c r="P47" i="8"/>
  <c r="Q47" i="8"/>
  <c r="R47" i="8"/>
  <c r="G48" i="8"/>
  <c r="H48" i="8"/>
  <c r="I48" i="8"/>
  <c r="J48" i="8"/>
  <c r="K48" i="8"/>
  <c r="L48" i="8"/>
  <c r="M48" i="8"/>
  <c r="N48" i="8"/>
  <c r="O48" i="8"/>
  <c r="P48" i="8"/>
  <c r="Q48" i="8"/>
  <c r="R48" i="8"/>
  <c r="G49" i="8"/>
  <c r="H49" i="8"/>
  <c r="I49" i="8"/>
  <c r="J49" i="8"/>
  <c r="K49" i="8"/>
  <c r="L49" i="8"/>
  <c r="M49" i="8"/>
  <c r="N49" i="8"/>
  <c r="O49" i="8"/>
  <c r="P49" i="8"/>
  <c r="Q49" i="8"/>
  <c r="R49" i="8"/>
  <c r="G50" i="8"/>
  <c r="H50" i="8"/>
  <c r="I50" i="8"/>
  <c r="J50" i="8"/>
  <c r="K50" i="8"/>
  <c r="L50" i="8"/>
  <c r="M50" i="8"/>
  <c r="N50" i="8"/>
  <c r="O50" i="8"/>
  <c r="P50" i="8"/>
  <c r="Q50" i="8"/>
  <c r="R50" i="8"/>
  <c r="G51" i="8"/>
  <c r="H51" i="8"/>
  <c r="I51" i="8"/>
  <c r="J51" i="8"/>
  <c r="K51" i="8"/>
  <c r="L51" i="8"/>
  <c r="M51" i="8"/>
  <c r="N51" i="8"/>
  <c r="O51" i="8"/>
  <c r="P51" i="8"/>
  <c r="Q51" i="8"/>
  <c r="R51" i="8"/>
  <c r="G52" i="8"/>
  <c r="H52" i="8"/>
  <c r="I52" i="8"/>
  <c r="J52" i="8"/>
  <c r="K52" i="8"/>
  <c r="L52" i="8"/>
  <c r="M52" i="8"/>
  <c r="N52" i="8"/>
  <c r="O52" i="8"/>
  <c r="P52" i="8"/>
  <c r="Q52" i="8"/>
  <c r="R52" i="8"/>
  <c r="G53" i="8"/>
  <c r="H53" i="8"/>
  <c r="I53" i="8"/>
  <c r="J53" i="8"/>
  <c r="K53" i="8"/>
  <c r="L53" i="8"/>
  <c r="M53" i="8"/>
  <c r="N53" i="8"/>
  <c r="O53" i="8"/>
  <c r="P53" i="8"/>
  <c r="Q53" i="8"/>
  <c r="R53" i="8"/>
  <c r="R54" i="8"/>
  <c r="G55" i="8"/>
  <c r="H55" i="8"/>
  <c r="I55" i="8"/>
  <c r="J55" i="8"/>
  <c r="K55" i="8"/>
  <c r="L55" i="8"/>
  <c r="M55" i="8"/>
  <c r="N55" i="8"/>
  <c r="O55" i="8"/>
  <c r="P55" i="8"/>
  <c r="Q55" i="8"/>
  <c r="R55" i="8"/>
  <c r="G56" i="8"/>
  <c r="H56" i="8"/>
  <c r="I56" i="8"/>
  <c r="J56" i="8"/>
  <c r="K56" i="8"/>
  <c r="L56" i="8"/>
  <c r="M56" i="8"/>
  <c r="N56" i="8"/>
  <c r="O56" i="8"/>
  <c r="P56" i="8"/>
  <c r="Q56" i="8"/>
  <c r="R56" i="8"/>
  <c r="G57" i="8"/>
  <c r="H57" i="8"/>
  <c r="I57" i="8"/>
  <c r="J57" i="8"/>
  <c r="K57" i="8"/>
  <c r="L57" i="8"/>
  <c r="M57" i="8"/>
  <c r="N57" i="8"/>
  <c r="O57" i="8"/>
  <c r="P57" i="8"/>
  <c r="Q57" i="8"/>
  <c r="R57" i="8"/>
  <c r="G58" i="8"/>
  <c r="H58" i="8"/>
  <c r="I58" i="8"/>
  <c r="J58" i="8"/>
  <c r="K58" i="8"/>
  <c r="L58" i="8"/>
  <c r="M58" i="8"/>
  <c r="N58" i="8"/>
  <c r="O58" i="8"/>
  <c r="P58" i="8"/>
  <c r="Q58" i="8"/>
  <c r="R58" i="8"/>
  <c r="G59" i="8"/>
  <c r="H59" i="8"/>
  <c r="I59" i="8"/>
  <c r="J59" i="8"/>
  <c r="K59" i="8"/>
  <c r="L59" i="8"/>
  <c r="M59" i="8"/>
  <c r="N59" i="8"/>
  <c r="O59" i="8"/>
  <c r="P59" i="8"/>
  <c r="Q59" i="8"/>
  <c r="R59" i="8"/>
  <c r="G60" i="8"/>
  <c r="H60" i="8"/>
  <c r="I60" i="8"/>
  <c r="J60" i="8"/>
  <c r="K60" i="8"/>
  <c r="L60" i="8"/>
  <c r="M60" i="8"/>
  <c r="N60" i="8"/>
  <c r="O60" i="8"/>
  <c r="P60" i="8"/>
  <c r="Q60" i="8"/>
  <c r="R60" i="8"/>
  <c r="G61" i="8"/>
  <c r="H61" i="8"/>
  <c r="I61" i="8"/>
  <c r="J61" i="8"/>
  <c r="K61" i="8"/>
  <c r="L61" i="8"/>
  <c r="M61" i="8"/>
  <c r="N61" i="8"/>
  <c r="O61" i="8"/>
  <c r="P61" i="8"/>
  <c r="Q61" i="8"/>
  <c r="R61" i="8"/>
  <c r="G62" i="8"/>
  <c r="H62" i="8"/>
  <c r="I62" i="8"/>
  <c r="J62" i="8"/>
  <c r="K62" i="8"/>
  <c r="L62" i="8"/>
  <c r="M62" i="8"/>
  <c r="N62" i="8"/>
  <c r="O62" i="8"/>
  <c r="P62" i="8"/>
  <c r="Q62" i="8"/>
  <c r="R62" i="8"/>
  <c r="G63" i="8"/>
  <c r="H63" i="8"/>
  <c r="I63" i="8"/>
  <c r="J63" i="8"/>
  <c r="K63" i="8"/>
  <c r="L63" i="8"/>
  <c r="M63" i="8"/>
  <c r="N63" i="8"/>
  <c r="O63" i="8"/>
  <c r="P63" i="8"/>
  <c r="Q63" i="8"/>
  <c r="R63" i="8"/>
  <c r="R64" i="8"/>
  <c r="G65" i="8"/>
  <c r="H65" i="8"/>
  <c r="I65" i="8"/>
  <c r="J65" i="8"/>
  <c r="K65" i="8"/>
  <c r="L65" i="8"/>
  <c r="M65" i="8"/>
  <c r="N65" i="8"/>
  <c r="O65" i="8"/>
  <c r="P65" i="8"/>
  <c r="Q65" i="8"/>
  <c r="R65" i="8"/>
  <c r="G66" i="8"/>
  <c r="H66" i="8"/>
  <c r="I66" i="8"/>
  <c r="J66" i="8"/>
  <c r="K66" i="8"/>
  <c r="L66" i="8"/>
  <c r="M66" i="8"/>
  <c r="N66" i="8"/>
  <c r="O66" i="8"/>
  <c r="P66" i="8"/>
  <c r="Q66" i="8"/>
  <c r="R66" i="8"/>
  <c r="G67" i="8"/>
  <c r="H67" i="8"/>
  <c r="I67" i="8"/>
  <c r="J67" i="8"/>
  <c r="K67" i="8"/>
  <c r="L67" i="8"/>
  <c r="M67" i="8"/>
  <c r="N67" i="8"/>
  <c r="O67" i="8"/>
  <c r="P67" i="8"/>
  <c r="Q67" i="8"/>
  <c r="R67" i="8"/>
  <c r="G68" i="8"/>
  <c r="H68" i="8"/>
  <c r="I68" i="8"/>
  <c r="J68" i="8"/>
  <c r="K68" i="8"/>
  <c r="L68" i="8"/>
  <c r="M68" i="8"/>
  <c r="N68" i="8"/>
  <c r="O68" i="8"/>
  <c r="P68" i="8"/>
  <c r="Q68" i="8"/>
  <c r="R68" i="8"/>
  <c r="C29" i="8"/>
  <c r="C54" i="8"/>
  <c r="C64" i="8"/>
  <c r="B22" i="8"/>
  <c r="B29" i="8"/>
  <c r="B54" i="8"/>
  <c r="B64" i="8"/>
  <c r="J7" i="4"/>
  <c r="F103" i="8"/>
  <c r="G103" i="8"/>
  <c r="H103" i="8"/>
  <c r="I103" i="8"/>
  <c r="J103" i="8"/>
  <c r="K103" i="8"/>
  <c r="L103" i="8"/>
  <c r="M103" i="8"/>
  <c r="N103" i="8"/>
  <c r="O103" i="8"/>
  <c r="P103" i="8"/>
  <c r="Q103" i="8"/>
  <c r="R103" i="8"/>
  <c r="F104" i="8"/>
  <c r="G104" i="8"/>
  <c r="H104" i="8"/>
  <c r="I104" i="8"/>
  <c r="J104" i="8"/>
  <c r="K104" i="8"/>
  <c r="L104" i="8"/>
  <c r="M104" i="8"/>
  <c r="N104" i="8"/>
  <c r="O104" i="8"/>
  <c r="P104" i="8"/>
  <c r="Q104" i="8"/>
  <c r="R104" i="8"/>
  <c r="F105" i="8"/>
  <c r="G105" i="8"/>
  <c r="H105" i="8"/>
  <c r="I105" i="8"/>
  <c r="J105" i="8"/>
  <c r="K105" i="8"/>
  <c r="L105" i="8"/>
  <c r="M105" i="8"/>
  <c r="N105" i="8"/>
  <c r="O105" i="8"/>
  <c r="P105" i="8"/>
  <c r="Q105" i="8"/>
  <c r="R105" i="8"/>
  <c r="F106" i="8"/>
  <c r="G106" i="8"/>
  <c r="H106" i="8"/>
  <c r="I106" i="8"/>
  <c r="J106" i="8"/>
  <c r="K106" i="8"/>
  <c r="L106" i="8"/>
  <c r="M106" i="8"/>
  <c r="N106" i="8"/>
  <c r="O106" i="8"/>
  <c r="P106" i="8"/>
  <c r="Q106" i="8"/>
  <c r="R106" i="8"/>
  <c r="F74" i="8"/>
  <c r="G74" i="8"/>
  <c r="H74" i="8"/>
  <c r="I74" i="8"/>
  <c r="J74" i="8"/>
  <c r="K74" i="8"/>
  <c r="L74" i="8"/>
  <c r="M74" i="8"/>
  <c r="N74" i="8"/>
  <c r="O74" i="8"/>
  <c r="P74" i="8"/>
  <c r="Q74" i="8"/>
  <c r="R74" i="8"/>
  <c r="F75" i="8"/>
  <c r="G75" i="8"/>
  <c r="H75" i="8"/>
  <c r="I75" i="8"/>
  <c r="J75" i="8"/>
  <c r="K75" i="8"/>
  <c r="L75" i="8"/>
  <c r="M75" i="8"/>
  <c r="N75" i="8"/>
  <c r="O75" i="8"/>
  <c r="P75" i="8"/>
  <c r="Q75" i="8"/>
  <c r="R75" i="8"/>
  <c r="F76" i="8"/>
  <c r="G76" i="8"/>
  <c r="H76" i="8"/>
  <c r="I76" i="8"/>
  <c r="J76" i="8"/>
  <c r="K76" i="8"/>
  <c r="L76" i="8"/>
  <c r="M76" i="8"/>
  <c r="N76" i="8"/>
  <c r="O76" i="8"/>
  <c r="P76" i="8"/>
  <c r="Q76" i="8"/>
  <c r="R76" i="8"/>
  <c r="F77" i="8"/>
  <c r="G77" i="8"/>
  <c r="H77" i="8"/>
  <c r="I77" i="8"/>
  <c r="J77" i="8"/>
  <c r="K77" i="8"/>
  <c r="L77" i="8"/>
  <c r="M77" i="8"/>
  <c r="N77" i="8"/>
  <c r="O77" i="8"/>
  <c r="P77" i="8"/>
  <c r="Q77" i="8"/>
  <c r="R77" i="8"/>
  <c r="F78" i="8"/>
  <c r="G78" i="8"/>
  <c r="H78" i="8"/>
  <c r="I78" i="8"/>
  <c r="J78" i="8"/>
  <c r="K78" i="8"/>
  <c r="L78" i="8"/>
  <c r="M78" i="8"/>
  <c r="N78" i="8"/>
  <c r="O78" i="8"/>
  <c r="P78" i="8"/>
  <c r="Q78" i="8"/>
  <c r="R78" i="8"/>
  <c r="F79" i="8"/>
  <c r="G79" i="8"/>
  <c r="H79" i="8"/>
  <c r="I79" i="8"/>
  <c r="J79" i="8"/>
  <c r="K79" i="8"/>
  <c r="L79" i="8"/>
  <c r="M79" i="8"/>
  <c r="N79" i="8"/>
  <c r="O79" i="8"/>
  <c r="P79" i="8"/>
  <c r="Q79" i="8"/>
  <c r="R79" i="8"/>
  <c r="G30" i="4"/>
  <c r="F80" i="8"/>
  <c r="G80" i="8"/>
  <c r="H80" i="8"/>
  <c r="I80" i="8"/>
  <c r="J80" i="8"/>
  <c r="K80" i="8"/>
  <c r="L80" i="8"/>
  <c r="M80" i="8"/>
  <c r="N80" i="8"/>
  <c r="O80" i="8"/>
  <c r="P80" i="8"/>
  <c r="Q80" i="8"/>
  <c r="R80" i="8"/>
  <c r="F81" i="8"/>
  <c r="G81" i="8"/>
  <c r="H81" i="8"/>
  <c r="I81" i="8"/>
  <c r="J81" i="8"/>
  <c r="K81" i="8"/>
  <c r="L81" i="8"/>
  <c r="M81" i="8"/>
  <c r="N81" i="8"/>
  <c r="O81" i="8"/>
  <c r="P81" i="8"/>
  <c r="Q81" i="8"/>
  <c r="R81" i="8"/>
  <c r="F82" i="8"/>
  <c r="G82" i="8"/>
  <c r="H82" i="8"/>
  <c r="I82" i="8"/>
  <c r="J82" i="8"/>
  <c r="K82" i="8"/>
  <c r="L82" i="8"/>
  <c r="M82" i="8"/>
  <c r="N82" i="8"/>
  <c r="O82" i="8"/>
  <c r="P82" i="8"/>
  <c r="Q82" i="8"/>
  <c r="R82" i="8"/>
  <c r="F83" i="8"/>
  <c r="G83" i="8"/>
  <c r="H83" i="8"/>
  <c r="I83" i="8"/>
  <c r="J83" i="8"/>
  <c r="K83" i="8"/>
  <c r="L83" i="8"/>
  <c r="M83" i="8"/>
  <c r="N83" i="8"/>
  <c r="O83" i="8"/>
  <c r="P83" i="8"/>
  <c r="Q83" i="8"/>
  <c r="R83" i="8"/>
  <c r="F84" i="8"/>
  <c r="G84" i="8"/>
  <c r="H84" i="8"/>
  <c r="I84" i="8"/>
  <c r="J84" i="8"/>
  <c r="K84" i="8"/>
  <c r="L84" i="8"/>
  <c r="M84" i="8"/>
  <c r="N84" i="8"/>
  <c r="O84" i="8"/>
  <c r="P84" i="8"/>
  <c r="Q84" i="8"/>
  <c r="R84" i="8"/>
  <c r="F85" i="8"/>
  <c r="G85" i="8"/>
  <c r="H85" i="8"/>
  <c r="I85" i="8"/>
  <c r="J85" i="8"/>
  <c r="K85" i="8"/>
  <c r="L85" i="8"/>
  <c r="M85" i="8"/>
  <c r="N85" i="8"/>
  <c r="O85" i="8"/>
  <c r="P85" i="8"/>
  <c r="Q85" i="8"/>
  <c r="R85" i="8"/>
  <c r="F86" i="8"/>
  <c r="G86" i="8"/>
  <c r="H86" i="8"/>
  <c r="I86" i="8"/>
  <c r="J86" i="8"/>
  <c r="K86" i="8"/>
  <c r="L86" i="8"/>
  <c r="M86" i="8"/>
  <c r="N86" i="8"/>
  <c r="O86" i="8"/>
  <c r="P86" i="8"/>
  <c r="Q86" i="8"/>
  <c r="R86" i="8"/>
  <c r="F87" i="8"/>
  <c r="G87" i="8"/>
  <c r="H87" i="8"/>
  <c r="I87" i="8"/>
  <c r="J87" i="8"/>
  <c r="K87" i="8"/>
  <c r="L87" i="8"/>
  <c r="M87" i="8"/>
  <c r="N87" i="8"/>
  <c r="O87" i="8"/>
  <c r="P87" i="8"/>
  <c r="Q87" i="8"/>
  <c r="R87" i="8"/>
  <c r="F88" i="8"/>
  <c r="G88" i="8"/>
  <c r="H88" i="8"/>
  <c r="I88" i="8"/>
  <c r="J88" i="8"/>
  <c r="K88" i="8"/>
  <c r="L88" i="8"/>
  <c r="M88" i="8"/>
  <c r="N88" i="8"/>
  <c r="O88" i="8"/>
  <c r="P88" i="8"/>
  <c r="Q88" i="8"/>
  <c r="R88" i="8"/>
  <c r="F89" i="8"/>
  <c r="G89" i="8"/>
  <c r="H89" i="8"/>
  <c r="I89" i="8"/>
  <c r="J89" i="8"/>
  <c r="K89" i="8"/>
  <c r="L89" i="8"/>
  <c r="M89" i="8"/>
  <c r="N89" i="8"/>
  <c r="O89" i="8"/>
  <c r="P89" i="8"/>
  <c r="Q89" i="8"/>
  <c r="R89" i="8"/>
  <c r="F90" i="8"/>
  <c r="G90" i="8"/>
  <c r="H90" i="8"/>
  <c r="I90" i="8"/>
  <c r="J90" i="8"/>
  <c r="K90" i="8"/>
  <c r="L90" i="8"/>
  <c r="M90" i="8"/>
  <c r="N90" i="8"/>
  <c r="O90" i="8"/>
  <c r="P90" i="8"/>
  <c r="Q90" i="8"/>
  <c r="R90" i="8"/>
  <c r="F91" i="8"/>
  <c r="G91" i="8"/>
  <c r="H91" i="8"/>
  <c r="I91" i="8"/>
  <c r="J91" i="8"/>
  <c r="K91" i="8"/>
  <c r="L91" i="8"/>
  <c r="M91" i="8"/>
  <c r="N91" i="8"/>
  <c r="O91" i="8"/>
  <c r="P91" i="8"/>
  <c r="Q91" i="8"/>
  <c r="R91" i="8"/>
  <c r="F92" i="8"/>
  <c r="G92" i="8"/>
  <c r="H92" i="8"/>
  <c r="I92" i="8"/>
  <c r="J92" i="8"/>
  <c r="K92" i="8"/>
  <c r="L92" i="8"/>
  <c r="M92" i="8"/>
  <c r="N92" i="8"/>
  <c r="O92" i="8"/>
  <c r="P92" i="8"/>
  <c r="Q92" i="8"/>
  <c r="R92" i="8"/>
  <c r="F93" i="8"/>
  <c r="G93" i="8"/>
  <c r="H93" i="8"/>
  <c r="I93" i="8"/>
  <c r="J93" i="8"/>
  <c r="K93" i="8"/>
  <c r="L93" i="8"/>
  <c r="M93" i="8"/>
  <c r="N93" i="8"/>
  <c r="O93" i="8"/>
  <c r="P93" i="8"/>
  <c r="Q93" i="8"/>
  <c r="R93" i="8"/>
  <c r="F94" i="8"/>
  <c r="G94" i="8"/>
  <c r="H94" i="8"/>
  <c r="I94" i="8"/>
  <c r="J94" i="8"/>
  <c r="K94" i="8"/>
  <c r="L94" i="8"/>
  <c r="M94" i="8"/>
  <c r="N94" i="8"/>
  <c r="O94" i="8"/>
  <c r="P94" i="8"/>
  <c r="Q94" i="8"/>
  <c r="R94" i="8"/>
  <c r="F95" i="8"/>
  <c r="G95" i="8"/>
  <c r="H95" i="8"/>
  <c r="I95" i="8"/>
  <c r="J95" i="8"/>
  <c r="K95" i="8"/>
  <c r="L95" i="8"/>
  <c r="M95" i="8"/>
  <c r="N95" i="8"/>
  <c r="O95" i="8"/>
  <c r="P95" i="8"/>
  <c r="Q95" i="8"/>
  <c r="R95" i="8"/>
  <c r="F96" i="8"/>
  <c r="G96" i="8"/>
  <c r="H96" i="8"/>
  <c r="I96" i="8"/>
  <c r="J96" i="8"/>
  <c r="K96" i="8"/>
  <c r="L96" i="8"/>
  <c r="M96" i="8"/>
  <c r="N96" i="8"/>
  <c r="O96" i="8"/>
  <c r="P96" i="8"/>
  <c r="Q96" i="8"/>
  <c r="R96" i="8"/>
  <c r="F97" i="8"/>
  <c r="G97" i="8"/>
  <c r="H97" i="8"/>
  <c r="I97" i="8"/>
  <c r="J97" i="8"/>
  <c r="K97" i="8"/>
  <c r="L97" i="8"/>
  <c r="M97" i="8"/>
  <c r="N97" i="8"/>
  <c r="O97" i="8"/>
  <c r="P97" i="8"/>
  <c r="Q97" i="8"/>
  <c r="R97" i="8"/>
  <c r="F98" i="8"/>
  <c r="G98" i="8"/>
  <c r="H98" i="8"/>
  <c r="I98" i="8"/>
  <c r="J98" i="8"/>
  <c r="K98" i="8"/>
  <c r="L98" i="8"/>
  <c r="M98" i="8"/>
  <c r="N98" i="8"/>
  <c r="O98" i="8"/>
  <c r="P98" i="8"/>
  <c r="Q98" i="8"/>
  <c r="R98" i="8"/>
  <c r="G49" i="4"/>
  <c r="F99" i="8"/>
  <c r="G99" i="8"/>
  <c r="H99" i="8"/>
  <c r="I99" i="8"/>
  <c r="J99" i="8"/>
  <c r="K99" i="8"/>
  <c r="L99" i="8"/>
  <c r="M99" i="8"/>
  <c r="N99" i="8"/>
  <c r="O99" i="8"/>
  <c r="P99" i="8"/>
  <c r="Q99" i="8"/>
  <c r="R99" i="8"/>
  <c r="G50" i="4"/>
  <c r="F100" i="8"/>
  <c r="G100" i="8"/>
  <c r="H100" i="8"/>
  <c r="I100" i="8"/>
  <c r="J100" i="8"/>
  <c r="K100" i="8"/>
  <c r="L100" i="8"/>
  <c r="M100" i="8"/>
  <c r="N100" i="8"/>
  <c r="O100" i="8"/>
  <c r="P100" i="8"/>
  <c r="Q100" i="8"/>
  <c r="R100" i="8"/>
  <c r="F101" i="8"/>
  <c r="G101" i="8"/>
  <c r="H101" i="8"/>
  <c r="I101" i="8"/>
  <c r="J101" i="8"/>
  <c r="K101" i="8"/>
  <c r="L101" i="8"/>
  <c r="M101" i="8"/>
  <c r="N101" i="8"/>
  <c r="O101" i="8"/>
  <c r="P101" i="8"/>
  <c r="Q101" i="8"/>
  <c r="R101" i="8"/>
  <c r="G52" i="4"/>
  <c r="F102" i="8"/>
  <c r="G102" i="8"/>
  <c r="H102" i="8"/>
  <c r="I102" i="8"/>
  <c r="J102" i="8"/>
  <c r="K102" i="8"/>
  <c r="L102" i="8"/>
  <c r="M102" i="8"/>
  <c r="N102" i="8"/>
  <c r="O102" i="8"/>
  <c r="P102" i="8"/>
  <c r="Q102" i="8"/>
  <c r="R102" i="8"/>
  <c r="F107" i="8"/>
  <c r="G107" i="8"/>
  <c r="H107" i="8"/>
  <c r="I107" i="8"/>
  <c r="J107" i="8"/>
  <c r="K107" i="8"/>
  <c r="L107" i="8"/>
  <c r="M107" i="8"/>
  <c r="N107" i="8"/>
  <c r="O107" i="8"/>
  <c r="P107" i="8"/>
  <c r="Q107" i="8"/>
  <c r="R107" i="8"/>
  <c r="F108" i="8"/>
  <c r="G108" i="8"/>
  <c r="H108" i="8"/>
  <c r="I108" i="8"/>
  <c r="J108" i="8"/>
  <c r="K108" i="8"/>
  <c r="L108" i="8"/>
  <c r="M108" i="8"/>
  <c r="N108" i="8"/>
  <c r="O108" i="8"/>
  <c r="P108" i="8"/>
  <c r="Q108" i="8"/>
  <c r="R108" i="8"/>
  <c r="F109" i="8"/>
  <c r="G109" i="8"/>
  <c r="H109" i="8"/>
  <c r="I109" i="8"/>
  <c r="J109" i="8"/>
  <c r="K109" i="8"/>
  <c r="L109" i="8"/>
  <c r="M109" i="8"/>
  <c r="N109" i="8"/>
  <c r="O109" i="8"/>
  <c r="P109" i="8"/>
  <c r="Q109" i="8"/>
  <c r="R109" i="8"/>
  <c r="F110" i="8"/>
  <c r="G110" i="8"/>
  <c r="H110" i="8"/>
  <c r="I110" i="8"/>
  <c r="J110" i="8"/>
  <c r="K110" i="8"/>
  <c r="L110" i="8"/>
  <c r="M110" i="8"/>
  <c r="N110" i="8"/>
  <c r="O110" i="8"/>
  <c r="P110" i="8"/>
  <c r="Q110" i="8"/>
  <c r="R110" i="8"/>
  <c r="F111" i="8"/>
  <c r="G111" i="8"/>
  <c r="H111" i="8"/>
  <c r="I111" i="8"/>
  <c r="J111" i="8"/>
  <c r="K111" i="8"/>
  <c r="L111" i="8"/>
  <c r="M111" i="8"/>
  <c r="N111" i="8"/>
  <c r="O111" i="8"/>
  <c r="P111" i="8"/>
  <c r="Q111" i="8"/>
  <c r="R111" i="8"/>
  <c r="F112" i="8"/>
  <c r="G112" i="8"/>
  <c r="H112" i="8"/>
  <c r="I112" i="8"/>
  <c r="J112" i="8"/>
  <c r="K112" i="8"/>
  <c r="L112" i="8"/>
  <c r="M112" i="8"/>
  <c r="N112" i="8"/>
  <c r="O112" i="8"/>
  <c r="P112" i="8"/>
  <c r="Q112" i="8"/>
  <c r="R112" i="8"/>
  <c r="F113" i="8"/>
  <c r="G113" i="8"/>
  <c r="H113" i="8"/>
  <c r="I113" i="8"/>
  <c r="J113" i="8"/>
  <c r="K113" i="8"/>
  <c r="L113" i="8"/>
  <c r="M113" i="8"/>
  <c r="N113" i="8"/>
  <c r="O113" i="8"/>
  <c r="P113" i="8"/>
  <c r="Q113" i="8"/>
  <c r="R113" i="8"/>
  <c r="F114" i="8"/>
  <c r="G114" i="8"/>
  <c r="H114" i="8"/>
  <c r="I114" i="8"/>
  <c r="J114" i="8"/>
  <c r="K114" i="8"/>
  <c r="L114" i="8"/>
  <c r="M114" i="8"/>
  <c r="N114" i="8"/>
  <c r="O114" i="8"/>
  <c r="P114" i="8"/>
  <c r="Q114" i="8"/>
  <c r="R114" i="8"/>
  <c r="F115" i="8"/>
  <c r="G115" i="8"/>
  <c r="H115" i="8"/>
  <c r="I115" i="8"/>
  <c r="J115" i="8"/>
  <c r="K115" i="8"/>
  <c r="L115" i="8"/>
  <c r="M115" i="8"/>
  <c r="N115" i="8"/>
  <c r="O115" i="8"/>
  <c r="P115" i="8"/>
  <c r="Q115" i="8"/>
  <c r="R115" i="8"/>
  <c r="F116" i="8"/>
  <c r="G116" i="8"/>
  <c r="H116" i="8"/>
  <c r="I116" i="8"/>
  <c r="J116" i="8"/>
  <c r="K116" i="8"/>
  <c r="L116" i="8"/>
  <c r="M116" i="8"/>
  <c r="N116" i="8"/>
  <c r="O116" i="8"/>
  <c r="P116" i="8"/>
  <c r="Q116" i="8"/>
  <c r="R116" i="8"/>
  <c r="F117" i="8"/>
  <c r="G117" i="8"/>
  <c r="H117" i="8"/>
  <c r="I117" i="8"/>
  <c r="J117" i="8"/>
  <c r="K117" i="8"/>
  <c r="L117" i="8"/>
  <c r="M117" i="8"/>
  <c r="N117" i="8"/>
  <c r="O117" i="8"/>
  <c r="P117" i="8"/>
  <c r="Q117" i="8"/>
  <c r="R117" i="8"/>
  <c r="F118" i="8"/>
  <c r="G118" i="8"/>
  <c r="H118" i="8"/>
  <c r="I118" i="8"/>
  <c r="J118" i="8"/>
  <c r="K118" i="8"/>
  <c r="L118" i="8"/>
  <c r="M118" i="8"/>
  <c r="N118" i="8"/>
  <c r="O118" i="8"/>
  <c r="P118" i="8"/>
  <c r="Q118" i="8"/>
  <c r="R118" i="8"/>
  <c r="F119" i="8"/>
  <c r="G119" i="8"/>
  <c r="H119" i="8"/>
  <c r="I119" i="8"/>
  <c r="J119" i="8"/>
  <c r="K119" i="8"/>
  <c r="L119" i="8"/>
  <c r="M119" i="8"/>
  <c r="N119" i="8"/>
  <c r="O119" i="8"/>
  <c r="P119" i="8"/>
  <c r="Q119" i="8"/>
  <c r="R119" i="8"/>
  <c r="F120" i="8"/>
  <c r="G120" i="8"/>
  <c r="H120" i="8"/>
  <c r="I120" i="8"/>
  <c r="J120" i="8"/>
  <c r="K120" i="8"/>
  <c r="L120" i="8"/>
  <c r="M120" i="8"/>
  <c r="N120" i="8"/>
  <c r="O120" i="8"/>
  <c r="P120" i="8"/>
  <c r="Q120" i="8"/>
  <c r="R120" i="8"/>
  <c r="F121" i="8"/>
  <c r="G121" i="8"/>
  <c r="H121" i="8"/>
  <c r="I121" i="8"/>
  <c r="J121" i="8"/>
  <c r="K121" i="8"/>
  <c r="L121" i="8"/>
  <c r="M121" i="8"/>
  <c r="N121" i="8"/>
  <c r="O121" i="8"/>
  <c r="P121" i="8"/>
  <c r="Q121" i="8"/>
  <c r="R121" i="8"/>
  <c r="F122" i="8"/>
  <c r="G122" i="8"/>
  <c r="H122" i="8"/>
  <c r="I122" i="8"/>
  <c r="J122" i="8"/>
  <c r="K122" i="8"/>
  <c r="L122" i="8"/>
  <c r="M122" i="8"/>
  <c r="N122" i="8"/>
  <c r="O122" i="8"/>
  <c r="P122" i="8"/>
  <c r="Q122" i="8"/>
  <c r="R122" i="8"/>
  <c r="M8" i="4"/>
  <c r="I14" i="8"/>
  <c r="I15" i="8"/>
  <c r="G64" i="8"/>
  <c r="H64" i="8"/>
  <c r="I64" i="8"/>
  <c r="J64" i="8"/>
  <c r="K64" i="8"/>
  <c r="L64" i="8"/>
  <c r="M64" i="8"/>
  <c r="N64" i="8"/>
  <c r="O64" i="8"/>
  <c r="P64" i="8"/>
  <c r="Q64" i="8"/>
  <c r="G54" i="8"/>
  <c r="H54" i="8"/>
  <c r="I54" i="8"/>
  <c r="J54" i="8"/>
  <c r="K54" i="8"/>
  <c r="L54" i="8"/>
  <c r="M54" i="8"/>
  <c r="N54" i="8"/>
  <c r="O54" i="8"/>
  <c r="P54" i="8"/>
  <c r="Q54" i="8"/>
  <c r="L8" i="4"/>
  <c r="F15" i="8"/>
  <c r="H15" i="8"/>
  <c r="F14" i="8"/>
  <c r="H14" i="8"/>
  <c r="G14" i="8"/>
  <c r="G15" i="8"/>
  <c r="C72" i="4"/>
  <c r="D72" i="4"/>
  <c r="C71" i="4"/>
  <c r="D71" i="4"/>
  <c r="C70" i="4"/>
  <c r="D70" i="4"/>
  <c r="C69" i="4"/>
  <c r="D69" i="4"/>
  <c r="D68" i="4"/>
  <c r="C67" i="4"/>
  <c r="D67" i="4"/>
  <c r="C66" i="4"/>
  <c r="D66" i="4"/>
  <c r="C65" i="4"/>
  <c r="D65" i="4"/>
  <c r="C64" i="4"/>
  <c r="D64" i="4"/>
  <c r="C63" i="4"/>
  <c r="D63" i="4"/>
  <c r="C62" i="4"/>
  <c r="D62" i="4"/>
  <c r="C61" i="4"/>
  <c r="D61" i="4"/>
  <c r="C60" i="4"/>
  <c r="D60" i="4"/>
  <c r="C59" i="4"/>
  <c r="D59" i="4"/>
  <c r="D58" i="4"/>
  <c r="C57" i="4"/>
  <c r="D57" i="4"/>
  <c r="C56" i="4"/>
  <c r="D56" i="4"/>
  <c r="C55" i="4"/>
  <c r="D55" i="4"/>
  <c r="C54" i="4"/>
  <c r="D54" i="4"/>
  <c r="C53" i="4"/>
  <c r="D53" i="4"/>
  <c r="C52" i="4"/>
  <c r="D52" i="4"/>
  <c r="C51" i="4"/>
  <c r="D51" i="4"/>
  <c r="C50" i="4"/>
  <c r="D50" i="4"/>
  <c r="C49" i="4"/>
  <c r="D49" i="4"/>
  <c r="C48" i="4"/>
  <c r="D48" i="4"/>
  <c r="C47" i="4"/>
  <c r="D47" i="4"/>
  <c r="C46" i="4"/>
  <c r="D46" i="4"/>
  <c r="C45" i="4"/>
  <c r="D45" i="4"/>
  <c r="C44" i="4"/>
  <c r="D44" i="4"/>
  <c r="C43" i="4"/>
  <c r="D43" i="4"/>
  <c r="C42" i="4"/>
  <c r="D42" i="4"/>
  <c r="C41" i="4"/>
  <c r="D41" i="4"/>
  <c r="C40" i="4"/>
  <c r="D40" i="4"/>
  <c r="C39" i="4"/>
  <c r="D39" i="4"/>
  <c r="C38" i="4"/>
  <c r="D38" i="4"/>
  <c r="C37" i="4"/>
  <c r="D37" i="4"/>
  <c r="C36" i="4"/>
  <c r="D36" i="4"/>
  <c r="C35" i="4"/>
  <c r="D35" i="4"/>
  <c r="C34" i="4"/>
  <c r="D34" i="4"/>
  <c r="C33" i="4"/>
  <c r="D33" i="4"/>
  <c r="C32" i="4"/>
  <c r="D32" i="4"/>
  <c r="C31" i="4"/>
  <c r="D31" i="4"/>
  <c r="C30" i="4"/>
  <c r="D30" i="4"/>
  <c r="C29" i="4"/>
  <c r="D29" i="4"/>
  <c r="C28" i="4"/>
  <c r="D28" i="4"/>
  <c r="C27" i="4"/>
  <c r="D27" i="4"/>
  <c r="C26" i="4"/>
  <c r="D26" i="4"/>
  <c r="C25" i="4"/>
  <c r="D25" i="4"/>
  <c r="C24" i="4"/>
  <c r="D24" i="4"/>
  <c r="G72" i="4"/>
  <c r="E122" i="8"/>
  <c r="G71" i="4"/>
  <c r="E121" i="8"/>
  <c r="G70" i="4"/>
  <c r="E120" i="8"/>
  <c r="E119" i="8"/>
  <c r="E118" i="8"/>
  <c r="G67" i="4"/>
  <c r="E117" i="8"/>
  <c r="G66" i="4"/>
  <c r="E116" i="8"/>
  <c r="E115" i="8"/>
  <c r="E114" i="8"/>
  <c r="E113" i="8"/>
  <c r="G62" i="4"/>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M6" i="4"/>
  <c r="N6" i="4"/>
  <c r="I18" i="7"/>
  <c r="L18" i="7"/>
  <c r="I19" i="7"/>
  <c r="L19" i="7"/>
  <c r="I20" i="7"/>
  <c r="L20" i="7"/>
  <c r="I21" i="7"/>
  <c r="L21" i="7"/>
  <c r="I22" i="7"/>
  <c r="L22" i="7"/>
  <c r="I23" i="7"/>
  <c r="L23" i="7"/>
  <c r="I24" i="7"/>
  <c r="L24" i="7"/>
  <c r="I25" i="7"/>
  <c r="L25" i="7"/>
  <c r="I26" i="7"/>
  <c r="L26" i="7"/>
  <c r="I27" i="7"/>
  <c r="L27" i="7"/>
  <c r="I28" i="7"/>
  <c r="L28" i="7"/>
  <c r="I29" i="7"/>
  <c r="L29" i="7"/>
  <c r="I30" i="7"/>
  <c r="L30" i="7"/>
  <c r="I31" i="7"/>
  <c r="L31" i="7"/>
  <c r="I32" i="7"/>
  <c r="L32" i="7"/>
  <c r="I33" i="7"/>
  <c r="L33" i="7"/>
  <c r="I34" i="7"/>
  <c r="L34" i="7"/>
  <c r="I35" i="7"/>
  <c r="L35" i="7"/>
  <c r="I36" i="7"/>
  <c r="L36" i="7"/>
  <c r="I37" i="7"/>
  <c r="L37" i="7"/>
  <c r="H18" i="7"/>
  <c r="K18" i="7"/>
  <c r="H19" i="7"/>
  <c r="K19" i="7"/>
  <c r="H20" i="7"/>
  <c r="K20" i="7"/>
  <c r="H21" i="7"/>
  <c r="K21" i="7"/>
  <c r="H22" i="7"/>
  <c r="K22" i="7"/>
  <c r="H23" i="7"/>
  <c r="K23" i="7"/>
  <c r="H24" i="7"/>
  <c r="K24" i="7"/>
  <c r="H25" i="7"/>
  <c r="K25" i="7"/>
  <c r="H26" i="7"/>
  <c r="K26" i="7"/>
  <c r="H27" i="7"/>
  <c r="K27" i="7"/>
  <c r="H28" i="7"/>
  <c r="K28" i="7"/>
  <c r="H29" i="7"/>
  <c r="K29" i="7"/>
  <c r="H30" i="7"/>
  <c r="K30" i="7"/>
  <c r="H31" i="7"/>
  <c r="K31" i="7"/>
  <c r="H32" i="7"/>
  <c r="K32" i="7"/>
  <c r="H33" i="7"/>
  <c r="K33" i="7"/>
  <c r="H34" i="7"/>
  <c r="K34" i="7"/>
  <c r="H35" i="7"/>
  <c r="K35" i="7"/>
  <c r="H36" i="7"/>
  <c r="K36" i="7"/>
  <c r="H37" i="7"/>
  <c r="K37" i="7"/>
  <c r="G18" i="7"/>
  <c r="J18" i="7"/>
  <c r="G19" i="7"/>
  <c r="J19" i="7"/>
  <c r="G20" i="7"/>
  <c r="J20" i="7"/>
  <c r="G21" i="7"/>
  <c r="J21" i="7"/>
  <c r="G22" i="7"/>
  <c r="J22" i="7"/>
  <c r="G23" i="7"/>
  <c r="J23" i="7"/>
  <c r="G24" i="7"/>
  <c r="J24" i="7"/>
  <c r="G25" i="7"/>
  <c r="J25" i="7"/>
  <c r="G26" i="7"/>
  <c r="J26" i="7"/>
  <c r="G27" i="7"/>
  <c r="J27" i="7"/>
  <c r="G28" i="7"/>
  <c r="J28" i="7"/>
  <c r="G29" i="7"/>
  <c r="J29" i="7"/>
  <c r="G30" i="7"/>
  <c r="J30" i="7"/>
  <c r="G31" i="7"/>
  <c r="J31" i="7"/>
  <c r="G32" i="7"/>
  <c r="J32" i="7"/>
  <c r="G33" i="7"/>
  <c r="J33" i="7"/>
  <c r="G34" i="7"/>
  <c r="J34" i="7"/>
  <c r="G35" i="7"/>
  <c r="J35" i="7"/>
  <c r="G36" i="7"/>
  <c r="J36" i="7"/>
  <c r="G37" i="7"/>
  <c r="J37" i="7"/>
  <c r="C246" i="3"/>
  <c r="C245" i="3"/>
  <c r="D18" i="7"/>
  <c r="F18" i="7"/>
  <c r="D19" i="7"/>
  <c r="D20" i="7"/>
  <c r="D21" i="7"/>
  <c r="D22" i="7"/>
  <c r="D23" i="7"/>
  <c r="D24" i="7"/>
  <c r="D25" i="7"/>
  <c r="D26" i="7"/>
  <c r="D27" i="7"/>
  <c r="D28" i="7"/>
  <c r="D29" i="7"/>
  <c r="D30" i="7"/>
  <c r="D31" i="7"/>
  <c r="D32" i="7"/>
  <c r="D33" i="7"/>
  <c r="D34" i="7"/>
  <c r="D35" i="7"/>
  <c r="D36" i="7"/>
  <c r="D37" i="7"/>
  <c r="F19" i="7"/>
  <c r="F20" i="7"/>
  <c r="F21" i="7"/>
  <c r="F22" i="7"/>
  <c r="F23" i="7"/>
  <c r="F24" i="7"/>
  <c r="F25" i="7"/>
  <c r="F26" i="7"/>
  <c r="F27" i="7"/>
  <c r="F28" i="7"/>
  <c r="F29" i="7"/>
  <c r="F30" i="7"/>
  <c r="F31" i="7"/>
  <c r="F32" i="7"/>
  <c r="F33" i="7"/>
  <c r="F34" i="7"/>
  <c r="F35" i="7"/>
  <c r="F36" i="7"/>
  <c r="F37" i="7"/>
  <c r="L11" i="7"/>
  <c r="M11" i="7"/>
  <c r="D12" i="7"/>
  <c r="D11" i="7"/>
  <c r="C12" i="7"/>
  <c r="C11" i="7"/>
  <c r="G12" i="7"/>
  <c r="H12" i="7"/>
  <c r="I12" i="7"/>
  <c r="G11" i="7"/>
  <c r="H11" i="7"/>
  <c r="I11" i="7"/>
  <c r="D13" i="7"/>
  <c r="C13" i="7"/>
  <c r="L13" i="7"/>
  <c r="M13" i="7"/>
  <c r="L12" i="7"/>
  <c r="M12" i="7"/>
  <c r="K6" i="4"/>
  <c r="K8" i="4"/>
  <c r="K9" i="4"/>
  <c r="J6" i="4"/>
  <c r="J9" i="4"/>
  <c r="K14" i="4"/>
  <c r="C8" i="6"/>
  <c r="C68" i="4"/>
  <c r="C58" i="4"/>
  <c r="L6" i="4"/>
  <c r="C26" i="6"/>
  <c r="C27" i="6"/>
  <c r="L9" i="4"/>
  <c r="K12" i="4" a="1"/>
  <c r="K12" i="4"/>
  <c r="R7" i="4" a="1"/>
  <c r="R7" i="4"/>
  <c r="Q7" i="4" a="1"/>
  <c r="Q7" i="4"/>
  <c r="S7" i="4"/>
  <c r="R13" i="4" a="1"/>
  <c r="R13" i="4"/>
  <c r="Q13" i="4" a="1"/>
  <c r="Q13" i="4"/>
  <c r="S13" i="4"/>
  <c r="R6" i="4" a="1"/>
  <c r="R6" i="4"/>
  <c r="Q6" i="4" a="1"/>
  <c r="Q6" i="4"/>
  <c r="S6" i="4"/>
  <c r="R38" i="7" a="1"/>
  <c r="R38" i="7"/>
  <c r="S38" i="7" a="1"/>
  <c r="S38" i="7"/>
  <c r="T38" i="7" a="1"/>
  <c r="T38" i="7"/>
  <c r="U38" i="7" a="1"/>
  <c r="U38" i="7"/>
  <c r="V38" i="7" a="1"/>
  <c r="V38" i="7"/>
  <c r="W38" i="7" a="1"/>
  <c r="W38" i="7"/>
  <c r="X38" i="7" a="1"/>
  <c r="X38" i="7"/>
  <c r="P39" i="7" a="1"/>
  <c r="P39" i="7"/>
  <c r="Q39" i="7" a="1"/>
  <c r="Q39" i="7"/>
  <c r="R39" i="7" a="1"/>
  <c r="R39" i="7"/>
  <c r="S39" i="7" a="1"/>
  <c r="S39" i="7"/>
  <c r="T39" i="7" a="1"/>
  <c r="T39" i="7"/>
  <c r="U39" i="7" a="1"/>
  <c r="U39" i="7"/>
  <c r="V39" i="7" a="1"/>
  <c r="V39" i="7"/>
  <c r="W39" i="7" a="1"/>
  <c r="W39" i="7"/>
  <c r="X39" i="7" a="1"/>
  <c r="X39" i="7"/>
  <c r="O39" i="7" a="1"/>
  <c r="O39" i="7"/>
  <c r="O38" i="7" a="1"/>
  <c r="O38" i="7"/>
  <c r="X40" i="7" a="1"/>
  <c r="X40" i="7"/>
  <c r="W40" i="7" a="1"/>
  <c r="W40" i="7"/>
  <c r="V40" i="7" a="1"/>
  <c r="V40" i="7"/>
  <c r="U40" i="7" a="1"/>
  <c r="U40" i="7"/>
  <c r="T40" i="7" a="1"/>
  <c r="T40" i="7"/>
  <c r="S40" i="7" a="1"/>
  <c r="S40" i="7"/>
  <c r="R40" i="7" a="1"/>
  <c r="R40" i="7"/>
  <c r="Q40" i="7" a="1"/>
  <c r="Q40" i="7"/>
  <c r="P40" i="7" a="1"/>
  <c r="P40" i="7"/>
  <c r="O40" i="7" a="1"/>
  <c r="O40" i="7"/>
  <c r="O41" i="7" a="1"/>
  <c r="O41" i="7"/>
  <c r="R41" i="7" a="1"/>
  <c r="R41" i="7"/>
  <c r="S41" i="7" a="1"/>
  <c r="S41" i="7"/>
  <c r="T41" i="7" a="1"/>
  <c r="T41" i="7"/>
  <c r="U41" i="7" a="1"/>
  <c r="U41" i="7"/>
  <c r="V41" i="7" a="1"/>
  <c r="V41" i="7"/>
  <c r="W41" i="7" a="1"/>
  <c r="W41" i="7"/>
  <c r="X41" i="7" a="1"/>
  <c r="X41" i="7"/>
  <c r="Q41" i="7" a="1"/>
  <c r="Q41" i="7"/>
  <c r="P41" i="7" a="1"/>
  <c r="P41" i="7"/>
  <c r="R14" i="4" a="1"/>
  <c r="R14" i="4"/>
  <c r="Q14" i="4" a="1"/>
  <c r="Q14" i="4"/>
  <c r="S14" i="4"/>
  <c r="R8" i="4" a="1"/>
  <c r="R8" i="4"/>
  <c r="Q8" i="4" a="1"/>
  <c r="Q8" i="4"/>
  <c r="S8" i="4"/>
  <c r="Q38" i="7" a="1"/>
  <c r="Q38" i="7"/>
  <c r="P38" i="7" a="1"/>
  <c r="P38" i="7"/>
  <c r="N12" i="4" a="1"/>
  <c r="N12" i="4"/>
  <c r="N13" i="4" a="1"/>
  <c r="N13" i="4"/>
  <c r="N14" i="4" a="1"/>
  <c r="N14" i="4"/>
</calcChain>
</file>

<file path=xl/sharedStrings.xml><?xml version="1.0" encoding="utf-8"?>
<sst xmlns="http://schemas.openxmlformats.org/spreadsheetml/2006/main" count="869" uniqueCount="264">
  <si>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</si>
  <si>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</si>
  <si>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</si>
  <si>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</si>
  <si>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</si>
  <si>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</si>
  <si>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</si>
  <si>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</si>
  <si>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</si>
  <si>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</si>
  <si>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</si>
  <si>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</si>
  <si>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</si>
  <si>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</si>
  <si>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</si>
  <si>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</si>
  <si>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</si>
  <si>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</si>
  <si>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</si>
  <si>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</si>
  <si>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</si>
  <si>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</si>
  <si>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</si>
  <si>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</si>
  <si>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</si>
  <si>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</si>
  <si>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</si>
  <si>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</si>
  <si>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</si>
  <si>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</si>
  <si>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</si>
  <si>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</si>
  <si>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</si>
  <si>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</si>
  <si>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</si>
  <si>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</si>
  <si>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</si>
  <si>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</si>
  <si>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</si>
  <si>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</si>
  <si>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</si>
  <si>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</si>
  <si>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</si>
  <si>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</si>
  <si>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</si>
  <si>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</si>
  <si>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</si>
  <si>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</si>
  <si>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</si>
  <si>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</si>
  <si>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</si>
  <si>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</si>
  <si>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</si>
  <si>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</si>
  <si>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</si>
  <si>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</si>
  <si>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</si>
  <si>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</si>
  <si>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</si>
  <si>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</si>
  <si>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</si>
  <si>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</si>
  <si>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</si>
  <si>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</si>
  <si>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</si>
  <si>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</si>
  <si>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</si>
  <si>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</si>
  <si>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</si>
  <si>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</si>
  <si>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</si>
  <si>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</si>
  <si>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</si>
  <si>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</si>
  <si>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</si>
  <si>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</si>
  <si>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</si>
  <si>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</si>
  <si>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</si>
  <si>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</si>
  <si>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</si>
  <si>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</si>
  <si>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</si>
  <si>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</si>
  <si>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</si>
  <si>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</si>
  <si>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</si>
  <si>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</si>
  <si>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</si>
  <si>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</si>
  <si>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</si>
  <si>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</si>
  <si>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</si>
  <si>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</si>
  <si>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</si>
  <si>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</si>
  <si>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</si>
  <si>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</si>
  <si>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</si>
  <si>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</si>
  <si>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</si>
  <si>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</si>
  <si>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</si>
  <si>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</si>
  <si>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</si>
  <si>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</si>
  <si>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</si>
  <si>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</si>
  <si>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</si>
  <si>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</si>
  <si>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</si>
  <si>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</si>
  <si>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</si>
  <si>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</si>
  <si>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</si>
  <si>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</si>
  <si>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</si>
  <si>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</si>
  <si>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</si>
  <si>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</si>
  <si>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</si>
  <si>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</si>
  <si>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</si>
  <si>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</si>
  <si>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</si>
  <si>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</si>
  <si>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</si>
  <si>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</si>
  <si>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</si>
  <si>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</si>
  <si>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</si>
  <si>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</si>
  <si>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</si>
  <si>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</si>
  <si>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</si>
  <si>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</si>
  <si>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</si>
  <si>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</si>
  <si>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</si>
  <si>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Skip these buildings/upgrades in calculations</t>
  </si>
  <si>
    <t>&lt;-- set to the number of builder huts you currently have</t>
  </si>
  <si>
    <t>Future Work</t>
  </si>
  <si>
    <t>Idea</t>
  </si>
  <si>
    <t>Total Cost</t>
  </si>
  <si>
    <t>Calculate Army damage and XP</t>
  </si>
  <si>
    <t>Unit</t>
  </si>
  <si>
    <t>Spell</t>
  </si>
  <si>
    <t>Level</t>
  </si>
  <si>
    <t>Name</t>
  </si>
  <si>
    <t>Implement availability check based on barracks level</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</si>
  <si>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</si>
  <si>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</si>
  <si>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</si>
  <si>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</si>
  <si>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</si>
  <si>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</si>
  <si>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</si>
  <si>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</si>
  <si>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</si>
  <si>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</si>
  <si>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</si>
  <si>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</si>
  <si>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</si>
  <si>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</si>
  <si>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</si>
  <si>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</si>
  <si>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</si>
  <si>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</si>
  <si>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Used</t>
  </si>
  <si>
    <t>Left</t>
  </si>
  <si>
    <t>Spell Capacity</t>
  </si>
  <si>
    <t>Item Type</t>
  </si>
  <si>
    <t>Army Space</t>
  </si>
  <si>
    <t>Time for Construction (in minutes)</t>
  </si>
  <si>
    <t>per Building</t>
  </si>
  <si>
    <t>Army Cost</t>
  </si>
  <si>
    <t>User Input</t>
  </si>
  <si>
    <t>More Units/Spells Available</t>
  </si>
  <si>
    <t>*** BUILDINGS ***</t>
  </si>
  <si>
    <t>*** UPGRADES ***</t>
  </si>
  <si>
    <t>Actionables</t>
  </si>
  <si>
    <t>Boolean</t>
  </si>
  <si>
    <t>(Put your name here) (NOTE: you can select and modify this box)</t>
  </si>
  <si>
    <t>Unit Set</t>
  </si>
  <si>
    <t>Attack Set</t>
  </si>
  <si>
    <t>Quantities per Attack Set</t>
  </si>
  <si>
    <t xml:space="preserve">     </t>
  </si>
  <si>
    <t xml:space="preserve">      </t>
  </si>
  <si>
    <t xml:space="preserve">       </t>
  </si>
  <si>
    <t>LastUsed</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</si>
  <si>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</si>
  <si>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</si>
  <si>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</si>
  <si>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</si>
  <si>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</si>
  <si>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</si>
  <si>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G+Healers</t>
  </si>
  <si>
    <t>War</t>
  </si>
  <si>
    <t>WarSaver</t>
  </si>
  <si>
    <t>Total Elixir</t>
  </si>
  <si>
    <t>Elixir for Units</t>
  </si>
  <si>
    <t>Elixir for Spells</t>
  </si>
  <si>
    <t>Cheapo</t>
  </si>
  <si>
    <t>RageT1</t>
  </si>
  <si>
    <t>Farming</t>
  </si>
  <si>
    <t>Barbarian King</t>
  </si>
  <si>
    <t>&lt;-- set to the level of your Barbarian King (0 if you don't have one)</t>
  </si>
  <si>
    <t>&lt;-- set to the level of your Witch Queen (0 if you don't have one)</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</si>
  <si>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</si>
  <si>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</si>
  <si>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</si>
  <si>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</si>
  <si>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</si>
  <si>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</si>
  <si>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</si>
  <si>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</si>
  <si>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</si>
  <si>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</si>
  <si>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</si>
  <si>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</si>
  <si>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</si>
  <si>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</si>
  <si>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</si>
  <si>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</si>
  <si>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</si>
  <si>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</si>
  <si>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</si>
  <si>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</si>
  <si>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</si>
  <si>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</si>
  <si>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</si>
  <si>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</si>
  <si>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</si>
  <si>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</si>
  <si>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</si>
  <si>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</si>
  <si>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</si>
  <si>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</si>
  <si>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</si>
  <si>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</si>
  <si>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</si>
  <si>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</si>
  <si>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</si>
  <si>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The top donors will have their name or COC handle included in "Acknowledgements."</t>
  </si>
  <si>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</si>
  <si>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</si>
  <si>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</si>
  <si>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</si>
  <si>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</si>
  <si>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</si>
  <si>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</si>
  <si>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</si>
  <si>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</si>
  <si>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</si>
  <si>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</si>
  <si>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 of Buildings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</si>
  <si>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</si>
  <si>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</si>
  <si>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</si>
  <si>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</si>
  <si>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</si>
  <si>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</si>
  <si>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1. Clear out the numbers in the big red box
2. Enter quantities for an "Attack Set" and give it a name in the header
3. Type the name of the "Attack Set" in the small red box
4. View the calculated values in the tables</t>
  </si>
  <si>
    <t>Fixed bug where "Remaining ___ Upgrades" calculations did not account for 'skips'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</si>
</sst>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
    <numFmt numFmtId="165" formatCode="yyyy\-mm\-dd"/>
    <numFmt numFmtId="166" formatCode="0.0%"/>
    <numFmt numFmtId="167" formatCode="#\ ??/60"/>
    <numFmt numFmtId="168" formatCode="#\ ??/24"/>
  </numFmts>
  <fonts count="22"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8"/>
      <color theme="1"/>
      <name val="Calibri"/>
      <scheme val="minor"/>
    </font>
    <font>
      <b/>
      <sz val="18"/>
      <color theme="1"/>
      <name val="Calibri"/>
      <scheme val="minor"/>
    </font>
    <font>
      <b/>
      <sz val="18"/>
      <color rgb="FF3F3F76"/>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87">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right/>
      <top style="thick">
        <color auto="1"/>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style="thin">
        <color auto="1"/>
      </right>
      <top style="thin">
        <color auto="1"/>
      </top>
      <bottom/>
      <diagonal/>
    </border>
    <border>
      <left/>
      <right style="thin">
        <color auto="1"/>
      </right>
      <top/>
      <bottom style="thick">
        <color auto="1"/>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s>
  <cellStyleXfs count="11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9"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37">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166" fontId="7" fillId="0" borderId="34" xfId="0" applyNumberFormat="1" applyFont="1" applyBorder="1" applyAlignment="1" applyProtection="1">
      <alignment horizontal="center"/>
      <protection hidden="1"/>
    </xf>
    <xf numFmtId="0" fontId="0" fillId="0" borderId="0" xfId="0" applyProtection="1"/>
    <xf numFmtId="0" fontId="3" fillId="6" borderId="30" xfId="0" applyFont="1" applyFill="1" applyBorder="1" applyProtection="1"/>
    <xf numFmtId="0" fontId="3" fillId="5" borderId="29" xfId="0" applyFont="1" applyFill="1" applyBorder="1" applyProtection="1"/>
    <xf numFmtId="0" fontId="3" fillId="5" borderId="45" xfId="0" applyFont="1" applyFill="1" applyBorder="1" applyProtection="1"/>
    <xf numFmtId="0" fontId="3" fillId="5" borderId="38" xfId="0" applyFont="1" applyFill="1" applyBorder="1" applyProtection="1"/>
    <xf numFmtId="0" fontId="3" fillId="5" borderId="16" xfId="0" applyFont="1" applyFill="1" applyBorder="1" applyProtection="1"/>
    <xf numFmtId="0" fontId="3" fillId="5" borderId="17" xfId="0" applyFont="1" applyFill="1" applyBorder="1" applyProtection="1"/>
    <xf numFmtId="0" fontId="3" fillId="5" borderId="2"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3" fillId="5" borderId="18" xfId="0" applyFont="1" applyFill="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41" xfId="0" applyFont="1" applyFill="1" applyBorder="1" applyAlignment="1" applyProtection="1">
      <alignment horizontal="center"/>
    </xf>
    <xf numFmtId="0" fontId="0" fillId="8" borderId="41" xfId="0" applyFont="1" applyFill="1" applyBorder="1" applyAlignment="1" applyProtection="1">
      <alignment horizontal="center"/>
    </xf>
    <xf numFmtId="0" fontId="9" fillId="7" borderId="41"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7"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50" xfId="0" applyFont="1" applyFill="1" applyBorder="1" applyAlignment="1" applyProtection="1">
      <alignment horizontal="center"/>
      <protection locked="0"/>
    </xf>
    <xf numFmtId="0" fontId="0" fillId="4" borderId="54" xfId="0" applyFont="1" applyFill="1" applyBorder="1" applyAlignment="1" applyProtection="1">
      <alignment horizontal="center"/>
      <protection locked="0"/>
    </xf>
    <xf numFmtId="0" fontId="0" fillId="0" borderId="0" xfId="0" applyFont="1" applyProtection="1"/>
    <xf numFmtId="167" fontId="0" fillId="0" borderId="0" xfId="0" applyNumberFormat="1" applyFont="1" applyProtection="1"/>
    <xf numFmtId="0" fontId="7" fillId="6" borderId="30" xfId="0" applyFont="1" applyFill="1" applyBorder="1" applyProtection="1"/>
    <xf numFmtId="0" fontId="7" fillId="5" borderId="45" xfId="0" applyFont="1" applyFill="1" applyBorder="1" applyProtection="1"/>
    <xf numFmtId="0" fontId="7" fillId="5" borderId="38" xfId="0" applyFont="1" applyFill="1" applyBorder="1" applyProtection="1"/>
    <xf numFmtId="0" fontId="7" fillId="5" borderId="2" xfId="0" applyFont="1" applyFill="1" applyBorder="1" applyProtection="1"/>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64"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7" xfId="0" applyFont="1" applyFill="1" applyBorder="1" applyProtection="1"/>
    <xf numFmtId="0" fontId="7" fillId="5" borderId="29" xfId="0" applyFont="1" applyFill="1" applyBorder="1" applyProtection="1"/>
    <xf numFmtId="38" fontId="0" fillId="0" borderId="66" xfId="0" applyNumberFormat="1" applyFont="1" applyBorder="1" applyProtection="1"/>
    <xf numFmtId="38" fontId="0" fillId="0" borderId="24" xfId="0" applyNumberFormat="1" applyFont="1" applyBorder="1" applyProtection="1"/>
    <xf numFmtId="38" fontId="0" fillId="0" borderId="36" xfId="0" applyNumberFormat="1" applyFont="1" applyBorder="1" applyProtection="1"/>
    <xf numFmtId="38" fontId="0" fillId="5" borderId="35" xfId="0" applyNumberFormat="1" applyFont="1" applyFill="1" applyBorder="1" applyProtection="1"/>
    <xf numFmtId="0" fontId="0" fillId="8" borderId="42" xfId="0" applyFont="1" applyFill="1" applyBorder="1" applyAlignment="1" applyProtection="1">
      <alignment horizontal="center"/>
    </xf>
    <xf numFmtId="0" fontId="13" fillId="11" borderId="67" xfId="786" applyNumberFormat="1" applyBorder="1" applyAlignment="1" applyProtection="1">
      <alignment horizontal="center"/>
    </xf>
    <xf numFmtId="0" fontId="3" fillId="6" borderId="69" xfId="0" applyFont="1" applyFill="1" applyBorder="1" applyAlignment="1" applyProtection="1">
      <protection hidden="1"/>
    </xf>
    <xf numFmtId="0" fontId="7" fillId="5" borderId="53" xfId="0" applyFont="1" applyFill="1" applyBorder="1" applyAlignment="1" applyProtection="1">
      <protection hidden="1"/>
    </xf>
    <xf numFmtId="0" fontId="7" fillId="5" borderId="70" xfId="0" applyFont="1" applyFill="1" applyBorder="1" applyAlignment="1" applyProtection="1">
      <protection hidden="1"/>
    </xf>
    <xf numFmtId="0" fontId="3" fillId="6" borderId="68" xfId="0" applyFont="1" applyFill="1" applyBorder="1" applyAlignment="1" applyProtection="1">
      <protection hidden="1"/>
    </xf>
    <xf numFmtId="0" fontId="17" fillId="5" borderId="72" xfId="0" applyFont="1" applyFill="1" applyBorder="1" applyAlignment="1" applyProtection="1">
      <protection hidden="1"/>
    </xf>
    <xf numFmtId="0" fontId="17" fillId="5" borderId="71" xfId="0" applyFont="1" applyFill="1" applyBorder="1" applyAlignment="1" applyProtection="1">
      <protection hidden="1"/>
    </xf>
    <xf numFmtId="0" fontId="7" fillId="0" borderId="2" xfId="0" applyNumberFormat="1" applyFont="1" applyBorder="1" applyAlignment="1" applyProtection="1">
      <alignment wrapText="1"/>
    </xf>
    <xf numFmtId="0" fontId="0" fillId="0" borderId="40" xfId="0" applyNumberFormat="1" applyBorder="1" applyAlignment="1" applyProtection="1">
      <alignment horizontal="left" wrapText="1" indent="1"/>
    </xf>
    <xf numFmtId="0" fontId="1" fillId="0" borderId="40" xfId="702" applyNumberFormat="1" applyBorder="1" applyAlignment="1" applyProtection="1">
      <alignment horizontal="left" wrapText="1" indent="1"/>
    </xf>
    <xf numFmtId="0" fontId="0" fillId="0" borderId="2" xfId="0" applyNumberFormat="1" applyBorder="1" applyProtection="1"/>
    <xf numFmtId="0" fontId="0" fillId="0" borderId="40" xfId="0" applyNumberFormat="1" applyFont="1" applyBorder="1" applyAlignment="1" applyProtection="1">
      <alignment wrapText="1"/>
    </xf>
    <xf numFmtId="0" fontId="0" fillId="0" borderId="40" xfId="0" applyBorder="1" applyAlignment="1" applyProtection="1">
      <alignment wrapText="1"/>
    </xf>
    <xf numFmtId="0" fontId="0" fillId="0" borderId="40" xfId="0" applyBorder="1" applyAlignment="1" applyProtection="1">
      <alignment horizontal="left" wrapText="1" indent="1"/>
    </xf>
    <xf numFmtId="0" fontId="0" fillId="0" borderId="40" xfId="0" applyBorder="1" applyAlignment="1" applyProtection="1">
      <alignment horizontal="left" wrapText="1" indent="2"/>
    </xf>
    <xf numFmtId="0" fontId="1" fillId="0" borderId="40" xfId="702" applyBorder="1" applyAlignment="1" applyProtection="1">
      <alignment horizontal="left" wrapText="1" indent="2"/>
    </xf>
    <xf numFmtId="0" fontId="0" fillId="0" borderId="40"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40" xfId="0" applyNumberFormat="1" applyBorder="1" applyAlignment="1" applyProtection="1">
      <alignment wrapText="1"/>
    </xf>
    <xf numFmtId="0" fontId="0" fillId="0" borderId="34"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62" xfId="0" applyNumberFormat="1" applyFont="1" applyBorder="1" applyAlignment="1" applyProtection="1">
      <alignment horizontal="center"/>
    </xf>
    <xf numFmtId="0" fontId="7" fillId="5" borderId="46" xfId="0" applyFont="1" applyFill="1" applyBorder="1" applyAlignment="1" applyProtection="1">
      <alignment horizontal="center"/>
    </xf>
    <xf numFmtId="38" fontId="0" fillId="0" borderId="25" xfId="0" applyNumberFormat="1" applyFont="1" applyBorder="1" applyAlignment="1" applyProtection="1">
      <alignment horizontal="center"/>
    </xf>
    <xf numFmtId="38" fontId="0" fillId="0" borderId="63" xfId="0" applyNumberFormat="1" applyFont="1" applyBorder="1" applyAlignment="1" applyProtection="1">
      <alignment horizontal="center"/>
    </xf>
    <xf numFmtId="0" fontId="7" fillId="5" borderId="34" xfId="0" applyFont="1" applyFill="1" applyBorder="1" applyAlignment="1" applyProtection="1">
      <alignment horizontal="center"/>
    </xf>
    <xf numFmtId="0" fontId="7" fillId="6" borderId="48" xfId="0" applyFont="1" applyFill="1" applyBorder="1" applyProtection="1"/>
    <xf numFmtId="0" fontId="7" fillId="6" borderId="33"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0" fontId="6" fillId="0" borderId="0" xfId="447" applyFont="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0" fontId="7" fillId="3" borderId="73" xfId="0" applyFont="1" applyFill="1" applyBorder="1" applyAlignment="1" applyProtection="1">
      <alignment horizontal="center"/>
    </xf>
    <xf numFmtId="0" fontId="7" fillId="4" borderId="74" xfId="0" applyFont="1" applyFill="1" applyBorder="1" applyAlignment="1" applyProtection="1">
      <alignment horizontal="center"/>
    </xf>
    <xf numFmtId="38" fontId="7" fillId="5" borderId="20" xfId="0" applyNumberFormat="1" applyFont="1" applyFill="1" applyBorder="1" applyProtection="1"/>
    <xf numFmtId="38" fontId="7" fillId="5" borderId="3" xfId="0" applyNumberFormat="1" applyFont="1" applyFill="1" applyBorder="1" applyProtection="1"/>
    <xf numFmtId="0" fontId="7" fillId="4" borderId="41" xfId="0" applyFont="1" applyFill="1" applyBorder="1" applyAlignment="1" applyProtection="1">
      <alignment horizontal="center"/>
    </xf>
    <xf numFmtId="0" fontId="0" fillId="4" borderId="76" xfId="0" applyFont="1" applyFill="1" applyBorder="1" applyAlignment="1" applyProtection="1">
      <alignment horizontal="center"/>
      <protection locked="0"/>
    </xf>
    <xf numFmtId="0" fontId="7" fillId="3" borderId="41" xfId="0" applyFont="1" applyFill="1" applyBorder="1" applyAlignment="1" applyProtection="1">
      <alignment horizontal="center"/>
    </xf>
    <xf numFmtId="0" fontId="0" fillId="3" borderId="43" xfId="0" applyFont="1" applyFill="1" applyBorder="1" applyAlignment="1" applyProtection="1">
      <alignment horizontal="center"/>
      <protection locked="0"/>
    </xf>
    <xf numFmtId="0" fontId="0" fillId="14" borderId="0" xfId="0" applyFill="1" applyProtection="1"/>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0" fontId="3" fillId="5" borderId="37" xfId="0" applyFont="1" applyFill="1" applyBorder="1" applyProtection="1"/>
    <xf numFmtId="38" fontId="0" fillId="0" borderId="0" xfId="0" applyNumberFormat="1"/>
    <xf numFmtId="168" fontId="0" fillId="0" borderId="35" xfId="0" applyNumberFormat="1" applyFont="1" applyBorder="1" applyAlignment="1" applyProtection="1">
      <alignment horizontal="right"/>
    </xf>
    <xf numFmtId="168" fontId="0" fillId="0" borderId="78" xfId="0" applyNumberFormat="1" applyFont="1" applyBorder="1" applyProtection="1"/>
    <xf numFmtId="168" fontId="0" fillId="0" borderId="26" xfId="0" applyNumberFormat="1" applyFont="1" applyBorder="1" applyProtection="1"/>
    <xf numFmtId="38" fontId="0" fillId="0" borderId="79" xfId="0" applyNumberFormat="1" applyFont="1" applyBorder="1" applyProtection="1"/>
    <xf numFmtId="0" fontId="0" fillId="3" borderId="67" xfId="0" applyNumberFormat="1" applyFont="1" applyFill="1" applyBorder="1" applyAlignment="1" applyProtection="1">
      <alignment horizontal="center"/>
    </xf>
    <xf numFmtId="0" fontId="0" fillId="13" borderId="41" xfId="0" applyFill="1" applyBorder="1" applyProtection="1"/>
    <xf numFmtId="0" fontId="12" fillId="10" borderId="0" xfId="0" applyFont="1" applyFill="1" applyBorder="1" applyProtection="1">
      <protection hidden="1"/>
    </xf>
    <xf numFmtId="0" fontId="12" fillId="10" borderId="66" xfId="0" applyFont="1" applyFill="1" applyBorder="1" applyProtection="1">
      <protection hidden="1"/>
    </xf>
    <xf numFmtId="0" fontId="12" fillId="10" borderId="41" xfId="0" applyFont="1" applyFill="1" applyBorder="1" applyProtection="1">
      <protection hidden="1"/>
    </xf>
    <xf numFmtId="165" fontId="0" fillId="0" borderId="48" xfId="0" applyNumberFormat="1" applyBorder="1" applyAlignment="1" applyProtection="1">
      <alignment vertical="top"/>
    </xf>
    <xf numFmtId="0" fontId="0" fillId="0" borderId="48" xfId="0" applyNumberFormat="1" applyBorder="1" applyProtection="1"/>
    <xf numFmtId="0" fontId="0" fillId="0" borderId="40" xfId="0" applyNumberFormat="1" applyBorder="1" applyProtection="1"/>
    <xf numFmtId="0" fontId="0" fillId="0" borderId="80" xfId="0" applyBorder="1" applyProtection="1"/>
    <xf numFmtId="0" fontId="0" fillId="0" borderId="81" xfId="0" applyBorder="1" applyProtection="1"/>
    <xf numFmtId="0" fontId="7" fillId="0" borderId="40" xfId="0" applyFont="1" applyBorder="1" applyAlignment="1" applyProtection="1">
      <alignment horizontal="left" wrapText="1" indent="1"/>
    </xf>
    <xf numFmtId="0" fontId="7" fillId="0" borderId="40" xfId="0" applyFont="1" applyBorder="1" applyAlignment="1" applyProtection="1">
      <alignment wrapText="1"/>
    </xf>
    <xf numFmtId="0" fontId="0" fillId="0" borderId="40" xfId="0" quotePrefix="1" applyBorder="1" applyAlignment="1" applyProtection="1">
      <alignment horizontal="left" wrapText="1" indent="2"/>
    </xf>
    <xf numFmtId="0" fontId="0" fillId="0" borderId="33" xfId="0" applyNumberFormat="1" applyBorder="1" applyProtection="1"/>
    <xf numFmtId="0" fontId="7" fillId="0" borderId="34" xfId="0" quotePrefix="1" applyFont="1" applyBorder="1" applyAlignment="1" applyProtection="1">
      <alignment horizontal="left" wrapText="1"/>
    </xf>
    <xf numFmtId="0" fontId="7" fillId="0" borderId="31" xfId="0" applyNumberFormat="1" applyFont="1" applyBorder="1" applyAlignment="1" applyProtection="1">
      <alignment wrapText="1"/>
    </xf>
    <xf numFmtId="0" fontId="0" fillId="0" borderId="32" xfId="0" applyNumberFormat="1" applyBorder="1" applyProtection="1"/>
    <xf numFmtId="0" fontId="6" fillId="0" borderId="34" xfId="447" applyBorder="1" applyAlignment="1">
      <alignment horizontal="left" indent="1"/>
    </xf>
    <xf numFmtId="0" fontId="0" fillId="3" borderId="56" xfId="0" applyFont="1" applyFill="1" applyBorder="1" applyAlignment="1" applyProtection="1">
      <alignment horizontal="left" shrinkToFit="1"/>
      <protection locked="0"/>
    </xf>
    <xf numFmtId="0" fontId="0" fillId="3" borderId="43" xfId="0" applyFont="1" applyFill="1" applyBorder="1" applyAlignment="1" applyProtection="1">
      <alignment horizontal="left" shrinkToFit="1"/>
      <protection locked="0"/>
    </xf>
    <xf numFmtId="0" fontId="0" fillId="3" borderId="44" xfId="0" applyFont="1" applyFill="1" applyBorder="1" applyAlignment="1" applyProtection="1">
      <alignment horizontal="left" shrinkToFit="1"/>
      <protection locked="0"/>
    </xf>
    <xf numFmtId="0" fontId="0" fillId="4" borderId="57" xfId="0" applyFont="1" applyFill="1" applyBorder="1" applyAlignment="1" applyProtection="1">
      <alignment horizontal="left" shrinkToFit="1"/>
      <protection locked="0"/>
    </xf>
    <xf numFmtId="0" fontId="0" fillId="4" borderId="54" xfId="0" applyFont="1" applyFill="1" applyBorder="1" applyAlignment="1" applyProtection="1">
      <alignment horizontal="left" shrinkToFit="1"/>
      <protection locked="0"/>
    </xf>
    <xf numFmtId="0" fontId="0" fillId="4" borderId="55" xfId="0" applyFont="1" applyFill="1" applyBorder="1" applyAlignment="1" applyProtection="1">
      <alignment horizontal="left" shrinkToFit="1"/>
      <protection locked="0"/>
    </xf>
    <xf numFmtId="0" fontId="0" fillId="19" borderId="40" xfId="0" applyFont="1" applyFill="1" applyBorder="1" applyProtection="1">
      <protection locked="0"/>
    </xf>
    <xf numFmtId="0" fontId="0" fillId="20" borderId="34" xfId="0" applyFont="1" applyFill="1" applyBorder="1" applyProtection="1">
      <protection locked="0"/>
    </xf>
    <xf numFmtId="0" fontId="0" fillId="0" borderId="0" xfId="0" applyFont="1" applyBorder="1" applyProtection="1">
      <protection locked="0"/>
    </xf>
    <xf numFmtId="0" fontId="0" fillId="0" borderId="12" xfId="0" applyFont="1" applyBorder="1" applyProtection="1">
      <protection locked="0"/>
    </xf>
    <xf numFmtId="0" fontId="0" fillId="0" borderId="14" xfId="0" applyFont="1" applyBorder="1" applyProtection="1">
      <protection locked="0"/>
    </xf>
    <xf numFmtId="0" fontId="0" fillId="0" borderId="15" xfId="0" applyFont="1" applyBorder="1" applyProtection="1">
      <protection locked="0"/>
    </xf>
    <xf numFmtId="0" fontId="0" fillId="0" borderId="0" xfId="0" applyFont="1" applyBorder="1" applyProtection="1"/>
    <xf numFmtId="0" fontId="0" fillId="0" borderId="11" xfId="0" applyFont="1" applyBorder="1" applyProtection="1">
      <protection locked="0"/>
    </xf>
    <xf numFmtId="0" fontId="0" fillId="0" borderId="13" xfId="0" applyFont="1" applyBorder="1" applyProtection="1">
      <protection locked="0"/>
    </xf>
    <xf numFmtId="167" fontId="0" fillId="0" borderId="0" xfId="0" applyNumberFormat="1" applyFont="1" applyBorder="1" applyProtection="1"/>
    <xf numFmtId="38" fontId="0" fillId="0" borderId="83" xfId="0" applyNumberFormat="1" applyFont="1" applyBorder="1" applyProtection="1"/>
    <xf numFmtId="38" fontId="7" fillId="0" borderId="32" xfId="0" applyNumberFormat="1" applyFont="1" applyBorder="1" applyAlignment="1" applyProtection="1">
      <alignment horizontal="center"/>
      <protection hidden="1"/>
    </xf>
    <xf numFmtId="38" fontId="7" fillId="0" borderId="40" xfId="0" applyNumberFormat="1" applyFont="1" applyBorder="1" applyAlignment="1" applyProtection="1">
      <alignment horizontal="center"/>
      <protection hidden="1"/>
    </xf>
    <xf numFmtId="38" fontId="7" fillId="0" borderId="34" xfId="0" applyNumberFormat="1" applyFont="1" applyBorder="1" applyAlignment="1" applyProtection="1">
      <alignment horizontal="center"/>
      <protection hidden="1"/>
    </xf>
    <xf numFmtId="38" fontId="12" fillId="0" borderId="40" xfId="0" applyNumberFormat="1" applyFont="1" applyBorder="1" applyAlignment="1" applyProtection="1">
      <alignment horizontal="center"/>
      <protection hidden="1"/>
    </xf>
    <xf numFmtId="0" fontId="7" fillId="5" borderId="23" xfId="0" applyFont="1" applyFill="1" applyBorder="1" applyProtection="1"/>
    <xf numFmtId="0" fontId="7" fillId="5" borderId="86" xfId="0" applyFont="1" applyFill="1" applyBorder="1" applyProtection="1"/>
    <xf numFmtId="0" fontId="14" fillId="16" borderId="0" xfId="0" applyFont="1" applyFill="1" applyBorder="1" applyProtection="1"/>
    <xf numFmtId="0" fontId="9" fillId="17" borderId="41" xfId="0" applyFont="1" applyFill="1" applyBorder="1" applyAlignment="1" applyProtection="1">
      <alignment horizontal="center"/>
    </xf>
    <xf numFmtId="0" fontId="10" fillId="18" borderId="42" xfId="0" applyFont="1" applyFill="1" applyBorder="1" applyAlignment="1" applyProtection="1">
      <alignment horizontal="center"/>
    </xf>
    <xf numFmtId="0" fontId="0" fillId="14" borderId="0" xfId="0" applyFont="1" applyFill="1" applyBorder="1" applyAlignment="1" applyProtection="1">
      <alignment horizontal="left"/>
    </xf>
    <xf numFmtId="0" fontId="0" fillId="14" borderId="12" xfId="0" applyFont="1" applyFill="1" applyBorder="1" applyAlignment="1" applyProtection="1">
      <alignment horizontal="left"/>
    </xf>
    <xf numFmtId="0" fontId="7" fillId="5" borderId="77" xfId="0" applyFont="1" applyFill="1" applyBorder="1" applyProtection="1"/>
    <xf numFmtId="0" fontId="7" fillId="0" borderId="32" xfId="0" applyFont="1" applyBorder="1" applyAlignment="1" applyProtection="1">
      <alignment horizontal="center"/>
      <protection hidden="1"/>
    </xf>
    <xf numFmtId="0" fontId="7" fillId="0" borderId="40" xfId="0" applyFont="1" applyBorder="1" applyAlignment="1" applyProtection="1">
      <alignment horizontal="center"/>
      <protection hidden="1"/>
    </xf>
    <xf numFmtId="0" fontId="7" fillId="0" borderId="34" xfId="0" applyFont="1" applyBorder="1" applyAlignment="1" applyProtection="1">
      <alignment horizontal="center"/>
      <protection hidden="1"/>
    </xf>
    <xf numFmtId="0" fontId="0" fillId="0" borderId="8" xfId="0" applyFont="1" applyBorder="1" applyProtection="1"/>
    <xf numFmtId="0" fontId="0" fillId="0" borderId="9" xfId="0" applyFont="1" applyBorder="1" applyProtection="1"/>
    <xf numFmtId="0" fontId="0" fillId="0" borderId="10" xfId="0" applyFont="1" applyBorder="1" applyProtection="1"/>
    <xf numFmtId="0" fontId="21" fillId="0" borderId="58" xfId="0" applyFont="1" applyBorder="1" applyAlignment="1" applyProtection="1">
      <alignment horizontal="left" indent="1"/>
    </xf>
    <xf numFmtId="0" fontId="21" fillId="0" borderId="14" xfId="0" applyFont="1" applyBorder="1" applyAlignment="1" applyProtection="1">
      <alignment horizontal="left" indent="1"/>
    </xf>
    <xf numFmtId="0" fontId="21" fillId="0" borderId="15" xfId="0" applyFont="1" applyBorder="1" applyAlignment="1" applyProtection="1">
      <alignment horizontal="left" indent="1"/>
    </xf>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7" fillId="5" borderId="50" xfId="0" applyFont="1" applyFill="1" applyBorder="1" applyAlignment="1" applyProtection="1">
      <protection hidden="1"/>
    </xf>
    <xf numFmtId="0" fontId="0" fillId="0" borderId="50" xfId="0" applyBorder="1" applyAlignment="1" applyProtection="1"/>
    <xf numFmtId="0" fontId="0" fillId="0" borderId="64" xfId="0" applyBorder="1" applyAlignment="1" applyProtection="1"/>
    <xf numFmtId="0" fontId="3" fillId="6" borderId="51" xfId="0" applyFont="1" applyFill="1" applyBorder="1" applyAlignment="1" applyProtection="1"/>
    <xf numFmtId="0" fontId="0" fillId="6" borderId="22" xfId="0" applyFill="1" applyBorder="1" applyAlignment="1" applyProtection="1"/>
    <xf numFmtId="0" fontId="0" fillId="0" borderId="22" xfId="0" applyBorder="1" applyAlignment="1" applyProtection="1"/>
    <xf numFmtId="0" fontId="0" fillId="0" borderId="23" xfId="0" applyBorder="1" applyAlignment="1" applyProtection="1"/>
    <xf numFmtId="0" fontId="7" fillId="5" borderId="76" xfId="0" applyFont="1" applyFill="1" applyBorder="1" applyAlignment="1" applyProtection="1">
      <protection hidden="1"/>
    </xf>
    <xf numFmtId="0" fontId="0" fillId="0" borderId="76" xfId="0" applyBorder="1" applyAlignment="1" applyProtection="1"/>
    <xf numFmtId="0" fontId="0" fillId="0" borderId="39" xfId="0" applyBorder="1" applyAlignment="1" applyProtection="1"/>
    <xf numFmtId="0" fontId="7" fillId="5" borderId="54" xfId="0" applyFont="1" applyFill="1" applyBorder="1" applyAlignment="1" applyProtection="1">
      <protection hidden="1"/>
    </xf>
    <xf numFmtId="0" fontId="0" fillId="0" borderId="54" xfId="0" applyBorder="1" applyAlignment="1" applyProtection="1"/>
    <xf numFmtId="0" fontId="0" fillId="0" borderId="75" xfId="0" applyBorder="1" applyAlignment="1" applyProtection="1"/>
    <xf numFmtId="0" fontId="3" fillId="6" borderId="21" xfId="0" applyFont="1" applyFill="1" applyBorder="1" applyAlignment="1" applyProtection="1"/>
    <xf numFmtId="0" fontId="0" fillId="0" borderId="52" xfId="0" applyBorder="1" applyAlignment="1" applyProtection="1"/>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7" xfId="0" applyBorder="1" applyAlignment="1" applyProtection="1"/>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5" fillId="15" borderId="10" xfId="0" applyFont="1" applyFill="1" applyBorder="1" applyAlignment="1" applyProtection="1">
      <alignment horizontal="center" vertical="center"/>
    </xf>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5" fillId="15" borderId="12" xfId="0" applyFont="1" applyFill="1" applyBorder="1" applyAlignment="1" applyProtection="1">
      <alignment horizontal="center" vertical="center"/>
    </xf>
    <xf numFmtId="0" fontId="0" fillId="6" borderId="23" xfId="0" applyFill="1" applyBorder="1" applyAlignment="1" applyProtection="1"/>
    <xf numFmtId="0" fontId="4" fillId="0" borderId="65"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21" fillId="0" borderId="7" xfId="0" applyFont="1" applyBorder="1" applyAlignment="1" applyProtection="1">
      <alignment horizontal="left" indent="1"/>
    </xf>
    <xf numFmtId="0" fontId="21" fillId="0" borderId="0" xfId="0" applyFont="1" applyBorder="1" applyAlignment="1" applyProtection="1">
      <alignment horizontal="left" indent="1"/>
    </xf>
    <xf numFmtId="0" fontId="21" fillId="0" borderId="12" xfId="0" applyFont="1" applyBorder="1" applyAlignment="1" applyProtection="1">
      <alignment horizontal="left" indent="1"/>
    </xf>
    <xf numFmtId="0" fontId="7" fillId="5" borderId="31" xfId="0" applyFont="1" applyFill="1" applyBorder="1" applyAlignment="1" applyProtection="1">
      <protection hidden="1"/>
    </xf>
    <xf numFmtId="0" fontId="0" fillId="0" borderId="85" xfId="0" applyBorder="1" applyAlignment="1" applyProtection="1"/>
    <xf numFmtId="0" fontId="7" fillId="5" borderId="85" xfId="0" applyFont="1" applyFill="1" applyBorder="1" applyAlignment="1" applyProtection="1">
      <protection hidden="1"/>
    </xf>
    <xf numFmtId="0" fontId="12" fillId="10" borderId="33" xfId="0" applyFont="1" applyFill="1" applyBorder="1" applyProtection="1">
      <protection hidden="1"/>
    </xf>
    <xf numFmtId="0" fontId="12" fillId="10" borderId="84" xfId="0" applyFont="1" applyFill="1" applyBorder="1" applyProtection="1">
      <protection hidden="1"/>
    </xf>
    <xf numFmtId="0" fontId="7" fillId="5" borderId="48" xfId="0" applyFont="1" applyFill="1" applyBorder="1" applyAlignment="1" applyProtection="1">
      <protection hidden="1"/>
    </xf>
    <xf numFmtId="0" fontId="7" fillId="5" borderId="82" xfId="0" applyFont="1" applyFill="1" applyBorder="1" applyAlignment="1" applyProtection="1">
      <protection hidden="1"/>
    </xf>
    <xf numFmtId="0" fontId="7" fillId="5" borderId="33" xfId="0" applyFont="1" applyFill="1" applyBorder="1" applyAlignment="1" applyProtection="1">
      <protection hidden="1"/>
    </xf>
    <xf numFmtId="0" fontId="7" fillId="5" borderId="84" xfId="0" applyFont="1" applyFill="1" applyBorder="1" applyAlignment="1" applyProtection="1">
      <protection hidden="1"/>
    </xf>
    <xf numFmtId="0" fontId="20" fillId="11" borderId="59" xfId="786" applyFont="1" applyBorder="1" applyAlignment="1" applyProtection="1">
      <alignment horizontal="center"/>
      <protection locked="0"/>
    </xf>
    <xf numFmtId="0" fontId="7" fillId="0" borderId="60" xfId="0" applyFont="1" applyBorder="1" applyAlignment="1" applyProtection="1">
      <alignment horizontal="center"/>
      <protection locked="0"/>
    </xf>
    <xf numFmtId="0" fontId="7" fillId="0" borderId="61" xfId="0" applyFont="1" applyBorder="1" applyAlignment="1" applyProtection="1">
      <alignment horizontal="center"/>
      <protection locked="0"/>
    </xf>
    <xf numFmtId="0" fontId="19" fillId="6" borderId="21" xfId="0" applyFont="1" applyFill="1" applyBorder="1" applyAlignment="1" applyProtection="1"/>
    <xf numFmtId="0" fontId="18" fillId="0" borderId="22" xfId="0" applyFont="1" applyBorder="1" applyAlignment="1" applyProtection="1"/>
    <xf numFmtId="0" fontId="19" fillId="6" borderId="21" xfId="0" applyFont="1" applyFill="1" applyBorder="1" applyAlignment="1" applyProtection="1">
      <alignment horizontal="left"/>
    </xf>
    <xf numFmtId="0" fontId="18" fillId="0" borderId="22" xfId="0" applyFont="1" applyBorder="1" applyAlignment="1" applyProtection="1">
      <alignment horizontal="left"/>
    </xf>
    <xf numFmtId="0" fontId="0" fillId="0" borderId="22" xfId="0" applyBorder="1" applyAlignment="1" applyProtection="1">
      <alignment horizontal="left"/>
    </xf>
    <xf numFmtId="0" fontId="0" fillId="0" borderId="23" xfId="0" applyBorder="1" applyAlignment="1" applyProtection="1">
      <alignment horizontal="left"/>
    </xf>
    <xf numFmtId="0" fontId="7" fillId="6" borderId="21" xfId="0" applyFont="1" applyFill="1" applyBorder="1" applyAlignment="1" applyProtection="1"/>
    <xf numFmtId="0" fontId="7" fillId="5" borderId="45" xfId="0" applyFont="1" applyFill="1" applyBorder="1" applyAlignment="1" applyProtection="1"/>
    <xf numFmtId="0" fontId="0" fillId="0" borderId="38" xfId="0" applyBorder="1" applyAlignment="1" applyProtection="1"/>
    <xf numFmtId="167" fontId="0" fillId="0" borderId="0" xfId="0" applyNumberFormat="1" applyFont="1" applyBorder="1" applyAlignment="1" applyProtection="1"/>
    <xf numFmtId="0" fontId="0" fillId="0" borderId="3" xfId="0" applyBorder="1" applyAlignment="1" applyProtection="1"/>
    <xf numFmtId="167" fontId="0" fillId="0" borderId="3" xfId="0" applyNumberFormat="1" applyFont="1" applyBorder="1" applyAlignment="1" applyProtection="1"/>
    <xf numFmtId="167" fontId="0" fillId="0" borderId="19" xfId="0" applyNumberFormat="1" applyFont="1" applyBorder="1" applyAlignment="1" applyProtection="1"/>
    <xf numFmtId="0" fontId="0" fillId="0" borderId="20" xfId="0" applyBorder="1" applyAlignment="1" applyProtection="1"/>
    <xf numFmtId="0" fontId="17" fillId="0" borderId="8" xfId="0" applyFont="1" applyBorder="1" applyAlignment="1" applyProtection="1">
      <alignment horizontal="left" vertical="top" wrapText="1" indent="1"/>
    </xf>
    <xf numFmtId="0" fontId="0" fillId="0" borderId="9" xfId="0" applyFont="1" applyBorder="1" applyAlignment="1" applyProtection="1">
      <alignment wrapText="1"/>
    </xf>
    <xf numFmtId="0" fontId="0" fillId="0" borderId="10" xfId="0" applyFont="1" applyBorder="1" applyAlignment="1" applyProtection="1">
      <alignment wrapText="1"/>
    </xf>
    <xf numFmtId="0" fontId="0" fillId="0" borderId="11" xfId="0" applyFont="1" applyBorder="1" applyAlignment="1" applyProtection="1">
      <alignment wrapText="1"/>
    </xf>
    <xf numFmtId="0" fontId="0" fillId="0" borderId="0" xfId="0" applyFont="1" applyBorder="1" applyAlignment="1" applyProtection="1">
      <alignment wrapText="1"/>
    </xf>
    <xf numFmtId="0" fontId="0" fillId="0" borderId="12" xfId="0" applyFont="1" applyBorder="1" applyAlignment="1" applyProtection="1">
      <alignment wrapText="1"/>
    </xf>
    <xf numFmtId="0" fontId="0" fillId="0" borderId="13" xfId="0" applyFont="1" applyBorder="1" applyAlignment="1" applyProtection="1">
      <alignment wrapText="1"/>
    </xf>
    <xf numFmtId="0" fontId="0" fillId="0" borderId="14" xfId="0" applyFont="1" applyBorder="1" applyAlignment="1" applyProtection="1">
      <alignment wrapText="1"/>
    </xf>
    <xf numFmtId="0" fontId="0" fillId="0" borderId="15" xfId="0" applyFont="1" applyBorder="1" applyAlignment="1" applyProtection="1">
      <alignment wrapText="1"/>
    </xf>
    <xf numFmtId="0" fontId="0" fillId="0" borderId="65"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8"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9" xfId="0" applyFont="1" applyFill="1" applyBorder="1" applyAlignment="1" applyProtection="1">
      <alignment horizontal="center"/>
    </xf>
    <xf numFmtId="0" fontId="15" fillId="12" borderId="60" xfId="0" applyFont="1" applyFill="1" applyBorder="1" applyAlignment="1" applyProtection="1">
      <alignment horizontal="center"/>
    </xf>
    <xf numFmtId="0" fontId="15" fillId="12" borderId="61" xfId="0" applyFont="1" applyFill="1" applyBorder="1" applyAlignment="1" applyProtection="1">
      <alignment horizontal="center"/>
    </xf>
    <xf numFmtId="0" fontId="5" fillId="9" borderId="59" xfId="0" applyFont="1" applyFill="1" applyBorder="1" applyAlignment="1" applyProtection="1">
      <alignment horizontal="center"/>
    </xf>
    <xf numFmtId="0" fontId="0" fillId="0" borderId="60" xfId="0" applyBorder="1" applyAlignment="1" applyProtection="1"/>
    <xf numFmtId="0" fontId="0" fillId="0" borderId="61" xfId="0" applyBorder="1" applyAlignment="1" applyProtection="1"/>
    <xf numFmtId="0" fontId="3" fillId="6" borderId="77" xfId="0" applyFont="1" applyFill="1" applyBorder="1" applyAlignment="1" applyProtection="1">
      <protection hidden="1"/>
    </xf>
    <xf numFmtId="0" fontId="0" fillId="0" borderId="16" xfId="0" applyBorder="1" applyAlignment="1"/>
    <xf numFmtId="0" fontId="0" fillId="0" borderId="17" xfId="0" applyBorder="1" applyAlignment="1"/>
  </cellXfs>
  <cellStyles count="11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73">
    <dxf>
      <font>
        <color rgb="FFFFFF00"/>
      </font>
      <fill>
        <patternFill patternType="solid">
          <fgColor indexed="64"/>
          <bgColor rgb="FFFF0000"/>
        </patternFill>
      </fill>
    </dxf>
    <dxf>
      <font>
        <color rgb="FFFFFF00"/>
      </font>
      <fill>
        <patternFill patternType="solid">
          <fgColor indexed="64"/>
          <bgColor rgb="FFFF0000"/>
        </patternFill>
      </fill>
    </dxf>
    <dxf>
      <numFmt numFmtId="168" formatCode="#\ ??/24"/>
    </dxf>
    <dxf>
      <numFmt numFmtId="6" formatCode="#,##0_);[Red]\(#,##0\)"/>
    </dxf>
    <dxf>
      <numFmt numFmtId="168" formatCode="#\ ??/24"/>
    </dxf>
    <dxf>
      <numFmt numFmtId="6"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font>
        <color rgb="FFFFFF00"/>
      </font>
      <fill>
        <patternFill patternType="solid">
          <fgColor indexed="64"/>
          <bgColor rgb="FFFF0000"/>
        </patternFill>
      </fill>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6"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border diagonalUp="0" diagonalDown="0">
        <left/>
        <right style="thick">
          <color rgb="FFFF0000"/>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rgb="FFFF0000"/>
        </left>
        <right/>
        <top/>
        <bottom/>
        <vertical/>
        <horizontal/>
      </border>
      <protection locked="0"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rgb="FFFF0000"/>
        </right>
        <top/>
        <bottom/>
        <vertical/>
        <horizontal/>
      </border>
      <protection locked="0" hidden="0"/>
    </dxf>
    <dxf>
      <protection locked="1"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FF0000"/>
        </patternFill>
      </fill>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theme="1" tint="0.34998626667073579"/>
      </font>
      <fill>
        <patternFill patternType="solid">
          <fgColor indexed="64"/>
          <bgColor theme="1" tint="0.34998626667073579"/>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2" defaultTableStyle="TableStyleMedium9" defaultPivotStyle="PivotStyleMedium4">
    <tableStyle name="Custom" pivot="0" count="7">
      <tableStyleElement type="wholeTable" dxfId="272"/>
      <tableStyleElement type="headerRow" dxfId="271"/>
      <tableStyleElement type="totalRow" dxfId="270"/>
      <tableStyleElement type="firstColumn" dxfId="269"/>
      <tableStyleElement type="lastColumn" dxfId="268"/>
      <tableStyleElement type="firstRowStripe" dxfId="267"/>
      <tableStyleElement type="firstColumnStripe" dxfId="266"/>
    </tableStyle>
    <tableStyle name="TableStyleMedium14 2" pivot="0" count="7">
      <tableStyleElement type="wholeTable" dxfId="265"/>
      <tableStyleElement type="headerRow" dxfId="264"/>
      <tableStyleElement type="totalRow" dxfId="263"/>
      <tableStyleElement type="firstColumn" dxfId="262"/>
      <tableStyleElement type="lastColumn" dxfId="261"/>
      <tableStyleElement type="firstRowStripe" dxfId="260"/>
      <tableStyleElement type="firstColumnStripe" dxfId="259"/>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S72" totalsRowShown="0" headerRowDxfId="251" dataDxfId="250">
  <tableColumns count="19">
    <tableColumn id="1" name="Building or Upgrade" dataDxfId="249"/>
    <tableColumn id="14" name="Kind" dataDxfId="248">
      <calculatedColumnFormula>VLOOKUP(ConstructionState[[#This Row],[Building or Upgrade]],Upgrades[],2,FALSE)</calculatedColumnFormula>
    </tableColumn>
    <tableColumn id="15" name="Resource" dataDxfId="247">
      <calculatedColumnFormula>VLOOKUP(ConstructionState[Building or Upgrade],Upgrades[],3,FALSE)</calculatedColumnFormula>
    </tableColumn>
    <tableColumn id="21" name="MatchStr" dataDxfId="246">
      <calculatedColumnFormula>IF(COUNTIF(Skips,ConstructionState[[#This Row],[Building or Upgrade]]),"IGNORE",ConstructionState[Kind]&amp;"-"&amp;ConstructionState[Resource])</calculatedColumnFormula>
    </tableColumn>
    <tableColumn id="2" name="Available" dataDxfId="245">
      <calculatedColumnFormula>IF(AND(ConstructionState[[#This Row],[Kind]]="Upgrade",LabLevel=0),0,VLOOKUP(ConstructionState[Building or Upgrade],QuantAvail[],1+IF(ConstructionState[[#This Row],[Kind]]="Upgrade",LabLevel,THLevel),FALSE))</calculatedColumnFormula>
    </tableColumn>
    <tableColumn id="3" name="Maximum Level" dataDxfId="244">
      <calculatedColumnFormula>IF(AND(ConstructionState[[#This Row],[Kind]]="Upgrade",LabLevel=0),0,VLOOKUP(ConstructionState[Building or Upgrade],MaxLevel[],1+IF(ConstructionState[[#This Row],[Kind]]="Upgrade",LabLevel,THLevel),FALSE))</calculatedColumnFormula>
    </tableColumn>
    <tableColumn id="4" name="Not Built/Upgraded" dataDxfId="243">
      <calculatedColumnFormula>ConstructionState[[#This Row],[Available]]-SUM(ConstructionState[[#This Row],[1]:[12]])</calculatedColumnFormula>
    </tableColumn>
    <tableColumn id="5" name="1" dataDxfId="242"/>
    <tableColumn id="6" name="2" dataDxfId="241"/>
    <tableColumn id="7" name="3" dataDxfId="240"/>
    <tableColumn id="8" name="4" dataDxfId="239"/>
    <tableColumn id="9" name="5" dataDxfId="238"/>
    <tableColumn id="10" name="6" dataDxfId="237"/>
    <tableColumn id="11" name="7" dataDxfId="236"/>
    <tableColumn id="12" name="8" dataDxfId="235"/>
    <tableColumn id="13" name="9" dataDxfId="234"/>
    <tableColumn id="16" name="10" dataDxfId="233"/>
    <tableColumn id="17" name="11" dataDxfId="232"/>
    <tableColumn id="18" name="12" dataDxfId="231"/>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B17:L37" headerRowDxfId="224" dataDxfId="223" totalsRowDxfId="222">
  <tableColumns count="11">
    <tableColumn id="1" name="Name" totalsRowLabel="Total" dataDxfId="221" totalsRowDxfId="220"/>
    <tableColumn id="4" name="Count" dataDxfId="219" totalsRowDxfId="218">
      <calculatedColumnFormula>INDEX(AttackSets[],MATCH(ArmyState[[#This Row],[Name]],AttackSets[Unit Set],0),MATCH(AttackSet,AttackSets[#Headers],0))</calculatedColumnFormula>
    </tableColumn>
    <tableColumn id="12" name="Type" dataDxfId="217" totalsRowDxfId="216">
      <calculatedColumnFormula>INDEX(UnitCosts[Type],MATCH(ArmyState[[#This Row],[Name]],UnitCosts[Name],0))</calculatedColumnFormula>
    </tableColumn>
    <tableColumn id="2" name="Level" dataDxfId="215" totalsRowDxfId="214">
      <calculatedColumnFormula>IFERROR(MATCH(1,OFFSET(ConstructionState[],MATCH(ArmyState[[#This Row],[Name]],ConstructionState[Building or Upgrade],0)-1,L1Offset,1,12)),1)</calculatedColumnFormula>
    </tableColumn>
    <tableColumn id="3" name="Resource" dataDxfId="213" totalsRowDxfId="212">
      <calculatedColumnFormula>INDEX(UnitCosts[Resource],MATCH(ArmyState[[#This Row],[Name]],UnitCosts[Name],0))</calculatedColumnFormula>
    </tableColumn>
    <tableColumn id="9" name="Cost" dataDxfId="211" totalsRowDxfId="210">
      <calculatedColumnFormula>VLOOKUP(ArmyState[[#This Row],[Name]],UnitCosts[],MATCH(TEXT(ArmyState[[#This Row],[Level]],"#"),UnitCosts[#Headers],0),FALSE)</calculatedColumnFormula>
    </tableColumn>
    <tableColumn id="7" name="Time" dataDxfId="209" totalsRowDxfId="208">
      <calculatedColumnFormula>INDEX(UnitCosts[Train Time],MATCH(ArmyState[[#This Row],[Name]],UnitCosts[Name],0))</calculatedColumnFormula>
    </tableColumn>
    <tableColumn id="8" name="Space" dataDxfId="207" totalsRowDxfId="206">
      <calculatedColumnFormula>INDEX(UnitCosts[Space],MATCH(ArmyState[[#This Row],[Name]],UnitCosts[Name],0))</calculatedColumnFormula>
    </tableColumn>
    <tableColumn id="6" name="Total Cost" dataDxfId="205" totalsRowDxfId="204">
      <calculatedColumnFormula>ArmyState[[#This Row],[Count]]*ArmyState[[#This Row],[Cost]]</calculatedColumnFormula>
    </tableColumn>
    <tableColumn id="10" name="Total Time" dataDxfId="203" totalsRowDxfId="202">
      <calculatedColumnFormula>ArmyState[[#This Row],[Count]]*ArmyState[[#This Row],[Time]]</calculatedColumnFormula>
    </tableColumn>
    <tableColumn id="11" name="Total Space" dataDxfId="201" totalsRowDxfId="200">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N17:X37" headerRowDxfId="199" dataDxfId="198" totalsRowDxfId="197">
  <tableColumns count="11">
    <tableColumn id="1" name="Unit Set" totalsRowLabel="Total" dataDxfId="196" totalsRowDxfId="195"/>
    <tableColumn id="2" name="LastUsed" dataDxfId="194"/>
    <tableColumn id="3" name="Farming" dataDxfId="193"/>
    <tableColumn id="4" name="War" dataDxfId="192"/>
    <tableColumn id="6" name="G+Healers" dataDxfId="191"/>
    <tableColumn id="7" name="WarSaver" dataDxfId="190"/>
    <tableColumn id="8" name="Cheapo" dataDxfId="189"/>
    <tableColumn id="9" name="RageT1" dataDxfId="188"/>
    <tableColumn id="10" name="     " dataDxfId="187"/>
    <tableColumn id="11" name="      " dataDxfId="186"/>
    <tableColumn id="12" name="       " dataDxfId="185"/>
  </tableColumns>
  <tableStyleInfo name="Custom" showFirstColumn="0" showLastColumn="0" showRowStripes="1" showColumnStripes="0"/>
</table>
</file>

<file path=xl/tables/table4.xml><?xml version="1.0" encoding="utf-8"?>
<table xmlns="http://schemas.openxmlformats.org/spreadsheetml/2006/main" id="4" name="Upgrades" displayName="Upgrades" ref="A2:AA51" totalsRowShown="0" headerRowDxfId="129" dataDxfId="128">
  <tableColumns count="27">
    <tableColumn id="1" name="Building" dataDxfId="127"/>
    <tableColumn id="3" name="Kind" dataDxfId="126"/>
    <tableColumn id="2" name="Resource" dataDxfId="125"/>
    <tableColumn id="5" name="C1" dataDxfId="124"/>
    <tableColumn id="6" name="C2" dataDxfId="123"/>
    <tableColumn id="7" name="C3" dataDxfId="122"/>
    <tableColumn id="8" name="C4" dataDxfId="121"/>
    <tableColumn id="9" name="C5" dataDxfId="120"/>
    <tableColumn id="10" name="C6" dataDxfId="119"/>
    <tableColumn id="11" name="C7" dataDxfId="118"/>
    <tableColumn id="12" name="C8" dataDxfId="117"/>
    <tableColumn id="13" name="C9" dataDxfId="116"/>
    <tableColumn id="14" name="C10" dataDxfId="115"/>
    <tableColumn id="15" name="C11" dataDxfId="114"/>
    <tableColumn id="16" name="C12" dataDxfId="113"/>
    <tableColumn id="17" name="T1" dataDxfId="112" dataCellStyle="Normal_Upgrade Costs"/>
    <tableColumn id="18" name="T2" dataDxfId="111" dataCellStyle="Normal_Upgrade Costs"/>
    <tableColumn id="19" name="T3" dataDxfId="110" dataCellStyle="Normal_Upgrade Costs"/>
    <tableColumn id="20" name="T4" dataDxfId="109" dataCellStyle="Normal_Upgrade Costs"/>
    <tableColumn id="21" name="T5" dataDxfId="108" dataCellStyle="Normal_Upgrade Costs"/>
    <tableColumn id="22" name="T6" dataDxfId="107" dataCellStyle="Normal_Upgrade Costs"/>
    <tableColumn id="23" name="T7" dataDxfId="106" dataCellStyle="Normal_Upgrade Costs"/>
    <tableColumn id="24" name="T8" dataDxfId="105" dataCellStyle="Normal_Upgrade Costs"/>
    <tableColumn id="25" name="T9" dataDxfId="104" dataCellStyle="Normal_Upgrade Costs"/>
    <tableColumn id="26" name="T10" dataDxfId="103" dataCellStyle="Normal_Upgrade Costs"/>
    <tableColumn id="27" name="T11" dataDxfId="102" dataCellStyle="Normal_Upgrade Costs"/>
    <tableColumn id="28" name="T12" dataDxfId="101" dataCellStyle="Normal_Upgrade Costs"/>
  </tableColumns>
  <tableStyleInfo name="TableStyleMedium9" showFirstColumn="0" showLastColumn="0" showRowStripes="1" showColumnStripes="0"/>
</table>
</file>

<file path=xl/tables/table5.xml><?xml version="1.0" encoding="utf-8"?>
<table xmlns="http://schemas.openxmlformats.org/spreadsheetml/2006/main" id="5" name="UnitCosts" displayName="UnitCosts" ref="A111:K131" totalsRowShown="0" headerRowDxfId="100" dataDxfId="99">
  <tableColumns count="11">
    <tableColumn id="1" name="Name" dataDxfId="98"/>
    <tableColumn id="2" name="Type" dataDxfId="97"/>
    <tableColumn id="3" name="Resource" dataDxfId="96"/>
    <tableColumn id="16" name="Train Time" dataDxfId="95"/>
    <tableColumn id="15" name="Space" dataDxfId="94"/>
    <tableColumn id="4" name="1" dataDxfId="93"/>
    <tableColumn id="5" name="2" dataDxfId="92"/>
    <tableColumn id="6" name="3" dataDxfId="91"/>
    <tableColumn id="7" name="4" dataDxfId="90"/>
    <tableColumn id="8" name="5" dataDxfId="89"/>
    <tableColumn id="9" name="6" dataDxfId="88"/>
  </tableColumns>
  <tableStyleInfo name="TableStyleMedium9" showFirstColumn="0" showLastColumn="0" showRowStripes="1" showColumnStripes="0"/>
</table>
</file>

<file path=xl/tables/table6.xml><?xml version="1.0" encoding="utf-8"?>
<table xmlns="http://schemas.openxmlformats.org/spreadsheetml/2006/main" id="2" name="QuantAvail" displayName="QuantAvail" ref="A135:K186" totalsRowShown="0" headerRowDxfId="87" dataDxfId="86">
  <autoFilter ref="A135:K186"/>
  <tableColumns count="11">
    <tableColumn id="1" name="Quantity Available" dataDxfId="85"/>
    <tableColumn id="2" name="L1" dataDxfId="84"/>
    <tableColumn id="3" name="L2" dataDxfId="83"/>
    <tableColumn id="4" name="L3" dataDxfId="82"/>
    <tableColumn id="5" name="L4" dataDxfId="81"/>
    <tableColumn id="6" name="L5" dataDxfId="80"/>
    <tableColumn id="7" name="L6" dataDxfId="79"/>
    <tableColumn id="8" name="L7" dataDxfId="78"/>
    <tableColumn id="9" name="L8" dataDxfId="77"/>
    <tableColumn id="10" name="L9" dataDxfId="76"/>
    <tableColumn id="11" name="L10" dataDxfId="75"/>
  </tableColumns>
  <tableStyleInfo name="TableStyleMedium9" showFirstColumn="0" showLastColumn="0" showRowStripes="1" showColumnStripes="0"/>
</table>
</file>

<file path=xl/tables/table7.xml><?xml version="1.0" encoding="utf-8"?>
<table xmlns="http://schemas.openxmlformats.org/spreadsheetml/2006/main" id="3" name="MaxLevel" displayName="MaxLevel" ref="A189:K240" totalsRowShown="0" headerRowDxfId="74" dataDxfId="73">
  <autoFilter ref="A189:K240"/>
  <tableColumns count="11">
    <tableColumn id="1" name="Max Level" dataDxfId="72"/>
    <tableColumn id="2" name="L1" dataDxfId="71"/>
    <tableColumn id="3" name="L2" dataDxfId="70"/>
    <tableColumn id="4" name="L3" dataDxfId="69"/>
    <tableColumn id="5" name="L4" dataDxfId="68"/>
    <tableColumn id="6" name="L5" dataDxfId="67"/>
    <tableColumn id="7" name="L6" dataDxfId="66"/>
    <tableColumn id="8" name="L7" dataDxfId="65"/>
    <tableColumn id="9" name="L8" dataDxfId="64"/>
    <tableColumn id="10" name="L9" dataDxfId="63"/>
    <tableColumn id="11" name="L10" dataDxfId="62"/>
  </tableColumns>
  <tableStyleInfo name="TableStyleMedium9" showFirstColumn="0" showLastColumn="0" showRowStripes="1" showColumnStripes="0"/>
</table>
</file>

<file path=xl/tables/table8.xml><?xml version="1.0" encoding="utf-8"?>
<table xmlns="http://schemas.openxmlformats.org/spreadsheetml/2006/main" id="1" name="HeroUpgrades" displayName="HeroUpgrades" ref="A56:E96" totalsRowShown="0" headerRowDxfId="61" dataDxfId="60" tableBorderDxfId="59">
  <autoFilter ref="A56:E96"/>
  <tableColumns count="5">
    <tableColumn id="1" name="Level" dataDxfId="58"/>
    <tableColumn id="2" name="BK-Cost" dataDxfId="57"/>
    <tableColumn id="3" name="BK-Time" dataDxfId="56"/>
    <tableColumn id="4" name="AQ-Cost" dataDxfId="55"/>
    <tableColumn id="5" name="AQ-Time" dataDxfId="54"/>
  </tableColumns>
  <tableStyleInfo name="TableStyleMedium9" showFirstColumn="0" showLastColumn="0" showRowStripes="1" showColumnStripes="0"/>
</table>
</file>

<file path=xl/tables/table9.xml><?xml version="1.0" encoding="utf-8"?>
<table xmlns="http://schemas.openxmlformats.org/spreadsheetml/2006/main" id="10" name="Table10" displayName="Table10" ref="A100:B108" totalsRowShown="0" headerRowDxfId="53" dataDxfId="52">
  <tableColumns count="2">
    <tableColumn id="1" name="Level" dataDxfId="51"/>
    <tableColumn id="2" name="Capacity" dataDxfId="50"/>
  </tableColumns>
  <tableStyleInfo name="TableStyleMedium9" showFirstColumn="0" showLastColumn="0" showRowStripes="1" showColumnStripes="0"/>
</table>
</file>

<file path=xl/tables/table10.xml><?xml version="1.0" encoding="utf-8"?>
<table xmlns="http://schemas.openxmlformats.org/spreadsheetml/2006/main" id="8" name="CostRemaining" displayName="CostRemaining" ref="A19:R68" totalsRowShown="0" headerRowDxfId="48" dataDxfId="47">
  <autoFilter ref="A19:R68"/>
  <tableColumns count="18">
    <tableColumn id="1" name="Cost" dataDxfId="46"/>
    <tableColumn id="15" name="Kind" dataDxfId="45">
      <calculatedColumnFormula>VLOOKUP(CostRemaining[[#This Row],[Cost]],Upgrades[],2,FALSE)</calculatedColumnFormula>
    </tableColumn>
    <tableColumn id="2" name="Resource" dataDxfId="44">
      <calculatedColumnFormula>VLOOKUP(CostRemaining[[#This Row],[Cost]],Upgrades[],3,FALSE)</calculatedColumnFormula>
    </tableColumn>
    <tableColumn id="18" name="MatchStr" dataDxfId="43">
      <calculatedColumnFormula>IF(COUNTIF(Skips,CostRemaining[[#This Row],[Cost]])&gt;0,"IGNORE",CostRemaining[Kind]&amp;"-"&amp;CostRemaining[Resource])</calculatedColumnFormula>
    </tableColumn>
    <tableColumn id="14" name="Next" dataDxfId="42">
      <calculatedColumnFormula>IFERROR(VLOOKUP(CostRemaining[[#This Row],[Cost]],Upgrades[],MATCH("C"&amp;MATCH(TRUE,INDEX(CostRemaining[[#This Row],[1]:[12]]&lt;&gt;0,),0),Upgrades[#Headers],0),FALSE),"")</calculatedColumnFormula>
    </tableColumn>
    <tableColumn id="3" name="1" dataDxfId="41">
      <calculatedColumnFormula>IF(VALUE(CostRemaining[#Headers])&lt;='Construction Dashboard'!$F24,IFERROR(VLOOKUP(CostRemaining[[#This Row],[Cost]],Upgrades[],MATCH("C"&amp;CostRemaining[#Headers],Upgrades[#Headers],0),FALSE),0)*MAX(0,SUM('Construction Dashboard'!$G24:G24)),0)</calculatedColumnFormula>
    </tableColumn>
    <tableColumn id="4" name="2" dataDxfId="40">
      <calculatedColumnFormula>IF(VALUE(CostRemaining[#Headers])&lt;='Construction Dashboard'!$F24,IFERROR(VLOOKUP(CostRemaining[[#This Row],[Cost]],Upgrades[],MATCH("C"&amp;CostRemaining[#Headers],Upgrades[#Headers],0),FALSE),0)*MAX(0,SUM('Construction Dashboard'!$G24:H24)),0)</calculatedColumnFormula>
    </tableColumn>
    <tableColumn id="5" name="3" dataDxfId="39">
      <calculatedColumnFormula>IF(VALUE(CostRemaining[#Headers])&lt;='Construction Dashboard'!$F24,IFERROR(VLOOKUP(CostRemaining[[#This Row],[Cost]],Upgrades[],MATCH("C"&amp;CostRemaining[#Headers],Upgrades[#Headers],0),FALSE),0)*MAX(0,SUM('Construction Dashboard'!$G24:I24)),0)</calculatedColumnFormula>
    </tableColumn>
    <tableColumn id="6" name="4" dataDxfId="38">
      <calculatedColumnFormula>IF(VALUE(CostRemaining[#Headers])&lt;='Construction Dashboard'!$F24,IFERROR(VLOOKUP(CostRemaining[[#This Row],[Cost]],Upgrades[],MATCH("C"&amp;CostRemaining[#Headers],Upgrades[#Headers],0),FALSE),0)*MAX(0,SUM('Construction Dashboard'!$G24:J24)),0)</calculatedColumnFormula>
    </tableColumn>
    <tableColumn id="7" name="5" dataDxfId="37">
      <calculatedColumnFormula>IF(VALUE(CostRemaining[#Headers])&lt;='Construction Dashboard'!$F24,IFERROR(VLOOKUP(CostRemaining[[#This Row],[Cost]],Upgrades[],MATCH("C"&amp;CostRemaining[#Headers],Upgrades[#Headers],0),FALSE),0)*MAX(0,SUM('Construction Dashboard'!$G24:K24)),0)</calculatedColumnFormula>
    </tableColumn>
    <tableColumn id="8" name="6" dataDxfId="36">
      <calculatedColumnFormula>IF(VALUE(CostRemaining[#Headers])&lt;='Construction Dashboard'!$F24,IFERROR(VLOOKUP(CostRemaining[[#This Row],[Cost]],Upgrades[],MATCH("C"&amp;CostRemaining[#Headers],Upgrades[#Headers],0),FALSE),0)*MAX(0,SUM('Construction Dashboard'!$G24:L24)),0)</calculatedColumnFormula>
    </tableColumn>
    <tableColumn id="9" name="7" dataDxfId="35">
      <calculatedColumnFormula>IF(VALUE(CostRemaining[#Headers])&lt;='Construction Dashboard'!$F24,IFERROR(VLOOKUP(CostRemaining[[#This Row],[Cost]],Upgrades[],MATCH("C"&amp;CostRemaining[#Headers],Upgrades[#Headers],0),FALSE),0)*MAX(0,SUM('Construction Dashboard'!$G24:M24)),0)</calculatedColumnFormula>
    </tableColumn>
    <tableColumn id="10" name="8" dataDxfId="34">
      <calculatedColumnFormula>IF(VALUE(CostRemaining[#Headers])&lt;='Construction Dashboard'!$F24,IFERROR(VLOOKUP(CostRemaining[[#This Row],[Cost]],Upgrades[],MATCH("C"&amp;CostRemaining[#Headers],Upgrades[#Headers],0),FALSE),0)*MAX(0,SUM('Construction Dashboard'!$G24:N24)),0)</calculatedColumnFormula>
    </tableColumn>
    <tableColumn id="11" name="9" dataDxfId="33">
      <calculatedColumnFormula>IF(VALUE(CostRemaining[#Headers])&lt;='Construction Dashboard'!$F24,IFERROR(VLOOKUP(CostRemaining[[#This Row],[Cost]],Upgrades[],MATCH("C"&amp;CostRemaining[#Headers],Upgrades[#Headers],0),FALSE),0)*MAX(0,SUM('Construction Dashboard'!$G24:O24)),0)</calculatedColumnFormula>
    </tableColumn>
    <tableColumn id="12" name="10" dataDxfId="32">
      <calculatedColumnFormula>IF(VALUE(CostRemaining[#Headers])&lt;='Construction Dashboard'!$F24,IFERROR(VLOOKUP(CostRemaining[[#This Row],[Cost]],Upgrades[],MATCH("C"&amp;CostRemaining[#Headers],Upgrades[#Headers],0),FALSE),0)*MAX(0,SUM('Construction Dashboard'!$G24:P24)),0)</calculatedColumnFormula>
    </tableColumn>
    <tableColumn id="13" name="11" dataDxfId="31">
      <calculatedColumnFormula>IF(VALUE(CostRemaining[#Headers])&lt;='Construction Dashboard'!$F24,IFERROR(VLOOKUP(CostRemaining[[#This Row],[Cost]],Upgrades[],MATCH("C"&amp;CostRemaining[#Headers],Upgrades[#Headers],0),FALSE),0)*MAX(0,SUM('Construction Dashboard'!$G24:Q24)),0)</calculatedColumnFormula>
    </tableColumn>
    <tableColumn id="16" name="12" dataDxfId="30">
      <calculatedColumnFormula>IF(VALUE(CostRemaining[#Headers])&lt;='Construction Dashboard'!$F24,IFERROR(VLOOKUP(CostRemaining[[#This Row],[Cost]],Upgrades[],MATCH("C"&amp;CostRemaining[#Headers],Upgrades[#Headers],0),FALSE),0)*MAX(0,SUM('Construction Dashboard'!$G24:R24)),0)</calculatedColumnFormula>
    </tableColumn>
    <tableColumn id="17" name="Sum" dataDxfId="29">
      <calculatedColumnFormula>IF(CostRemaining[[#This Row],[MatchStr]]="IGNORE",0,SUM(CostRemaining[[#This Row],[1]:[12]]))</calculatedColumnFormula>
    </tableColumn>
  </tableColumns>
  <tableStyleInfo name="TableStyleDark8" showFirstColumn="0" showLastColumn="1" showRowStripes="1" showColumnStripes="0"/>
</table>
</file>

<file path=xl/tables/table11.xml><?xml version="1.0" encoding="utf-8"?>
<table xmlns="http://schemas.openxmlformats.org/spreadsheetml/2006/main" id="9" name="TimeRemaining" displayName="TimeRemaining" ref="A73:R122" totalsRowShown="0" headerRowDxfId="28" dataDxfId="27">
  <autoFilter ref="A73:R122"/>
  <tableColumns count="18">
    <tableColumn id="1" name="Time" dataDxfId="26"/>
    <tableColumn id="15" name="Kind" dataDxfId="25">
      <calculatedColumnFormula>VLOOKUP(TimeRemaining[[#This Row],[Time]],Upgrades[],MATCH("Kind",Upgrades[#Headers],0),FALSE)</calculatedColumnFormula>
    </tableColumn>
    <tableColumn id="2" name="Resource" dataDxfId="24">
      <calculatedColumnFormula>VLOOKUP(TimeRemaining[[#This Row],[Time]],Upgrades[],MATCH("Resource",Upgrades[#Headers],0),FALSE)</calculatedColumnFormula>
    </tableColumn>
    <tableColumn id="18" name="MatchStr" dataDxfId="23">
      <calculatedColumnFormula>IF(COUNTIF(Skips,TimeRemaining[[#This Row],[Time]])&gt;0,"IGNORE",TimeRemaining[Kind]&amp;"-"&amp;TimeRemaining[Resource])</calculatedColumnFormula>
    </tableColumn>
    <tableColumn id="14" name="Next" dataDxfId="22">
      <calculatedColumnFormula>IFERROR(VLOOKUP(TimeRemaining[[#This Row],[Time]],Upgrades[],MATCH("T"&amp;MATCH(TRUE,INDEX(TimeRemaining[[#This Row],[1]:[12]]&lt;&gt;0,),0),Upgrades[#Headers],0),FALSE),"")</calculatedColumnFormula>
    </tableColumn>
    <tableColumn id="3" name="1" dataDxfId="21">
      <calculatedColumnFormula>IF(VALUE(TimeRemaining[#Headers])&lt;='Construction Dashboard'!$F24,IFERROR(VLOOKUP(TimeRemaining[[#This Row],[Time]],Upgrades[],MATCH("T"&amp;TimeRemaining[#Headers],Upgrades[#Headers],0),FALSE),0)*MAX(0,SUM('Construction Dashboard'!$G24:G24)),0)</calculatedColumnFormula>
    </tableColumn>
    <tableColumn id="4" name="2" dataDxfId="20">
      <calculatedColumnFormula>IF(VALUE(TimeRemaining[#Headers])&lt;='Construction Dashboard'!$F24,IFERROR(VLOOKUP(TimeRemaining[[#This Row],[Time]],Upgrades[],MATCH("T"&amp;TimeRemaining[#Headers],Upgrades[#Headers],0),FALSE),0)*MAX(0,SUM('Construction Dashboard'!$G24:H24)),0)</calculatedColumnFormula>
    </tableColumn>
    <tableColumn id="5" name="3" dataDxfId="19">
      <calculatedColumnFormula>IF(VALUE(TimeRemaining[#Headers])&lt;='Construction Dashboard'!$F24,IFERROR(VLOOKUP(TimeRemaining[[#This Row],[Time]],Upgrades[],MATCH("T"&amp;TimeRemaining[#Headers],Upgrades[#Headers],0),FALSE),0)*MAX(0,SUM('Construction Dashboard'!$G24:I24)),0)</calculatedColumnFormula>
    </tableColumn>
    <tableColumn id="6" name="4" dataDxfId="18">
      <calculatedColumnFormula>IF(VALUE(TimeRemaining[#Headers])&lt;='Construction Dashboard'!$F24,IFERROR(VLOOKUP(TimeRemaining[[#This Row],[Time]],Upgrades[],MATCH("T"&amp;TimeRemaining[#Headers],Upgrades[#Headers],0),FALSE),0)*MAX(0,SUM('Construction Dashboard'!$G24:J24)),0)</calculatedColumnFormula>
    </tableColumn>
    <tableColumn id="7" name="5" dataDxfId="17">
      <calculatedColumnFormula>IF(VALUE(TimeRemaining[#Headers])&lt;='Construction Dashboard'!$F24,IFERROR(VLOOKUP(TimeRemaining[[#This Row],[Time]],Upgrades[],MATCH("T"&amp;TimeRemaining[#Headers],Upgrades[#Headers],0),FALSE),0)*MAX(0,SUM('Construction Dashboard'!$G24:K24)),0)</calculatedColumnFormula>
    </tableColumn>
    <tableColumn id="8" name="6" dataDxfId="16">
      <calculatedColumnFormula>IF(VALUE(TimeRemaining[#Headers])&lt;='Construction Dashboard'!$F24,IFERROR(VLOOKUP(TimeRemaining[[#This Row],[Time]],Upgrades[],MATCH("T"&amp;TimeRemaining[#Headers],Upgrades[#Headers],0),FALSE),0)*MAX(0,SUM('Construction Dashboard'!$G24:L24)),0)</calculatedColumnFormula>
    </tableColumn>
    <tableColumn id="9" name="7" dataDxfId="15">
      <calculatedColumnFormula>IF(VALUE(TimeRemaining[#Headers])&lt;='Construction Dashboard'!$F24,IFERROR(VLOOKUP(TimeRemaining[[#This Row],[Time]],Upgrades[],MATCH("T"&amp;TimeRemaining[#Headers],Upgrades[#Headers],0),FALSE),0)*MAX(0,SUM('Construction Dashboard'!$G24:M24)),0)</calculatedColumnFormula>
    </tableColumn>
    <tableColumn id="10" name="8" dataDxfId="14">
      <calculatedColumnFormula>IF(VALUE(TimeRemaining[#Headers])&lt;='Construction Dashboard'!$F24,IFERROR(VLOOKUP(TimeRemaining[[#This Row],[Time]],Upgrades[],MATCH("T"&amp;TimeRemaining[#Headers],Upgrades[#Headers],0),FALSE),0)*MAX(0,SUM('Construction Dashboard'!$G24:N24)),0)</calculatedColumnFormula>
    </tableColumn>
    <tableColumn id="11" name="9" dataDxfId="13">
      <calculatedColumnFormula>IF(VALUE(TimeRemaining[#Headers])&lt;='Construction Dashboard'!$F24,IFERROR(VLOOKUP(TimeRemaining[[#This Row],[Time]],Upgrades[],MATCH("T"&amp;TimeRemaining[#Headers],Upgrades[#Headers],0),FALSE),0)*MAX(0,SUM('Construction Dashboard'!$G24:O24)),0)</calculatedColumnFormula>
    </tableColumn>
    <tableColumn id="12" name="10" dataDxfId="12">
      <calculatedColumnFormula>IF(VALUE(TimeRemaining[#Headers])&lt;='Construction Dashboard'!$F24,IFERROR(VLOOKUP(TimeRemaining[[#This Row],[Time]],Upgrades[],MATCH("T"&amp;TimeRemaining[#Headers],Upgrades[#Headers],0),FALSE),0)*MAX(0,SUM('Construction Dashboard'!$G24:P24)),0)</calculatedColumnFormula>
    </tableColumn>
    <tableColumn id="13" name="11" dataDxfId="11">
      <calculatedColumnFormula>IF(VALUE(TimeRemaining[#Headers])&lt;='Construction Dashboard'!$F24,IFERROR(VLOOKUP(TimeRemaining[[#This Row],[Time]],Upgrades[],MATCH("T"&amp;TimeRemaining[#Headers],Upgrades[#Headers],0),FALSE),0)*MAX(0,SUM('Construction Dashboard'!$G24:Q24)),0)</calculatedColumnFormula>
    </tableColumn>
    <tableColumn id="16" name="12" dataDxfId="10">
      <calculatedColumnFormula>IF(VALUE(TimeRemaining[#Headers])&lt;='Construction Dashboard'!$F24,IFERROR(VLOOKUP(TimeRemaining[[#This Row],[Time]],Upgrades[],MATCH("T"&amp;TimeRemaining[#Headers],Upgrades[#Headers],0),FALSE),0)*MAX(0,SUM('Construction Dashboard'!$G24:R24)),0)</calculatedColumnFormula>
    </tableColumn>
    <tableColumn id="17" name="Sum" dataDxfId="9">
      <calculatedColumnFormula>IF(TimeRemaining[[#This Row],[MatchStr]]="IGNORE",0,SUM(TimeRemaining[[#This Row],[1]:[12]]))</calculatedColumnFormula>
    </tableColumn>
  </tableColumns>
  <tableStyleInfo name="TableStyleDark8" showFirstColumn="0" showLastColumn="1" showRowStripes="1" showColumnStripes="0"/>
</table>
</file>

<file path=xl/tables/table12.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8">
      <calculatedColumnFormula>VLOOKUP(HeroNextUpgrade[[#This Row],[Hero]],MaxLevel[],MATCH("L"&amp;THLevel,MaxLevel[#Headers],0),FALSE)</calculatedColumnFormula>
    </tableColumn>
    <tableColumn id="6" name="Upgradeable" dataDxfId="7">
      <calculatedColumnFormula>AND(HeroNextUpgrade[[#This Row],[Level]]&lt;HeroNextUpgrade[[#This Row],[MaxLevel]],COUNTIF(Skips,HeroNextUpgrade[[#This Row],[Hero]])=0)</calculatedColumnFormula>
    </tableColumn>
    <tableColumn id="9" name="Next Level" dataDxfId="6">
      <calculatedColumnFormula>HeroNextUpgrade[[#This Row],[Level]]+1</calculatedColumnFormula>
    </tableColumn>
    <tableColumn id="4" name="Next Cost" dataDxfId="5">
      <calculatedColumnFormula>VLOOKUP(HeroNextUpgrade[[#This Row],[Next Level]],HeroUpgrades[],MATCH(HeroNextUpgrade[[#This Row],[Lookup Key]]&amp;"-Cost",HeroUpgrades[#Headers],0),FALSE)</calculatedColumnFormula>
    </tableColumn>
    <tableColumn id="5" name="Next Time" dataDxfId="4">
      <calculatedColumnFormula>VLOOKUP(HeroNextUpgrade[[#This Row],[Next Level]],HeroUpgrades[],MATCH(HeroNextUpgrade[[#This Row],[Lookup Key]]&amp;"-Time",HeroUpgrades[#Headers],0),FALSE)</calculatedColumnFormula>
    </tableColumn>
    <tableColumn id="12" name="Cost to Max" dataDxfId="3">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2">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4" Type="http://schemas.openxmlformats.org/officeDocument/2006/relationships/table" Target="../tables/table7.xml"/><Relationship Id="rId5" Type="http://schemas.openxmlformats.org/officeDocument/2006/relationships/table" Target="../tables/table8.xml"/><Relationship Id="rId6" Type="http://schemas.openxmlformats.org/officeDocument/2006/relationships/table" Target="../tables/table9.xml"/><Relationship Id="rId1" Type="http://schemas.openxmlformats.org/officeDocument/2006/relationships/table" Target="../tables/table4.xml"/><Relationship Id="rId2"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 Id="rId3"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S73"/>
  <sheetViews>
    <sheetView tabSelected="1" workbookViewId="0">
      <selection activeCell="I25" sqref="I25"/>
    </sheetView>
    <sheetView tabSelected="1" workbookViewId="1">
      <selection activeCell="F31" sqref="F31"/>
    </sheetView>
  </sheetViews>
  <sheetFormatPr baseColWidth="10" defaultRowHeight="15" x14ac:dyDescent="0"/>
  <cols>
    <col min="1" max="1" width="20.33203125" style="11" bestFit="1" customWidth="1"/>
    <col min="2" max="2" width="9.33203125" style="11" bestFit="1" customWidth="1"/>
    <col min="3" max="3" width="11" style="11" bestFit="1" customWidth="1"/>
    <col min="4" max="4" width="19.5" style="34" hidden="1" customWidth="1"/>
    <col min="5" max="7" width="17.6640625" style="11" customWidth="1"/>
    <col min="8" max="19" width="13.83203125" style="11" customWidth="1"/>
    <col min="20" max="16384" width="10.83203125" style="11"/>
  </cols>
  <sheetData>
    <row r="1" spans="1:19" ht="16" thickTop="1">
      <c r="A1" s="238" t="s">
        <v>192</v>
      </c>
      <c r="B1" s="239"/>
      <c r="C1" s="239"/>
      <c r="D1" s="239"/>
      <c r="E1" s="239"/>
      <c r="F1" s="239"/>
      <c r="G1" s="240"/>
      <c r="H1" s="241"/>
      <c r="I1" s="241"/>
      <c r="J1" s="241"/>
      <c r="K1" s="241"/>
      <c r="L1" s="241"/>
      <c r="M1" s="241"/>
      <c r="N1" s="241"/>
      <c r="O1" s="241"/>
      <c r="P1" s="241"/>
      <c r="Q1" s="241"/>
      <c r="R1" s="241"/>
      <c r="S1" s="242"/>
    </row>
    <row r="2" spans="1:19" ht="16" thickBot="1">
      <c r="A2" s="243"/>
      <c r="B2" s="244"/>
      <c r="C2" s="244"/>
      <c r="D2" s="244"/>
      <c r="E2" s="244"/>
      <c r="F2" s="244"/>
      <c r="G2" s="245"/>
      <c r="H2" s="246"/>
      <c r="I2" s="246"/>
      <c r="J2" s="246"/>
      <c r="K2" s="246"/>
      <c r="L2" s="246"/>
      <c r="M2" s="246"/>
      <c r="N2" s="246"/>
      <c r="O2" s="246"/>
      <c r="P2" s="246"/>
      <c r="Q2" s="246"/>
      <c r="R2" s="246"/>
      <c r="S2" s="247"/>
    </row>
    <row r="3" spans="1:19" ht="17" thickTop="1" thickBot="1">
      <c r="A3" s="128"/>
      <c r="B3" s="128"/>
      <c r="C3" s="128"/>
      <c r="E3" s="128"/>
      <c r="F3" s="128"/>
      <c r="G3" s="128"/>
      <c r="H3" s="128"/>
      <c r="I3" s="128"/>
      <c r="J3" s="128"/>
      <c r="K3" s="128"/>
      <c r="L3" s="128"/>
      <c r="M3" s="128"/>
      <c r="N3" s="128"/>
      <c r="O3" s="128"/>
      <c r="P3" s="128"/>
      <c r="Q3" s="128"/>
      <c r="R3" s="128"/>
      <c r="S3" s="128"/>
    </row>
    <row r="4" spans="1:19" ht="20" customHeight="1" thickTop="1" thickBot="1">
      <c r="A4" s="238" t="s">
        <v>129</v>
      </c>
      <c r="B4" s="239"/>
      <c r="C4" s="239"/>
      <c r="D4" s="239"/>
      <c r="E4" s="239"/>
      <c r="F4" s="239"/>
      <c r="G4" s="251"/>
      <c r="H4" s="128"/>
      <c r="I4" s="227" t="s">
        <v>190</v>
      </c>
      <c r="J4" s="218"/>
      <c r="K4" s="218"/>
      <c r="L4" s="218"/>
      <c r="M4" s="218"/>
      <c r="N4" s="266"/>
      <c r="O4" s="128"/>
      <c r="P4" s="256" t="s">
        <v>228</v>
      </c>
      <c r="Q4" s="257"/>
      <c r="R4" s="257"/>
      <c r="S4" s="258"/>
    </row>
    <row r="5" spans="1:19" ht="19" customHeight="1" thickTop="1" thickBot="1">
      <c r="A5" s="252"/>
      <c r="B5" s="253"/>
      <c r="C5" s="253"/>
      <c r="D5" s="253"/>
      <c r="E5" s="253"/>
      <c r="F5" s="253"/>
      <c r="G5" s="254"/>
      <c r="H5" s="128"/>
      <c r="I5" s="12" t="s">
        <v>171</v>
      </c>
      <c r="J5" s="13" t="s">
        <v>29</v>
      </c>
      <c r="K5" s="14" t="s">
        <v>1</v>
      </c>
      <c r="L5" s="14" t="s">
        <v>102</v>
      </c>
      <c r="M5" s="149" t="s">
        <v>235</v>
      </c>
      <c r="N5" s="15" t="s">
        <v>194</v>
      </c>
      <c r="O5" s="128"/>
      <c r="P5" s="12" t="s">
        <v>30</v>
      </c>
      <c r="Q5" s="16" t="s">
        <v>14</v>
      </c>
      <c r="R5" s="16" t="s">
        <v>104</v>
      </c>
      <c r="S5" s="17" t="s">
        <v>191</v>
      </c>
    </row>
    <row r="6" spans="1:19" ht="19" customHeight="1" thickTop="1" thickBot="1">
      <c r="A6" s="229" t="s">
        <v>163</v>
      </c>
      <c r="B6" s="230"/>
      <c r="C6" s="230"/>
      <c r="D6" s="230"/>
      <c r="E6" s="230"/>
      <c r="F6" s="230"/>
      <c r="G6" s="231"/>
      <c r="H6" s="128"/>
      <c r="I6" s="18" t="s">
        <v>14</v>
      </c>
      <c r="J6" s="19">
        <f ca="1">SUMIFS(CostRemaining[Sum],CostRemaining[Resource],J$5,CostRemaining[Kind],$I6)</f>
        <v>2000000</v>
      </c>
      <c r="K6" s="20">
        <f ca="1">SUMIFS(CostRemaining[Sum],CostRemaining[Resource],K$5,CostRemaining[Kind],$I6)</f>
        <v>5750000</v>
      </c>
      <c r="L6" s="20">
        <f ca="1">SUMIFS(CostRemaining[Sum],CostRemaining[Resource],L$5,CostRemaining[Kind],$I6)</f>
        <v>0</v>
      </c>
      <c r="M6" s="152">
        <f ca="1">SUMIF(TimeRemaining[Kind],$I6,TimeRemaining[Sum])</f>
        <v>25</v>
      </c>
      <c r="N6" s="127">
        <f ca="1">M6/IF(I6="Building",NumBuilders,1)</f>
        <v>5</v>
      </c>
      <c r="O6" s="128"/>
      <c r="P6" s="18" t="s">
        <v>29</v>
      </c>
      <c r="Q6" s="22" t="str">
        <f t="array" aca="1" ref="Q6" ca="1">IFERROR(INDEX(CostRemaining[Cost],MATCH(R6,IF(CostRemaining[MatchStr]=Q$5&amp;"-"&amp;P6,CostRemaining[Next]),0)),0)</f>
        <v>Town Hall</v>
      </c>
      <c r="R6" s="20">
        <f t="array" aca="1" ref="R6" ca="1">MIN(IF(CostRemaining[MatchStr]=Q$5&amp;"-"&amp;P6,CostRemaining[Next]))</f>
        <v>2000000</v>
      </c>
      <c r="S6" s="21">
        <f ca="1">IFERROR(IF(VLOOKUP(Q6,TimeRemaining[],5,FALSE)="",0,VLOOKUP(Q6,TimeRemaining[],5,FALSE)),0)</f>
        <v>8</v>
      </c>
    </row>
    <row r="7" spans="1:19" ht="19" customHeight="1" thickTop="1">
      <c r="A7" s="232"/>
      <c r="B7" s="233"/>
      <c r="C7" s="233"/>
      <c r="D7" s="233"/>
      <c r="E7" s="233"/>
      <c r="F7" s="233"/>
      <c r="G7" s="234"/>
      <c r="H7" s="128"/>
      <c r="I7" s="18" t="s">
        <v>23</v>
      </c>
      <c r="J7" s="23">
        <f ca="1">SUMIFS(CostRemaining[Sum],CostRemaining[Resource],J$5,CostRemaining[Kind],$I7)</f>
        <v>41550000</v>
      </c>
      <c r="K7" s="157"/>
      <c r="L7" s="157"/>
      <c r="M7" s="149" t="s">
        <v>236</v>
      </c>
      <c r="N7" s="15" t="s">
        <v>234</v>
      </c>
      <c r="O7" s="128"/>
      <c r="P7" s="18" t="s">
        <v>1</v>
      </c>
      <c r="Q7" s="26" t="str">
        <f t="array" aca="1" ref="Q7" ca="1">IFERROR(INDEX(CostRemaining[Cost],MATCH(R7,IF(CostRemaining[MatchStr]=Q$5&amp;"-"&amp;P7,CostRemaining[Next]),0)),0)</f>
        <v>Dark Barracks</v>
      </c>
      <c r="R7" s="24">
        <f t="array" aca="1" ref="R7" ca="1">MIN(IF(CostRemaining[MatchStr]=Q$5&amp;"-"&amp;P7,CostRemaining[Next]))</f>
        <v>1250000</v>
      </c>
      <c r="S7" s="25">
        <f ca="1">IFERROR(IF(VLOOKUP(Q7,TimeRemaining[],5,FALSE)="",0,VLOOKUP(Q7,TimeRemaining[],5,FALSE)),0)</f>
        <v>5</v>
      </c>
    </row>
    <row r="8" spans="1:19" ht="19" customHeight="1" thickBot="1">
      <c r="A8" s="232"/>
      <c r="B8" s="233"/>
      <c r="C8" s="233"/>
      <c r="D8" s="233"/>
      <c r="E8" s="233"/>
      <c r="F8" s="233"/>
      <c r="G8" s="234"/>
      <c r="H8" s="128"/>
      <c r="I8" s="18" t="s">
        <v>71</v>
      </c>
      <c r="J8" s="158"/>
      <c r="K8" s="24">
        <f ca="1">SUMIFS(CostRemaining[Sum],CostRemaining[Resource],K$5,CostRemaining[Kind],$I8)</f>
        <v>6050000</v>
      </c>
      <c r="L8" s="154">
        <f ca="1">SUMIFS(CostRemaining[Sum],CostRemaining[Resource],L$5,CostRemaining[Kind],$I8)+SUM(HeroNextUpgrade[Cost to Max])</f>
        <v>85000</v>
      </c>
      <c r="M8" s="153">
        <f ca="1">SUMIF(TimeRemaining[Kind],$I8,TimeRemaining[Sum])</f>
        <v>26</v>
      </c>
      <c r="N8" s="151">
        <f ca="1">SUM(HeroNextUpgrade[Time to Max])</f>
        <v>5</v>
      </c>
      <c r="O8" s="128"/>
      <c r="P8" s="27" t="s">
        <v>102</v>
      </c>
      <c r="Q8" s="28">
        <f t="array" aca="1" ref="Q8" ca="1">IFERROR(INDEX(CostRemaining[Cost],MATCH(R8,IF(CostRemaining[MatchStr]=Q$5&amp;"-"&amp;P8,CostRemaining[Next]),0)),0)</f>
        <v>0</v>
      </c>
      <c r="R8" s="29">
        <f t="array" aca="1" ref="R8" ca="1">MIN(IF(CostRemaining[MatchStr]=Q$5&amp;"-"&amp;P8,CostRemaining[Next]))</f>
        <v>0</v>
      </c>
      <c r="S8" s="30">
        <f ca="1">IFERROR(IF(VLOOKUP(Q8,TimeRemaining[],5,FALSE)="",0,VLOOKUP(Q8,TimeRemaining[],5,FALSE)),0)</f>
        <v>0</v>
      </c>
    </row>
    <row r="9" spans="1:19" ht="20" thickTop="1" thickBot="1">
      <c r="A9" s="232"/>
      <c r="B9" s="233"/>
      <c r="C9" s="233"/>
      <c r="D9" s="233"/>
      <c r="E9" s="233"/>
      <c r="F9" s="233"/>
      <c r="G9" s="234"/>
      <c r="H9" s="128"/>
      <c r="I9" s="31" t="s">
        <v>108</v>
      </c>
      <c r="J9" s="32">
        <f ca="1">SUM(J6:J8)</f>
        <v>43550000</v>
      </c>
      <c r="K9" s="33">
        <f ca="1">SUM(K6:K8)</f>
        <v>11800000</v>
      </c>
      <c r="L9" s="91">
        <f ca="1">SUM(L6:L8)</f>
        <v>85000</v>
      </c>
      <c r="M9" s="196"/>
      <c r="N9" s="196"/>
      <c r="O9" s="128"/>
      <c r="P9" s="128"/>
      <c r="Q9" s="128"/>
      <c r="R9" s="128"/>
      <c r="S9" s="128"/>
    </row>
    <row r="10" spans="1:19" ht="17" thickTop="1" thickBot="1">
      <c r="A10" s="232"/>
      <c r="B10" s="233"/>
      <c r="C10" s="233"/>
      <c r="D10" s="233"/>
      <c r="E10" s="233"/>
      <c r="F10" s="233"/>
      <c r="G10" s="234"/>
      <c r="H10" s="128"/>
      <c r="I10" s="128"/>
      <c r="J10" s="128"/>
      <c r="K10" s="128"/>
      <c r="L10" s="128"/>
      <c r="M10" s="128"/>
      <c r="N10" s="128"/>
      <c r="O10" s="128"/>
      <c r="P10" s="128"/>
      <c r="Q10" s="128"/>
      <c r="R10" s="128"/>
      <c r="S10" s="128"/>
    </row>
    <row r="11" spans="1:19" ht="20" customHeight="1" thickTop="1" thickBot="1">
      <c r="A11" s="235"/>
      <c r="B11" s="236"/>
      <c r="C11" s="236"/>
      <c r="D11" s="236"/>
      <c r="E11" s="236"/>
      <c r="F11" s="236"/>
      <c r="G11" s="237"/>
      <c r="H11" s="128"/>
      <c r="I11" s="248" t="s">
        <v>160</v>
      </c>
      <c r="J11" s="249"/>
      <c r="K11" s="219"/>
      <c r="L11" s="219"/>
      <c r="M11" s="219"/>
      <c r="N11" s="250"/>
      <c r="O11" s="128"/>
      <c r="P11" s="256" t="s">
        <v>229</v>
      </c>
      <c r="Q11" s="257"/>
      <c r="R11" s="257"/>
      <c r="S11" s="258"/>
    </row>
    <row r="12" spans="1:19" ht="20" customHeight="1" thickTop="1" thickBot="1">
      <c r="A12" s="128"/>
      <c r="B12" s="128"/>
      <c r="C12" s="128"/>
      <c r="E12" s="128"/>
      <c r="F12" s="129"/>
      <c r="G12" s="128"/>
      <c r="H12" s="128"/>
      <c r="I12" s="273" t="s">
        <v>255</v>
      </c>
      <c r="J12" s="274"/>
      <c r="K12" s="190">
        <f t="array" ref="K12">SUM(IF(ConstructionState[Kind]="Building",ConstructionState[[1]:[12]]))</f>
        <v>64</v>
      </c>
      <c r="L12" s="273" t="s">
        <v>252</v>
      </c>
      <c r="M12" s="275"/>
      <c r="N12" s="190">
        <f t="array" aca="1" ref="N12" ca="1">SUM(IF(COUNTIF(Skips,ConstructionState[Building or Upgrade])=0,IF(ConstructionState[Kind]="Building",(ConstructionState[Available]*ConstructionState[Maximum Level]))))-SUMPRODUCT(IF(COUNTIF(Skips,ConstructionState[Building or Upgrade])=0,IF(ConstructionState[Kind]="Building",ConstructionState[[1]:[12]]*ConstructionState[[#Headers],[1]:[12]])))</f>
        <v>5</v>
      </c>
      <c r="O12" s="128"/>
      <c r="P12" s="12" t="s">
        <v>30</v>
      </c>
      <c r="Q12" s="13" t="s">
        <v>71</v>
      </c>
      <c r="R12" s="14" t="s">
        <v>104</v>
      </c>
      <c r="S12" s="15" t="s">
        <v>191</v>
      </c>
    </row>
    <row r="13" spans="1:19" ht="19" customHeight="1" thickTop="1">
      <c r="A13" s="128"/>
      <c r="B13" s="238" t="s">
        <v>113</v>
      </c>
      <c r="C13" s="239"/>
      <c r="D13" s="239"/>
      <c r="E13" s="239"/>
      <c r="F13" s="251"/>
      <c r="G13" s="128"/>
      <c r="H13" s="128"/>
      <c r="I13" s="278" t="s">
        <v>156</v>
      </c>
      <c r="J13" s="279"/>
      <c r="K13" s="193">
        <f t="array" ref="K13">SUM(H27:O27*TRANSPOSE(Table10[Capacity]))</f>
        <v>200</v>
      </c>
      <c r="L13" s="278" t="s">
        <v>254</v>
      </c>
      <c r="M13" s="279"/>
      <c r="N13" s="191">
        <f t="array" aca="1" ref="N13" ca="1">SUM(IF(COUNTIF(Skips,ConstructionState[Building or Upgrade])=0,IF(ConstructionState[Kind]="Wall",(ConstructionState[Available]*ConstructionState[Maximum Level]))))-SUMPRODUCT(IF(COUNTIF(Skips,ConstructionState[Building or Upgrade])=0,IF(ConstructionState[Kind]="Wall",ConstructionState[[1]:[12]]*ConstructionState[[#Headers],[1]:[12]])))</f>
        <v>264</v>
      </c>
      <c r="O13" s="128"/>
      <c r="P13" s="18" t="s">
        <v>1</v>
      </c>
      <c r="Q13" s="22" t="str">
        <f t="array" aca="1" ref="Q13" ca="1">IFERROR(INDEX(CostRemaining[Cost],MATCH(R13,IF(CostRemaining[MatchStr]=Q$12&amp;"-"&amp;P13,CostRemaining[Next]),0)),0)</f>
        <v>Rage Spell</v>
      </c>
      <c r="R13" s="24">
        <f t="array" aca="1" ref="R13" ca="1">MIN(IF(CostRemaining[MatchStr]=Q$12&amp;"-"&amp;P13,CostRemaining[Next]))</f>
        <v>900000</v>
      </c>
      <c r="S13" s="21">
        <f ca="1">IFERROR(IF(VLOOKUP(Q13,TimeRemaining[],5,FALSE)="",0,VLOOKUP(Q13,TimeRemaining[],5,FALSE)),0)</f>
        <v>3</v>
      </c>
    </row>
    <row r="14" spans="1:19" ht="20" customHeight="1" thickBot="1">
      <c r="A14" s="128"/>
      <c r="B14" s="243"/>
      <c r="C14" s="244"/>
      <c r="D14" s="244"/>
      <c r="E14" s="244"/>
      <c r="F14" s="255"/>
      <c r="G14" s="128"/>
      <c r="H14" s="128"/>
      <c r="I14" s="276" t="s">
        <v>256</v>
      </c>
      <c r="J14" s="277"/>
      <c r="K14" s="10">
        <f ca="1">K9/J9</f>
        <v>0.27095292766934559</v>
      </c>
      <c r="L14" s="280" t="s">
        <v>253</v>
      </c>
      <c r="M14" s="281"/>
      <c r="N14" s="192">
        <f t="array" aca="1" ref="N14" ca="1">SUM(IF(COUNTIF(Skips,ConstructionState[Building or Upgrade])=0,IF(ConstructionState[Kind]="Upgrade",(ConstructionState[Available]*ConstructionState[Maximum Level]))))-SUMPRODUCT(IF(COUNTIF(Skips,ConstructionState[Building or Upgrade])=0,IF(ConstructionState[Kind]="Upgrade",ConstructionState[[1]:[12]]*ConstructionState[[#Headers],[1]:[12]])))</f>
        <v>7</v>
      </c>
      <c r="O14" s="128"/>
      <c r="P14" s="27" t="s">
        <v>102</v>
      </c>
      <c r="Q14" s="28" t="str">
        <f t="array" aca="1" ref="Q14" ca="1">IFERROR(INDEX(HeroNextUpgrade[Hero],MATCH(R14,HeroNextUpgrade[Next Cost],0)),IFERROR(INDEX(CostRemaining[Cost],MATCH(R14,IF(CostRemaining[MatchStr]=Q$12&amp;"-"&amp;P14,CostRemaining[Next]),0)),0))</f>
        <v>Barbarian King</v>
      </c>
      <c r="R14" s="29">
        <f t="array" aca="1" ref="R14" ca="1">MIN(IF(CostRemaining[MatchStr]=Q$12&amp;"-"&amp;P14,CostRemaining[Next]),IF(HeroNextUpgrade[Upgradeable],HeroNextUpgrade[Next Cost]))</f>
        <v>12500</v>
      </c>
      <c r="S14" s="30">
        <f ca="1">IFERROR(VLOOKUP(Q14,HeroNextUpgrade[],MATCH("Next Time",HeroNextUpgrade[#Headers],0),FALSE),IFERROR(IF(VLOOKUP(Q14,TimeRemaining[],5,FALSE)="",0,VLOOKUP(Q14,TimeRemaining[],5,FALSE)),0))</f>
        <v>0.5</v>
      </c>
    </row>
    <row r="15" spans="1:19" ht="20" customHeight="1" thickTop="1" thickBot="1">
      <c r="A15" s="128"/>
      <c r="B15" s="155">
        <v>2</v>
      </c>
      <c r="C15" s="267" t="s">
        <v>126</v>
      </c>
      <c r="D15" s="268"/>
      <c r="E15" s="268"/>
      <c r="F15" s="269"/>
      <c r="G15" s="128"/>
      <c r="H15" s="128"/>
      <c r="I15" s="128"/>
      <c r="J15" s="128"/>
      <c r="K15" s="128"/>
      <c r="L15" s="128"/>
      <c r="M15" s="128"/>
      <c r="N15" s="128"/>
      <c r="O15" s="128"/>
      <c r="P15" s="128"/>
      <c r="Q15" s="128"/>
      <c r="R15" s="128"/>
      <c r="S15" s="128"/>
    </row>
    <row r="16" spans="1:19" ht="19" thickTop="1">
      <c r="A16" s="128"/>
      <c r="B16" s="36">
        <v>0</v>
      </c>
      <c r="C16" s="211" t="s">
        <v>216</v>
      </c>
      <c r="D16" s="212"/>
      <c r="E16" s="212"/>
      <c r="F16" s="213"/>
      <c r="G16" s="128"/>
      <c r="H16" s="259" t="s">
        <v>227</v>
      </c>
      <c r="I16" s="260"/>
      <c r="J16" s="260"/>
      <c r="K16" s="260"/>
      <c r="L16" s="260"/>
      <c r="M16" s="260"/>
      <c r="N16" s="260"/>
      <c r="O16" s="260"/>
      <c r="P16" s="260"/>
      <c r="Q16" s="260"/>
      <c r="R16" s="260"/>
      <c r="S16" s="261"/>
    </row>
    <row r="17" spans="1:19" ht="19" thickBot="1">
      <c r="A17" s="128"/>
      <c r="B17" s="37"/>
      <c r="C17" s="211" t="s">
        <v>159</v>
      </c>
      <c r="D17" s="212"/>
      <c r="E17" s="212"/>
      <c r="F17" s="213"/>
      <c r="G17" s="128"/>
      <c r="H17" s="262"/>
      <c r="I17" s="263"/>
      <c r="J17" s="263"/>
      <c r="K17" s="263"/>
      <c r="L17" s="263"/>
      <c r="M17" s="263"/>
      <c r="N17" s="263"/>
      <c r="O17" s="264"/>
      <c r="P17" s="263"/>
      <c r="Q17" s="263"/>
      <c r="R17" s="263"/>
      <c r="S17" s="265"/>
    </row>
    <row r="18" spans="1:19" ht="20" thickTop="1" thickBot="1">
      <c r="A18" s="128"/>
      <c r="B18" s="159"/>
      <c r="C18" s="211" t="s">
        <v>237</v>
      </c>
      <c r="D18" s="212"/>
      <c r="E18" s="212"/>
      <c r="F18" s="213"/>
      <c r="G18" s="128"/>
      <c r="H18" s="217" t="s">
        <v>137</v>
      </c>
      <c r="I18" s="218"/>
      <c r="J18" s="218"/>
      <c r="K18" s="218"/>
      <c r="L18" s="218"/>
      <c r="M18" s="219"/>
      <c r="N18" s="220"/>
      <c r="O18" s="143"/>
      <c r="P18" s="227" t="s">
        <v>139</v>
      </c>
      <c r="Q18" s="219"/>
      <c r="R18" s="219"/>
      <c r="S18" s="228"/>
    </row>
    <row r="19" spans="1:19" ht="19" thickTop="1">
      <c r="A19" s="128"/>
      <c r="B19" s="156"/>
      <c r="C19" s="211" t="s">
        <v>237</v>
      </c>
      <c r="D19" s="212"/>
      <c r="E19" s="212"/>
      <c r="F19" s="213"/>
      <c r="G19" s="128"/>
      <c r="H19" s="135" t="s">
        <v>109</v>
      </c>
      <c r="I19" s="64">
        <v>5</v>
      </c>
      <c r="J19" s="214" t="s">
        <v>140</v>
      </c>
      <c r="K19" s="215"/>
      <c r="L19" s="215"/>
      <c r="M19" s="215"/>
      <c r="N19" s="216"/>
      <c r="O19" s="143"/>
      <c r="P19" s="173" t="s">
        <v>87</v>
      </c>
      <c r="Q19" s="174" t="s">
        <v>97</v>
      </c>
      <c r="R19" s="174"/>
      <c r="S19" s="175" t="s">
        <v>18</v>
      </c>
    </row>
    <row r="20" spans="1:19" ht="19" thickBot="1">
      <c r="A20" s="128"/>
      <c r="B20" s="197">
        <v>-1</v>
      </c>
      <c r="C20" s="270" t="s">
        <v>111</v>
      </c>
      <c r="D20" s="271"/>
      <c r="E20" s="271"/>
      <c r="F20" s="272"/>
      <c r="G20" s="128"/>
      <c r="H20" s="139" t="s">
        <v>125</v>
      </c>
      <c r="I20" s="140" t="b">
        <v>0</v>
      </c>
      <c r="J20" s="221" t="s">
        <v>195</v>
      </c>
      <c r="K20" s="222"/>
      <c r="L20" s="222"/>
      <c r="M20" s="222"/>
      <c r="N20" s="223"/>
      <c r="O20" s="143"/>
      <c r="P20" s="176"/>
      <c r="Q20" s="177"/>
      <c r="R20" s="177"/>
      <c r="S20" s="178"/>
    </row>
    <row r="21" spans="1:19" ht="20" thickTop="1" thickBot="1">
      <c r="A21" s="128"/>
      <c r="B21" s="198">
        <v>30</v>
      </c>
      <c r="C21" s="208" t="s">
        <v>112</v>
      </c>
      <c r="D21" s="209"/>
      <c r="E21" s="209"/>
      <c r="F21" s="210"/>
      <c r="G21" s="128"/>
      <c r="H21" s="141" t="s">
        <v>205</v>
      </c>
      <c r="I21" s="142">
        <v>1</v>
      </c>
      <c r="J21" s="221" t="s">
        <v>206</v>
      </c>
      <c r="K21" s="222"/>
      <c r="L21" s="222"/>
      <c r="M21" s="222"/>
      <c r="N21" s="223"/>
      <c r="O21" s="143"/>
      <c r="P21" s="199"/>
      <c r="Q21" s="199"/>
      <c r="R21" s="199"/>
      <c r="S21" s="200"/>
    </row>
    <row r="22" spans="1:19" ht="17" thickTop="1" thickBot="1">
      <c r="A22" s="128"/>
      <c r="B22" s="128"/>
      <c r="C22" s="128"/>
      <c r="E22" s="128"/>
      <c r="F22" s="128"/>
      <c r="G22" s="128"/>
      <c r="H22" s="136" t="s">
        <v>209</v>
      </c>
      <c r="I22" s="65">
        <v>0</v>
      </c>
      <c r="J22" s="224" t="s">
        <v>207</v>
      </c>
      <c r="K22" s="225"/>
      <c r="L22" s="225"/>
      <c r="M22" s="225"/>
      <c r="N22" s="226"/>
      <c r="O22" s="143"/>
      <c r="P22" s="199"/>
      <c r="Q22" s="199"/>
      <c r="R22" s="199"/>
      <c r="S22" s="200"/>
    </row>
    <row r="23" spans="1:19" ht="16" thickTop="1">
      <c r="A23" s="39" t="s">
        <v>107</v>
      </c>
      <c r="B23" s="39" t="s">
        <v>70</v>
      </c>
      <c r="C23" s="39" t="s">
        <v>30</v>
      </c>
      <c r="D23" s="40" t="s">
        <v>136</v>
      </c>
      <c r="E23" s="39" t="s">
        <v>110</v>
      </c>
      <c r="F23" s="39" t="s">
        <v>127</v>
      </c>
      <c r="G23" s="39" t="s">
        <v>128</v>
      </c>
      <c r="H23" s="41" t="s">
        <v>32</v>
      </c>
      <c r="I23" s="42" t="s">
        <v>33</v>
      </c>
      <c r="J23" s="42" t="s">
        <v>34</v>
      </c>
      <c r="K23" s="42" t="s">
        <v>35</v>
      </c>
      <c r="L23" s="42" t="s">
        <v>36</v>
      </c>
      <c r="M23" s="42" t="s">
        <v>37</v>
      </c>
      <c r="N23" s="42" t="s">
        <v>38</v>
      </c>
      <c r="O23" s="42" t="s">
        <v>39</v>
      </c>
      <c r="P23" s="42" t="s">
        <v>40</v>
      </c>
      <c r="Q23" s="42" t="s">
        <v>41</v>
      </c>
      <c r="R23" s="42" t="s">
        <v>42</v>
      </c>
      <c r="S23" s="43" t="s">
        <v>43</v>
      </c>
    </row>
    <row r="24" spans="1:19" ht="18">
      <c r="A24" s="44" t="s">
        <v>13</v>
      </c>
      <c r="B24" s="44" t="str">
        <f>VLOOKUP(ConstructionState[[#This Row],[Building or Upgrade]],Upgrades[],2,FALSE)</f>
        <v>Building</v>
      </c>
      <c r="C24" s="44" t="str">
        <f>VLOOKUP(ConstructionState[Building or Upgrade],Upgrades[],3,FALSE)</f>
        <v>Gold</v>
      </c>
      <c r="D24" s="45" t="str">
        <f>IF(COUNTIF(Skips,ConstructionState[[#This Row],[Building or Upgrade]]),"IGNORE",ConstructionState[Kind]&amp;"-"&amp;ConstructionState[Resource])</f>
        <v>Building-Gold</v>
      </c>
      <c r="E24" s="46">
        <f ca="1">IF(AND(ConstructionState[[#This Row],[Kind]]="Upgrade",LabLevel=0),0,VLOOKUP(ConstructionState[Building or Upgrade],QuantAvail[],1+IF(ConstructionState[[#This Row],[Kind]]="Upgrade",LabLevel,THLevel),FALSE))</f>
        <v>1</v>
      </c>
      <c r="F24" s="46">
        <f ca="1">IF(AND(ConstructionState[[#This Row],[Kind]]="Upgrade",LabLevel=0),0,VLOOKUP(ConstructionState[Building or Upgrade],MaxLevel[],1+IF(ConstructionState[[#This Row],[Kind]]="Upgrade",LabLevel,THLevel),FALSE))</f>
        <v>8</v>
      </c>
      <c r="G24" s="46">
        <f ca="1">ConstructionState[[#This Row],[Available]]-SUM(ConstructionState[[#This Row],[1]:[12]])</f>
        <v>0</v>
      </c>
      <c r="H24" s="1"/>
      <c r="I24" s="2"/>
      <c r="J24" s="2"/>
      <c r="K24" s="2"/>
      <c r="L24" s="2"/>
      <c r="M24" s="2"/>
      <c r="N24" s="2">
        <v>1</v>
      </c>
      <c r="O24" s="2"/>
      <c r="P24" s="2"/>
      <c r="Q24" s="2"/>
      <c r="R24" s="2"/>
      <c r="S24" s="3"/>
    </row>
    <row r="25" spans="1:19" ht="18">
      <c r="A25" s="44" t="s">
        <v>20</v>
      </c>
      <c r="B25" s="44" t="str">
        <f>VLOOKUP(ConstructionState[[#This Row],[Building or Upgrade]],Upgrades[],2,FALSE)</f>
        <v>Building</v>
      </c>
      <c r="C25" s="44" t="str">
        <f>VLOOKUP(ConstructionState[Building or Upgrade],Upgrades[],3,FALSE)</f>
        <v>Elixir</v>
      </c>
      <c r="D25" s="45" t="str">
        <f>IF(COUNTIF(Skips,ConstructionState[[#This Row],[Building or Upgrade]]),"IGNORE",ConstructionState[Kind]&amp;"-"&amp;ConstructionState[Resource])</f>
        <v>Building-Elixir</v>
      </c>
      <c r="E25" s="46">
        <f ca="1">IF(AND(ConstructionState[[#This Row],[Kind]]="Upgrade",LabLevel=0),0,VLOOKUP(ConstructionState[Building or Upgrade],QuantAvail[],1+IF(ConstructionState[[#This Row],[Kind]]="Upgrade",LabLevel,THLevel),FALSE))</f>
        <v>1</v>
      </c>
      <c r="F25" s="46">
        <f ca="1">IF(AND(ConstructionState[[#This Row],[Kind]]="Upgrade",LabLevel=0),0,VLOOKUP(ConstructionState[Building or Upgrade],MaxLevel[],1+IF(ConstructionState[[#This Row],[Kind]]="Upgrade",LabLevel,THLevel),FALSE))</f>
        <v>5</v>
      </c>
      <c r="G25" s="46">
        <f ca="1">ConstructionState[[#This Row],[Available]]-SUM(ConstructionState[[#This Row],[1]:[12]])</f>
        <v>0</v>
      </c>
      <c r="H25" s="1"/>
      <c r="I25" s="4"/>
      <c r="J25" s="2"/>
      <c r="K25" s="2"/>
      <c r="L25" s="2">
        <v>1</v>
      </c>
      <c r="M25" s="2"/>
      <c r="N25" s="2"/>
      <c r="O25" s="2"/>
      <c r="P25" s="2"/>
      <c r="Q25" s="2"/>
      <c r="R25" s="2"/>
      <c r="S25" s="3"/>
    </row>
    <row r="26" spans="1:19" ht="18">
      <c r="A26" s="44" t="s">
        <v>2</v>
      </c>
      <c r="B26" s="48" t="str">
        <f>VLOOKUP(ConstructionState[[#This Row],[Building or Upgrade]],Upgrades[],2,FALSE)</f>
        <v>Building</v>
      </c>
      <c r="C26" s="48" t="str">
        <f>VLOOKUP(ConstructionState[Building or Upgrade],Upgrades[],3,FALSE)</f>
        <v>Elixir</v>
      </c>
      <c r="D26" s="49" t="str">
        <f>IF(COUNTIF(Skips,ConstructionState[[#This Row],[Building or Upgrade]]),"IGNORE",ConstructionState[Kind]&amp;"-"&amp;ConstructionState[Resource])</f>
        <v>Building-Elixir</v>
      </c>
      <c r="E26" s="50">
        <f ca="1">IF(AND(ConstructionState[[#This Row],[Kind]]="Upgrade",LabLevel=0),0,VLOOKUP(ConstructionState[Building or Upgrade],QuantAvail[],1+IF(ConstructionState[[#This Row],[Kind]]="Upgrade",LabLevel,THLevel),FALSE))</f>
        <v>4</v>
      </c>
      <c r="F26" s="50">
        <f ca="1">IF(AND(ConstructionState[[#This Row],[Kind]]="Upgrade",LabLevel=0),0,VLOOKUP(ConstructionState[Building or Upgrade],MaxLevel[],1+IF(ConstructionState[[#This Row],[Kind]]="Upgrade",LabLevel,THLevel),FALSE))</f>
        <v>9</v>
      </c>
      <c r="G26" s="50">
        <f ca="1">ConstructionState[[#This Row],[Available]]-SUM(ConstructionState[[#This Row],[1]:[12]])</f>
        <v>0</v>
      </c>
      <c r="H26" s="5"/>
      <c r="I26" s="4"/>
      <c r="J26" s="2"/>
      <c r="K26" s="2"/>
      <c r="L26" s="2"/>
      <c r="M26" s="2"/>
      <c r="N26" s="2"/>
      <c r="O26" s="2">
        <v>3</v>
      </c>
      <c r="P26" s="4">
        <v>1</v>
      </c>
      <c r="Q26" s="2"/>
      <c r="R26" s="2"/>
      <c r="S26" s="3"/>
    </row>
    <row r="27" spans="1:19" ht="18">
      <c r="A27" s="44" t="s">
        <v>260</v>
      </c>
      <c r="B27" s="48" t="str">
        <f>VLOOKUP(ConstructionState[[#This Row],[Building or Upgrade]],Upgrades[],2,FALSE)</f>
        <v>Building</v>
      </c>
      <c r="C27" s="48" t="str">
        <f>VLOOKUP(ConstructionState[Building or Upgrade],Upgrades[],3,FALSE)</f>
        <v>Elixir</v>
      </c>
      <c r="D27" s="49" t="str">
        <f>IF(COUNTIF(Skips,ConstructionState[[#This Row],[Building or Upgrade]]),"IGNORE",ConstructionState[Kind]&amp;"-"&amp;ConstructionState[Resource])</f>
        <v>Building-Elixir</v>
      </c>
      <c r="E27" s="50">
        <f ca="1">IF(AND(ConstructionState[[#This Row],[Kind]]="Upgrade",LabLevel=0),0,VLOOKUP(ConstructionState[Building or Upgrade],QuantAvail[],1+IF(ConstructionState[[#This Row],[Kind]]="Upgrade",LabLevel,THLevel),FALSE))</f>
        <v>4</v>
      </c>
      <c r="F27" s="50">
        <f ca="1">IF(AND(ConstructionState[[#This Row],[Kind]]="Upgrade",LabLevel=0),0,VLOOKUP(ConstructionState[Building or Upgrade],MaxLevel[],1+IF(ConstructionState[[#This Row],[Kind]]="Upgrade",LabLevel,THLevel),FALSE))</f>
        <v>6</v>
      </c>
      <c r="G27" s="50">
        <f ca="1">ConstructionState[[#This Row],[Available]]-SUM(ConstructionState[[#This Row],[1]:[12]])</f>
        <v>0</v>
      </c>
      <c r="H27" s="5"/>
      <c r="I27" s="4"/>
      <c r="J27" s="2"/>
      <c r="K27" s="2"/>
      <c r="L27" s="2"/>
      <c r="M27" s="2">
        <v>4</v>
      </c>
      <c r="N27" s="2"/>
      <c r="O27" s="2"/>
      <c r="P27" s="4"/>
      <c r="Q27" s="2"/>
      <c r="R27" s="2"/>
      <c r="S27" s="3"/>
    </row>
    <row r="28" spans="1:19" ht="18">
      <c r="A28" s="44" t="s">
        <v>15</v>
      </c>
      <c r="B28" s="44" t="str">
        <f>VLOOKUP(ConstructionState[[#This Row],[Building or Upgrade]],Upgrades[],2,FALSE)</f>
        <v>Building</v>
      </c>
      <c r="C28" s="44" t="str">
        <f>VLOOKUP(ConstructionState[Building or Upgrade],Upgrades[],3,FALSE)</f>
        <v>Elixir</v>
      </c>
      <c r="D28" s="45" t="str">
        <f>IF(COUNTIF(Skips,ConstructionState[[#This Row],[Building or Upgrade]]),"IGNORE",ConstructionState[Kind]&amp;"-"&amp;ConstructionState[Resource])</f>
        <v>Building-Elixir</v>
      </c>
      <c r="E28" s="46">
        <f ca="1">IF(AND(ConstructionState[[#This Row],[Kind]]="Upgrade",LabLevel=0),0,VLOOKUP(ConstructionState[Building or Upgrade],QuantAvail[],1+IF(ConstructionState[[#This Row],[Kind]]="Upgrade",LabLevel,THLevel),FALSE))</f>
        <v>6</v>
      </c>
      <c r="F28" s="46">
        <f ca="1">IF(AND(ConstructionState[[#This Row],[Kind]]="Upgrade",LabLevel=0),0,VLOOKUP(ConstructionState[Building or Upgrade],MaxLevel[],1+IF(ConstructionState[[#This Row],[Kind]]="Upgrade",LabLevel,THLevel),FALSE))</f>
        <v>11</v>
      </c>
      <c r="G28" s="46">
        <f ca="1">ConstructionState[[#This Row],[Available]]-SUM(ConstructionState[[#This Row],[1]:[12]])</f>
        <v>0</v>
      </c>
      <c r="H28" s="1"/>
      <c r="I28" s="4"/>
      <c r="J28" s="2"/>
      <c r="K28" s="2"/>
      <c r="L28" s="2"/>
      <c r="M28" s="2"/>
      <c r="N28" s="2"/>
      <c r="O28" s="2"/>
      <c r="P28" s="2"/>
      <c r="Q28" s="2"/>
      <c r="R28" s="2">
        <v>6</v>
      </c>
      <c r="S28" s="3"/>
    </row>
    <row r="29" spans="1:19" ht="18">
      <c r="A29" s="44" t="s">
        <v>16</v>
      </c>
      <c r="B29" s="44" t="str">
        <f>VLOOKUP(ConstructionState[[#This Row],[Building or Upgrade]],Upgrades[],2,FALSE)</f>
        <v>Building</v>
      </c>
      <c r="C29" s="44" t="str">
        <f>VLOOKUP(ConstructionState[Building or Upgrade],Upgrades[],3,FALSE)</f>
        <v>Gold</v>
      </c>
      <c r="D29" s="45" t="str">
        <f>IF(COUNTIF(Skips,ConstructionState[[#This Row],[Building or Upgrade]]),"IGNORE",ConstructionState[Kind]&amp;"-"&amp;ConstructionState[Resource])</f>
        <v>Building-Gold</v>
      </c>
      <c r="E29" s="46">
        <f ca="1">IF(AND(ConstructionState[[#This Row],[Kind]]="Upgrade",LabLevel=0),0,VLOOKUP(ConstructionState[Building or Upgrade],QuantAvail[],1+IF(ConstructionState[[#This Row],[Kind]]="Upgrade",LabLevel,THLevel),FALSE))</f>
        <v>6</v>
      </c>
      <c r="F29" s="46">
        <f ca="1">IF(AND(ConstructionState[[#This Row],[Kind]]="Upgrade",LabLevel=0),0,VLOOKUP(ConstructionState[Building or Upgrade],MaxLevel[],1+IF(ConstructionState[[#This Row],[Kind]]="Upgrade",LabLevel,THLevel),FALSE))</f>
        <v>11</v>
      </c>
      <c r="G29" s="46">
        <f ca="1">ConstructionState[[#This Row],[Available]]-SUM(ConstructionState[[#This Row],[1]:[12]])</f>
        <v>0</v>
      </c>
      <c r="H29" s="1"/>
      <c r="I29" s="2"/>
      <c r="J29" s="2"/>
      <c r="K29" s="2"/>
      <c r="L29" s="2"/>
      <c r="M29" s="2"/>
      <c r="N29" s="2"/>
      <c r="O29" s="2"/>
      <c r="P29" s="2"/>
      <c r="Q29" s="2"/>
      <c r="R29" s="2">
        <v>6</v>
      </c>
      <c r="S29" s="3"/>
    </row>
    <row r="30" spans="1:19" ht="18">
      <c r="A30" s="44" t="s">
        <v>17</v>
      </c>
      <c r="B30" s="44" t="str">
        <f>VLOOKUP(ConstructionState[[#This Row],[Building or Upgrade]],Upgrades[],2,FALSE)</f>
        <v>Building</v>
      </c>
      <c r="C30" s="44" t="str">
        <f>VLOOKUP(ConstructionState[Building or Upgrade],Upgrades[],3,FALSE)</f>
        <v>Elixir</v>
      </c>
      <c r="D30" s="45" t="str">
        <f>IF(COUNTIF(Skips,ConstructionState[[#This Row],[Building or Upgrade]]),"IGNORE",ConstructionState[Kind]&amp;"-"&amp;ConstructionState[Resource])</f>
        <v>Building-Elixir</v>
      </c>
      <c r="E30" s="46">
        <f ca="1">IF(AND(ConstructionState[[#This Row],[Kind]]="Upgrade",LabLevel=0),0,VLOOKUP(ConstructionState[Building or Upgrade],QuantAvail[],1+IF(ConstructionState[[#This Row],[Kind]]="Upgrade",LabLevel,THLevel),FALSE))</f>
        <v>0</v>
      </c>
      <c r="F30" s="46">
        <f ca="1">IF(AND(ConstructionState[[#This Row],[Kind]]="Upgrade",LabLevel=0),0,VLOOKUP(ConstructionState[Building or Upgrade],MaxLevel[],1+IF(ConstructionState[[#This Row],[Kind]]="Upgrade",LabLevel,THLevel),FALSE))</f>
        <v>0</v>
      </c>
      <c r="G30" s="46">
        <f ca="1">ConstructionState[[#This Row],[Available]]-SUM(ConstructionState[[#This Row],[1]:[12]])</f>
        <v>0</v>
      </c>
      <c r="H30" s="1"/>
      <c r="I30" s="2"/>
      <c r="J30" s="2"/>
      <c r="K30" s="2"/>
      <c r="L30" s="2"/>
      <c r="M30" s="2"/>
      <c r="N30" s="2"/>
      <c r="O30" s="2"/>
      <c r="P30" s="2"/>
      <c r="Q30" s="2"/>
      <c r="R30" s="2"/>
      <c r="S30" s="3"/>
    </row>
    <row r="31" spans="1:19" ht="18">
      <c r="A31" s="44" t="s">
        <v>3</v>
      </c>
      <c r="B31" s="44" t="str">
        <f>VLOOKUP(ConstructionState[[#This Row],[Building or Upgrade]],Upgrades[],2,FALSE)</f>
        <v>Building</v>
      </c>
      <c r="C31" s="44" t="str">
        <f>VLOOKUP(ConstructionState[Building or Upgrade],Upgrades[],3,FALSE)</f>
        <v>Elixir</v>
      </c>
      <c r="D31" s="45" t="str">
        <f>IF(COUNTIF(Skips,ConstructionState[[#This Row],[Building or Upgrade]]),"IGNORE",ConstructionState[Kind]&amp;"-"&amp;ConstructionState[Resource])</f>
        <v>Building-Elixir</v>
      </c>
      <c r="E31" s="46">
        <f ca="1">IF(AND(ConstructionState[[#This Row],[Kind]]="Upgrade",LabLevel=0),0,VLOOKUP(ConstructionState[Building or Upgrade],QuantAvail[],1+IF(ConstructionState[[#This Row],[Kind]]="Upgrade",LabLevel,THLevel),FALSE))</f>
        <v>2</v>
      </c>
      <c r="F31" s="46">
        <f ca="1">IF(AND(ConstructionState[[#This Row],[Kind]]="Upgrade",LabLevel=0),0,VLOOKUP(ConstructionState[Building or Upgrade],MaxLevel[],1+IF(ConstructionState[[#This Row],[Kind]]="Upgrade",LabLevel,THLevel),FALSE))</f>
        <v>11</v>
      </c>
      <c r="G31" s="46">
        <f ca="1">ConstructionState[[#This Row],[Available]]-SUM(ConstructionState[[#This Row],[1]:[12]])</f>
        <v>0</v>
      </c>
      <c r="H31" s="1"/>
      <c r="I31" s="2"/>
      <c r="J31" s="2"/>
      <c r="K31" s="2"/>
      <c r="L31" s="2"/>
      <c r="M31" s="2"/>
      <c r="N31" s="2"/>
      <c r="O31" s="2"/>
      <c r="P31" s="2"/>
      <c r="Q31" s="2"/>
      <c r="R31" s="2">
        <v>2</v>
      </c>
      <c r="S31" s="3"/>
    </row>
    <row r="32" spans="1:19" ht="18">
      <c r="A32" s="44" t="s">
        <v>4</v>
      </c>
      <c r="B32" s="44" t="str">
        <f>VLOOKUP(ConstructionState[[#This Row],[Building or Upgrade]],Upgrades[],2,FALSE)</f>
        <v>Building</v>
      </c>
      <c r="C32" s="44" t="str">
        <f>VLOOKUP(ConstructionState[Building or Upgrade],Upgrades[],3,FALSE)</f>
        <v>Gold</v>
      </c>
      <c r="D32" s="45" t="str">
        <f>IF(COUNTIF(Skips,ConstructionState[[#This Row],[Building or Upgrade]]),"IGNORE",ConstructionState[Kind]&amp;"-"&amp;ConstructionState[Resource])</f>
        <v>Building-Gold</v>
      </c>
      <c r="E32" s="46">
        <f ca="1">IF(AND(ConstructionState[[#This Row],[Kind]]="Upgrade",LabLevel=0),0,VLOOKUP(ConstructionState[Building or Upgrade],QuantAvail[],1+IF(ConstructionState[[#This Row],[Kind]]="Upgrade",LabLevel,THLevel),FALSE))</f>
        <v>2</v>
      </c>
      <c r="F32" s="46">
        <f ca="1">IF(AND(ConstructionState[[#This Row],[Kind]]="Upgrade",LabLevel=0),0,VLOOKUP(ConstructionState[Building or Upgrade],MaxLevel[],1+IF(ConstructionState[[#This Row],[Kind]]="Upgrade",LabLevel,THLevel),FALSE))</f>
        <v>11</v>
      </c>
      <c r="G32" s="46">
        <f ca="1">ConstructionState[[#This Row],[Available]]-SUM(ConstructionState[[#This Row],[1]:[12]])</f>
        <v>0</v>
      </c>
      <c r="H32" s="1"/>
      <c r="I32" s="2"/>
      <c r="J32" s="2"/>
      <c r="K32" s="2"/>
      <c r="L32" s="2"/>
      <c r="M32" s="2"/>
      <c r="N32" s="2"/>
      <c r="O32" s="2"/>
      <c r="P32" s="2"/>
      <c r="Q32" s="2"/>
      <c r="R32" s="2">
        <v>2</v>
      </c>
      <c r="S32" s="3"/>
    </row>
    <row r="33" spans="1:19" ht="18">
      <c r="A33" s="44" t="s">
        <v>18</v>
      </c>
      <c r="B33" s="44" t="str">
        <f>VLOOKUP(ConstructionState[[#This Row],[Building or Upgrade]],Upgrades[],2,FALSE)</f>
        <v>Building</v>
      </c>
      <c r="C33" s="44" t="str">
        <f>VLOOKUP(ConstructionState[Building or Upgrade],Upgrades[],3,FALSE)</f>
        <v>Elixir</v>
      </c>
      <c r="D33" s="45" t="str">
        <f>IF(COUNTIF(Skips,ConstructionState[[#This Row],[Building or Upgrade]]),"IGNORE",ConstructionState[Kind]&amp;"-"&amp;ConstructionState[Resource])</f>
        <v>IGNORE</v>
      </c>
      <c r="E33" s="46">
        <f ca="1">IF(AND(ConstructionState[[#This Row],[Kind]]="Upgrade",LabLevel=0),0,VLOOKUP(ConstructionState[Building or Upgrade],QuantAvail[],1+IF(ConstructionState[[#This Row],[Kind]]="Upgrade",LabLevel,THLevel),FALSE))</f>
        <v>1</v>
      </c>
      <c r="F33" s="46">
        <f ca="1">IF(AND(ConstructionState[[#This Row],[Kind]]="Upgrade",LabLevel=0),0,VLOOKUP(ConstructionState[Building or Upgrade],MaxLevel[],1+IF(ConstructionState[[#This Row],[Kind]]="Upgrade",LabLevel,THLevel),FALSE))</f>
        <v>2</v>
      </c>
      <c r="G33" s="46">
        <f ca="1">ConstructionState[[#This Row],[Available]]-SUM(ConstructionState[[#This Row],[1]:[12]])</f>
        <v>0</v>
      </c>
      <c r="H33" s="1">
        <v>1</v>
      </c>
      <c r="I33" s="2"/>
      <c r="J33" s="2"/>
      <c r="K33" s="2"/>
      <c r="L33" s="2"/>
      <c r="M33" s="2"/>
      <c r="N33" s="2"/>
      <c r="O33" s="2"/>
      <c r="P33" s="2"/>
      <c r="Q33" s="2"/>
      <c r="R33" s="2"/>
      <c r="S33" s="3"/>
    </row>
    <row r="34" spans="1:19" ht="18">
      <c r="A34" s="44" t="s">
        <v>19</v>
      </c>
      <c r="B34" s="44" t="str">
        <f>VLOOKUP(ConstructionState[[#This Row],[Building or Upgrade]],Upgrades[],2,FALSE)</f>
        <v>Building</v>
      </c>
      <c r="C34" s="44" t="str">
        <f>VLOOKUP(ConstructionState[Building or Upgrade],Upgrades[],3,FALSE)</f>
        <v>Elixir</v>
      </c>
      <c r="D34" s="45" t="str">
        <f>IF(COUNTIF(Skips,ConstructionState[[#This Row],[Building or Upgrade]]),"IGNORE",ConstructionState[Kind]&amp;"-"&amp;ConstructionState[Resource])</f>
        <v>Building-Elixir</v>
      </c>
      <c r="E34" s="46">
        <f ca="1">IF(AND(ConstructionState[[#This Row],[Kind]]="Upgrade",LabLevel=0),0,VLOOKUP(ConstructionState[Building or Upgrade],QuantAvail[],1+IF(ConstructionState[[#This Row],[Kind]]="Upgrade",LabLevel,THLevel),FALSE))</f>
        <v>1</v>
      </c>
      <c r="F34" s="46">
        <f ca="1">IF(AND(ConstructionState[[#This Row],[Kind]]="Upgrade",LabLevel=0),0,VLOOKUP(ConstructionState[Building or Upgrade],MaxLevel[],1+IF(ConstructionState[[#This Row],[Kind]]="Upgrade",LabLevel,THLevel),FALSE))</f>
        <v>2</v>
      </c>
      <c r="G34" s="46">
        <f ca="1">ConstructionState[[#This Row],[Available]]-SUM(ConstructionState[[#This Row],[1]:[12]])</f>
        <v>0</v>
      </c>
      <c r="H34" s="1">
        <v>1</v>
      </c>
      <c r="I34" s="2"/>
      <c r="J34" s="2"/>
      <c r="K34" s="2"/>
      <c r="L34" s="2"/>
      <c r="M34" s="2"/>
      <c r="N34" s="2"/>
      <c r="O34" s="2"/>
      <c r="P34" s="2"/>
      <c r="Q34" s="2"/>
      <c r="R34" s="2"/>
      <c r="S34" s="3"/>
    </row>
    <row r="35" spans="1:19" ht="18">
      <c r="A35" s="44" t="s">
        <v>21</v>
      </c>
      <c r="B35" s="44" t="str">
        <f>VLOOKUP(ConstructionState[[#This Row],[Building or Upgrade]],Upgrades[],2,FALSE)</f>
        <v>Building</v>
      </c>
      <c r="C35" s="44" t="str">
        <f>VLOOKUP(ConstructionState[Building or Upgrade],Upgrades[],3,FALSE)</f>
        <v>Elixir</v>
      </c>
      <c r="D35" s="45" t="str">
        <f>IF(COUNTIF(Skips,ConstructionState[[#This Row],[Building or Upgrade]]),"IGNORE",ConstructionState[Kind]&amp;"-"&amp;ConstructionState[Resource])</f>
        <v>Building-Elixir</v>
      </c>
      <c r="E35" s="46">
        <f ca="1">IF(AND(ConstructionState[[#This Row],[Kind]]="Upgrade",LabLevel=0),0,VLOOKUP(ConstructionState[Building or Upgrade],QuantAvail[],1+IF(ConstructionState[[#This Row],[Kind]]="Upgrade",LabLevel,THLevel),FALSE))</f>
        <v>1</v>
      </c>
      <c r="F35" s="46">
        <f ca="1">IF(AND(ConstructionState[[#This Row],[Kind]]="Upgrade",LabLevel=0),0,VLOOKUP(ConstructionState[Building or Upgrade],MaxLevel[],1+IF(ConstructionState[[#This Row],[Kind]]="Upgrade",LabLevel,THLevel),FALSE))</f>
        <v>3</v>
      </c>
      <c r="G35" s="46">
        <f ca="1">ConstructionState[[#This Row],[Available]]-SUM(ConstructionState[[#This Row],[1]:[12]])</f>
        <v>0</v>
      </c>
      <c r="H35" s="1"/>
      <c r="I35" s="2"/>
      <c r="J35" s="2">
        <v>1</v>
      </c>
      <c r="K35" s="2"/>
      <c r="L35" s="2"/>
      <c r="M35" s="2"/>
      <c r="N35" s="2"/>
      <c r="O35" s="2"/>
      <c r="P35" s="2"/>
      <c r="Q35" s="2"/>
      <c r="R35" s="2"/>
      <c r="S35" s="3"/>
    </row>
    <row r="36" spans="1:19" ht="18">
      <c r="A36" s="44" t="s">
        <v>5</v>
      </c>
      <c r="B36" s="44" t="str">
        <f>VLOOKUP(ConstructionState[[#This Row],[Building or Upgrade]],Upgrades[],2,FALSE)</f>
        <v>Building</v>
      </c>
      <c r="C36" s="44" t="str">
        <f>VLOOKUP(ConstructionState[Building or Upgrade],Upgrades[],3,FALSE)</f>
        <v>Gold</v>
      </c>
      <c r="D36" s="45" t="str">
        <f>IF(COUNTIF(Skips,ConstructionState[[#This Row],[Building or Upgrade]]),"IGNORE",ConstructionState[Kind]&amp;"-"&amp;ConstructionState[Resource])</f>
        <v>Building-Gold</v>
      </c>
      <c r="E36" s="46">
        <f ca="1">IF(AND(ConstructionState[[#This Row],[Kind]]="Upgrade",LabLevel=0),0,VLOOKUP(ConstructionState[Building or Upgrade],QuantAvail[],1+IF(ConstructionState[[#This Row],[Kind]]="Upgrade",LabLevel,THLevel),FALSE))</f>
        <v>1</v>
      </c>
      <c r="F36" s="46">
        <f ca="1">IF(AND(ConstructionState[[#This Row],[Kind]]="Upgrade",LabLevel=0),0,VLOOKUP(ConstructionState[Building or Upgrade],MaxLevel[],1+IF(ConstructionState[[#This Row],[Kind]]="Upgrade",LabLevel,THLevel),FALSE))</f>
        <v>3</v>
      </c>
      <c r="G36" s="46">
        <f ca="1">ConstructionState[[#This Row],[Available]]-SUM(ConstructionState[[#This Row],[1]:[12]])</f>
        <v>0</v>
      </c>
      <c r="H36" s="1"/>
      <c r="I36" s="2"/>
      <c r="J36" s="2">
        <v>1</v>
      </c>
      <c r="K36" s="2"/>
      <c r="L36" s="2"/>
      <c r="M36" s="2"/>
      <c r="N36" s="2"/>
      <c r="O36" s="2"/>
      <c r="P36" s="2"/>
      <c r="Q36" s="2"/>
      <c r="R36" s="2"/>
      <c r="S36" s="3"/>
    </row>
    <row r="37" spans="1:19" ht="18">
      <c r="A37" s="44" t="s">
        <v>6</v>
      </c>
      <c r="B37" s="44" t="str">
        <f>VLOOKUP(ConstructionState[[#This Row],[Building or Upgrade]],Upgrades[],2,FALSE)</f>
        <v>Building</v>
      </c>
      <c r="C37" s="44" t="str">
        <f>VLOOKUP(ConstructionState[Building or Upgrade],Upgrades[],3,FALSE)</f>
        <v>Gold</v>
      </c>
      <c r="D37" s="45" t="str">
        <f>IF(COUNTIF(Skips,ConstructionState[[#This Row],[Building or Upgrade]]),"IGNORE",ConstructionState[Kind]&amp;"-"&amp;ConstructionState[Resource])</f>
        <v>Building-Gold</v>
      </c>
      <c r="E37" s="46">
        <f ca="1">IF(AND(ConstructionState[[#This Row],[Kind]]="Upgrade",LabLevel=0),0,VLOOKUP(ConstructionState[Building or Upgrade],QuantAvail[],1+IF(ConstructionState[[#This Row],[Kind]]="Upgrade",LabLevel,THLevel),FALSE))</f>
        <v>5</v>
      </c>
      <c r="F37" s="46">
        <f ca="1">IF(AND(ConstructionState[[#This Row],[Kind]]="Upgrade",LabLevel=0),0,VLOOKUP(ConstructionState[Building or Upgrade],MaxLevel[],1+IF(ConstructionState[[#This Row],[Kind]]="Upgrade",LabLevel,THLevel),FALSE))</f>
        <v>8</v>
      </c>
      <c r="G37" s="46">
        <f ca="1">ConstructionState[[#This Row],[Available]]-SUM(ConstructionState[[#This Row],[1]:[12]])</f>
        <v>0</v>
      </c>
      <c r="H37" s="1"/>
      <c r="I37" s="2"/>
      <c r="J37" s="2"/>
      <c r="K37" s="2"/>
      <c r="L37" s="2"/>
      <c r="M37" s="2"/>
      <c r="N37" s="2"/>
      <c r="O37" s="2">
        <v>5</v>
      </c>
      <c r="P37" s="2"/>
      <c r="Q37" s="2"/>
      <c r="R37" s="2"/>
      <c r="S37" s="3"/>
    </row>
    <row r="38" spans="1:19" ht="18">
      <c r="A38" s="44" t="s">
        <v>22</v>
      </c>
      <c r="B38" s="44" t="str">
        <f>VLOOKUP(ConstructionState[[#This Row],[Building or Upgrade]],Upgrades[],2,FALSE)</f>
        <v>Building</v>
      </c>
      <c r="C38" s="44" t="str">
        <f>VLOOKUP(ConstructionState[Building or Upgrade],Upgrades[],3,FALSE)</f>
        <v>Gold</v>
      </c>
      <c r="D38" s="45" t="str">
        <f>IF(COUNTIF(Skips,ConstructionState[[#This Row],[Building or Upgrade]]),"IGNORE",ConstructionState[Kind]&amp;"-"&amp;ConstructionState[Resource])</f>
        <v>Building-Gold</v>
      </c>
      <c r="E38" s="46">
        <f ca="1">IF(AND(ConstructionState[[#This Row],[Kind]]="Upgrade",LabLevel=0),0,VLOOKUP(ConstructionState[Building or Upgrade],QuantAvail[],1+IF(ConstructionState[[#This Row],[Kind]]="Upgrade",LabLevel,THLevel),FALSE))</f>
        <v>4</v>
      </c>
      <c r="F38" s="46">
        <f ca="1">IF(AND(ConstructionState[[#This Row],[Kind]]="Upgrade",LabLevel=0),0,VLOOKUP(ConstructionState[Building or Upgrade],MaxLevel[],1+IF(ConstructionState[[#This Row],[Kind]]="Upgrade",LabLevel,THLevel),FALSE))</f>
        <v>8</v>
      </c>
      <c r="G38" s="46">
        <f ca="1">ConstructionState[[#This Row],[Available]]-SUM(ConstructionState[[#This Row],[1]:[12]])</f>
        <v>0</v>
      </c>
      <c r="H38" s="1"/>
      <c r="I38" s="2"/>
      <c r="J38" s="2"/>
      <c r="K38" s="2"/>
      <c r="L38" s="2"/>
      <c r="M38" s="2"/>
      <c r="N38" s="2"/>
      <c r="O38" s="2">
        <v>4</v>
      </c>
      <c r="P38" s="2"/>
      <c r="Q38" s="2"/>
      <c r="R38" s="2"/>
      <c r="S38" s="3"/>
    </row>
    <row r="39" spans="1:19" ht="18">
      <c r="A39" s="44" t="s">
        <v>23</v>
      </c>
      <c r="B39" s="44" t="str">
        <f>VLOOKUP(ConstructionState[[#This Row],[Building or Upgrade]],Upgrades[],2,FALSE)</f>
        <v>Wall</v>
      </c>
      <c r="C39" s="44" t="str">
        <f>VLOOKUP(ConstructionState[Building or Upgrade],Upgrades[],3,FALSE)</f>
        <v>Gold</v>
      </c>
      <c r="D39" s="45" t="str">
        <f>IF(COUNTIF(Skips,ConstructionState[[#This Row],[Building or Upgrade]]),"IGNORE",ConstructionState[Kind]&amp;"-"&amp;ConstructionState[Resource])</f>
        <v>Wall-Gold</v>
      </c>
      <c r="E39" s="46">
        <f ca="1">IF(AND(ConstructionState[[#This Row],[Kind]]="Upgrade",LabLevel=0),0,VLOOKUP(ConstructionState[Building or Upgrade],QuantAvail[],1+IF(ConstructionState[[#This Row],[Kind]]="Upgrade",LabLevel,THLevel),FALSE))</f>
        <v>175</v>
      </c>
      <c r="F39" s="46">
        <f ca="1">IF(AND(ConstructionState[[#This Row],[Kind]]="Upgrade",LabLevel=0),0,VLOOKUP(ConstructionState[Building or Upgrade],MaxLevel[],1+IF(ConstructionState[[#This Row],[Kind]]="Upgrade",LabLevel,THLevel),FALSE))</f>
        <v>7</v>
      </c>
      <c r="G39" s="46">
        <f ca="1">ConstructionState[[#This Row],[Available]]-SUM(ConstructionState[[#This Row],[1]:[12]])</f>
        <v>0</v>
      </c>
      <c r="H39" s="1"/>
      <c r="I39" s="2"/>
      <c r="J39" s="2"/>
      <c r="K39" s="2"/>
      <c r="L39" s="2">
        <v>90</v>
      </c>
      <c r="M39" s="2">
        <v>84</v>
      </c>
      <c r="N39" s="2">
        <v>1</v>
      </c>
      <c r="O39" s="2"/>
      <c r="P39" s="2"/>
      <c r="Q39" s="2"/>
      <c r="R39" s="2"/>
      <c r="S39" s="3"/>
    </row>
    <row r="40" spans="1:19" ht="18">
      <c r="A40" s="44" t="s">
        <v>7</v>
      </c>
      <c r="B40" s="44" t="str">
        <f>VLOOKUP(ConstructionState[[#This Row],[Building or Upgrade]],Upgrades[],2,FALSE)</f>
        <v>Building</v>
      </c>
      <c r="C40" s="44" t="str">
        <f>VLOOKUP(ConstructionState[Building or Upgrade],Upgrades[],3,FALSE)</f>
        <v>Gold</v>
      </c>
      <c r="D40" s="45" t="str">
        <f>IF(COUNTIF(Skips,ConstructionState[[#This Row],[Building or Upgrade]]),"IGNORE",ConstructionState[Kind]&amp;"-"&amp;ConstructionState[Resource])</f>
        <v>Building-Gold</v>
      </c>
      <c r="E40" s="46">
        <f ca="1">IF(AND(ConstructionState[[#This Row],[Kind]]="Upgrade",LabLevel=0),0,VLOOKUP(ConstructionState[Building or Upgrade],QuantAvail[],1+IF(ConstructionState[[#This Row],[Kind]]="Upgrade",LabLevel,THLevel),FALSE))</f>
        <v>3</v>
      </c>
      <c r="F40" s="46">
        <f ca="1">IF(AND(ConstructionState[[#This Row],[Kind]]="Upgrade",LabLevel=0),0,VLOOKUP(ConstructionState[Building or Upgrade],MaxLevel[],1+IF(ConstructionState[[#This Row],[Kind]]="Upgrade",LabLevel,THLevel),FALSE))</f>
        <v>5</v>
      </c>
      <c r="G40" s="46">
        <f ca="1">ConstructionState[[#This Row],[Available]]-SUM(ConstructionState[[#This Row],[1]:[12]])</f>
        <v>0</v>
      </c>
      <c r="H40" s="1"/>
      <c r="I40" s="2"/>
      <c r="J40" s="2"/>
      <c r="K40" s="2"/>
      <c r="L40" s="2">
        <v>3</v>
      </c>
      <c r="M40" s="2"/>
      <c r="N40" s="2"/>
      <c r="O40" s="2"/>
      <c r="P40" s="2"/>
      <c r="Q40" s="2"/>
      <c r="R40" s="2"/>
      <c r="S40" s="3"/>
    </row>
    <row r="41" spans="1:19" ht="18">
      <c r="A41" s="44" t="s">
        <v>8</v>
      </c>
      <c r="B41" s="44" t="str">
        <f>VLOOKUP(ConstructionState[[#This Row],[Building or Upgrade]],Upgrades[],2,FALSE)</f>
        <v>Building</v>
      </c>
      <c r="C41" s="44" t="str">
        <f>VLOOKUP(ConstructionState[Building or Upgrade],Upgrades[],3,FALSE)</f>
        <v>Gold</v>
      </c>
      <c r="D41" s="45" t="str">
        <f>IF(COUNTIF(Skips,ConstructionState[[#This Row],[Building or Upgrade]]),"IGNORE",ConstructionState[Kind]&amp;"-"&amp;ConstructionState[Resource])</f>
        <v>Building-Gold</v>
      </c>
      <c r="E41" s="46">
        <f ca="1">IF(AND(ConstructionState[[#This Row],[Kind]]="Upgrade",LabLevel=0),0,VLOOKUP(ConstructionState[Building or Upgrade],QuantAvail[],1+IF(ConstructionState[[#This Row],[Kind]]="Upgrade",LabLevel,THLevel),FALSE))</f>
        <v>6</v>
      </c>
      <c r="F41" s="46">
        <f ca="1">IF(AND(ConstructionState[[#This Row],[Kind]]="Upgrade",LabLevel=0),0,VLOOKUP(ConstructionState[Building or Upgrade],MaxLevel[],1+IF(ConstructionState[[#This Row],[Kind]]="Upgrade",LabLevel,THLevel),FALSE))</f>
        <v>4</v>
      </c>
      <c r="G41" s="46">
        <f ca="1">ConstructionState[[#This Row],[Available]]-SUM(ConstructionState[[#This Row],[1]:[12]])</f>
        <v>0</v>
      </c>
      <c r="H41" s="1"/>
      <c r="I41" s="2"/>
      <c r="J41" s="2"/>
      <c r="K41" s="2">
        <v>6</v>
      </c>
      <c r="L41" s="2"/>
      <c r="M41" s="2"/>
      <c r="N41" s="2"/>
      <c r="O41" s="2"/>
      <c r="P41" s="2"/>
      <c r="Q41" s="2"/>
      <c r="R41" s="2"/>
      <c r="S41" s="3"/>
    </row>
    <row r="42" spans="1:19" ht="18">
      <c r="A42" s="44" t="s">
        <v>24</v>
      </c>
      <c r="B42" s="44" t="str">
        <f>VLOOKUP(ConstructionState[[#This Row],[Building or Upgrade]],Upgrades[],2,FALSE)</f>
        <v>Building</v>
      </c>
      <c r="C42" s="44" t="str">
        <f>VLOOKUP(ConstructionState[Building or Upgrade],Upgrades[],3,FALSE)</f>
        <v>Gold</v>
      </c>
      <c r="D42" s="45" t="str">
        <f>IF(COUNTIF(Skips,ConstructionState[[#This Row],[Building or Upgrade]]),"IGNORE",ConstructionState[Kind]&amp;"-"&amp;ConstructionState[Resource])</f>
        <v>Building-Gold</v>
      </c>
      <c r="E42" s="46">
        <f ca="1">IF(AND(ConstructionState[[#This Row],[Kind]]="Upgrade",LabLevel=0),0,VLOOKUP(ConstructionState[Building or Upgrade],QuantAvail[],1+IF(ConstructionState[[#This Row],[Kind]]="Upgrade",LabLevel,THLevel),FALSE))</f>
        <v>2</v>
      </c>
      <c r="F42" s="46">
        <f ca="1">IF(AND(ConstructionState[[#This Row],[Kind]]="Upgrade",LabLevel=0),0,VLOOKUP(ConstructionState[Building or Upgrade],MaxLevel[],1+IF(ConstructionState[[#This Row],[Kind]]="Upgrade",LabLevel,THLevel),FALSE))</f>
        <v>5</v>
      </c>
      <c r="G42" s="46">
        <f ca="1">ConstructionState[[#This Row],[Available]]-SUM(ConstructionState[[#This Row],[1]:[12]])</f>
        <v>0</v>
      </c>
      <c r="H42" s="1"/>
      <c r="I42" s="2"/>
      <c r="J42" s="2"/>
      <c r="K42" s="2"/>
      <c r="L42" s="2">
        <v>2</v>
      </c>
      <c r="M42" s="2"/>
      <c r="N42" s="2"/>
      <c r="O42" s="2"/>
      <c r="P42" s="2"/>
      <c r="Q42" s="2"/>
      <c r="R42" s="2"/>
      <c r="S42" s="3"/>
    </row>
    <row r="43" spans="1:19" ht="18">
      <c r="A43" s="44" t="s">
        <v>25</v>
      </c>
      <c r="B43" s="44" t="str">
        <f>VLOOKUP(ConstructionState[[#This Row],[Building or Upgrade]],Upgrades[],2,FALSE)</f>
        <v>Building</v>
      </c>
      <c r="C43" s="44" t="str">
        <f>VLOOKUP(ConstructionState[Building or Upgrade],Upgrades[],3,FALSE)</f>
        <v>Gold</v>
      </c>
      <c r="D43" s="45" t="str">
        <f>IF(COUNTIF(Skips,ConstructionState[[#This Row],[Building or Upgrade]]),"IGNORE",ConstructionState[Kind]&amp;"-"&amp;ConstructionState[Resource])</f>
        <v>Building-Gold</v>
      </c>
      <c r="E43" s="46">
        <f ca="1">IF(AND(ConstructionState[[#This Row],[Kind]]="Upgrade",LabLevel=0),0,VLOOKUP(ConstructionState[Building or Upgrade],QuantAvail[],1+IF(ConstructionState[[#This Row],[Kind]]="Upgrade",LabLevel,THLevel),FALSE))</f>
        <v>4</v>
      </c>
      <c r="F43" s="46">
        <f ca="1">IF(AND(ConstructionState[[#This Row],[Kind]]="Upgrade",LabLevel=0),0,VLOOKUP(ConstructionState[Building or Upgrade],MaxLevel[],1+IF(ConstructionState[[#This Row],[Kind]]="Upgrade",LabLevel,THLevel),FALSE))</f>
        <v>1</v>
      </c>
      <c r="G43" s="46">
        <f ca="1">ConstructionState[[#This Row],[Available]]-SUM(ConstructionState[[#This Row],[1]:[12]])</f>
        <v>0</v>
      </c>
      <c r="H43" s="1">
        <v>4</v>
      </c>
      <c r="I43" s="2"/>
      <c r="J43" s="2"/>
      <c r="K43" s="2"/>
      <c r="L43" s="2"/>
      <c r="M43" s="2"/>
      <c r="N43" s="2"/>
      <c r="O43" s="2"/>
      <c r="P43" s="2"/>
      <c r="Q43" s="2"/>
      <c r="R43" s="2"/>
      <c r="S43" s="3"/>
    </row>
    <row r="44" spans="1:19" ht="18">
      <c r="A44" s="44" t="s">
        <v>26</v>
      </c>
      <c r="B44" s="44" t="str">
        <f>VLOOKUP(ConstructionState[[#This Row],[Building or Upgrade]],Upgrades[],2,FALSE)</f>
        <v>Building</v>
      </c>
      <c r="C44" s="44" t="str">
        <f>VLOOKUP(ConstructionState[Building or Upgrade],Upgrades[],3,FALSE)</f>
        <v>Gold</v>
      </c>
      <c r="D44" s="45" t="str">
        <f>IF(COUNTIF(Skips,ConstructionState[[#This Row],[Building or Upgrade]]),"IGNORE",ConstructionState[Kind]&amp;"-"&amp;ConstructionState[Resource])</f>
        <v>Building-Gold</v>
      </c>
      <c r="E44" s="46">
        <f ca="1">IF(AND(ConstructionState[[#This Row],[Kind]]="Upgrade",LabLevel=0),0,VLOOKUP(ConstructionState[Building or Upgrade],QuantAvail[],1+IF(ConstructionState[[#This Row],[Kind]]="Upgrade",LabLevel,THLevel),FALSE))</f>
        <v>2</v>
      </c>
      <c r="F44" s="46">
        <f ca="1">IF(AND(ConstructionState[[#This Row],[Kind]]="Upgrade",LabLevel=0),0,VLOOKUP(ConstructionState[Building or Upgrade],MaxLevel[],1+IF(ConstructionState[[#This Row],[Kind]]="Upgrade",LabLevel,THLevel),FALSE))</f>
        <v>4</v>
      </c>
      <c r="G44" s="46">
        <f ca="1">ConstructionState[[#This Row],[Available]]-SUM(ConstructionState[[#This Row],[1]:[12]])</f>
        <v>0</v>
      </c>
      <c r="H44" s="1"/>
      <c r="I44" s="2"/>
      <c r="J44" s="2"/>
      <c r="K44" s="2">
        <v>2</v>
      </c>
      <c r="L44" s="2"/>
      <c r="M44" s="2"/>
      <c r="N44" s="2"/>
      <c r="O44" s="2"/>
      <c r="P44" s="2"/>
      <c r="Q44" s="2"/>
      <c r="R44" s="2"/>
      <c r="S44" s="3"/>
    </row>
    <row r="45" spans="1:19" ht="18">
      <c r="A45" s="44" t="s">
        <v>9</v>
      </c>
      <c r="B45" s="44" t="str">
        <f>VLOOKUP(ConstructionState[[#This Row],[Building or Upgrade]],Upgrades[],2,FALSE)</f>
        <v>Building</v>
      </c>
      <c r="C45" s="44" t="str">
        <f>VLOOKUP(ConstructionState[Building or Upgrade],Upgrades[],3,FALSE)</f>
        <v>Gold</v>
      </c>
      <c r="D45" s="45" t="str">
        <f>IF(COUNTIF(Skips,ConstructionState[[#This Row],[Building or Upgrade]]),"IGNORE",ConstructionState[Kind]&amp;"-"&amp;ConstructionState[Resource])</f>
        <v>Building-Gold</v>
      </c>
      <c r="E45" s="46">
        <f ca="1">IF(AND(ConstructionState[[#This Row],[Kind]]="Upgrade",LabLevel=0),0,VLOOKUP(ConstructionState[Building or Upgrade],QuantAvail[],1+IF(ConstructionState[[#This Row],[Kind]]="Upgrade",LabLevel,THLevel),FALSE))</f>
        <v>2</v>
      </c>
      <c r="F45" s="46">
        <f ca="1">IF(AND(ConstructionState[[#This Row],[Kind]]="Upgrade",LabLevel=0),0,VLOOKUP(ConstructionState[Building or Upgrade],MaxLevel[],1+IF(ConstructionState[[#This Row],[Kind]]="Upgrade",LabLevel,THLevel),FALSE))</f>
        <v>2</v>
      </c>
      <c r="G45" s="46">
        <f ca="1">ConstructionState[[#This Row],[Available]]-SUM(ConstructionState[[#This Row],[1]:[12]])</f>
        <v>0</v>
      </c>
      <c r="H45" s="1"/>
      <c r="I45" s="2">
        <v>2</v>
      </c>
      <c r="J45" s="2"/>
      <c r="K45" s="2"/>
      <c r="L45" s="2"/>
      <c r="M45" s="2"/>
      <c r="N45" s="2"/>
      <c r="O45" s="2"/>
      <c r="P45" s="2"/>
      <c r="Q45" s="2"/>
      <c r="R45" s="2"/>
      <c r="S45" s="3"/>
    </row>
    <row r="46" spans="1:19" ht="18">
      <c r="A46" s="44" t="s">
        <v>10</v>
      </c>
      <c r="B46" s="44" t="str">
        <f>VLOOKUP(ConstructionState[[#This Row],[Building or Upgrade]],Upgrades[],2,FALSE)</f>
        <v>Building</v>
      </c>
      <c r="C46" s="44" t="str">
        <f>VLOOKUP(ConstructionState[Building or Upgrade],Upgrades[],3,FALSE)</f>
        <v>Gold</v>
      </c>
      <c r="D46" s="45" t="str">
        <f>IF(COUNTIF(Skips,ConstructionState[[#This Row],[Building or Upgrade]]),"IGNORE",ConstructionState[Kind]&amp;"-"&amp;ConstructionState[Resource])</f>
        <v>Building-Gold</v>
      </c>
      <c r="E46" s="46">
        <f ca="1">IF(AND(ConstructionState[[#This Row],[Kind]]="Upgrade",LabLevel=0),0,VLOOKUP(ConstructionState[Building or Upgrade],QuantAvail[],1+IF(ConstructionState[[#This Row],[Kind]]="Upgrade",LabLevel,THLevel),FALSE))</f>
        <v>2</v>
      </c>
      <c r="F46" s="46">
        <f ca="1">IF(AND(ConstructionState[[#This Row],[Kind]]="Upgrade",LabLevel=0),0,VLOOKUP(ConstructionState[Building or Upgrade],MaxLevel[],1+IF(ConstructionState[[#This Row],[Kind]]="Upgrade",LabLevel,THLevel),FALSE))</f>
        <v>3</v>
      </c>
      <c r="G46" s="46">
        <f ca="1">ConstructionState[[#This Row],[Available]]-SUM(ConstructionState[[#This Row],[1]:[12]])</f>
        <v>0</v>
      </c>
      <c r="H46" s="1"/>
      <c r="I46" s="2"/>
      <c r="J46" s="2">
        <v>2</v>
      </c>
      <c r="K46" s="2"/>
      <c r="L46" s="2"/>
      <c r="M46" s="2"/>
      <c r="N46" s="2"/>
      <c r="O46" s="2"/>
      <c r="P46" s="2"/>
      <c r="Q46" s="2"/>
      <c r="R46" s="2"/>
      <c r="S46" s="3"/>
    </row>
    <row r="47" spans="1:19" ht="18">
      <c r="A47" s="44" t="s">
        <v>27</v>
      </c>
      <c r="B47" s="44" t="str">
        <f>VLOOKUP(ConstructionState[[#This Row],[Building or Upgrade]],Upgrades[],2,FALSE)</f>
        <v>Building</v>
      </c>
      <c r="C47" s="44" t="str">
        <f>VLOOKUP(ConstructionState[Building or Upgrade],Upgrades[],3,FALSE)</f>
        <v>Gold</v>
      </c>
      <c r="D47" s="45" t="str">
        <f>IF(COUNTIF(Skips,ConstructionState[[#This Row],[Building or Upgrade]]),"IGNORE",ConstructionState[Kind]&amp;"-"&amp;ConstructionState[Resource])</f>
        <v>Building-Gold</v>
      </c>
      <c r="E47" s="46">
        <f ca="1">IF(AND(ConstructionState[[#This Row],[Kind]]="Upgrade",LabLevel=0),0,VLOOKUP(ConstructionState[Building or Upgrade],QuantAvail[],1+IF(ConstructionState[[#This Row],[Kind]]="Upgrade",LabLevel,THLevel),FALSE))</f>
        <v>1</v>
      </c>
      <c r="F47" s="46">
        <f ca="1">IF(AND(ConstructionState[[#This Row],[Kind]]="Upgrade",LabLevel=0),0,VLOOKUP(ConstructionState[Building or Upgrade],MaxLevel[],1+IF(ConstructionState[[#This Row],[Kind]]="Upgrade",LabLevel,THLevel),FALSE))</f>
        <v>1</v>
      </c>
      <c r="G47" s="46">
        <f ca="1">ConstructionState[[#This Row],[Available]]-SUM(ConstructionState[[#This Row],[1]:[12]])</f>
        <v>0</v>
      </c>
      <c r="H47" s="1">
        <v>1</v>
      </c>
      <c r="I47" s="2"/>
      <c r="J47" s="2"/>
      <c r="K47" s="2"/>
      <c r="L47" s="2"/>
      <c r="M47" s="2"/>
      <c r="N47" s="2"/>
      <c r="O47" s="2"/>
      <c r="P47" s="2"/>
      <c r="Q47" s="2"/>
      <c r="R47" s="2"/>
      <c r="S47" s="3"/>
    </row>
    <row r="48" spans="1:19" ht="18">
      <c r="A48" s="44" t="s">
        <v>11</v>
      </c>
      <c r="B48" s="44" t="str">
        <f>VLOOKUP(ConstructionState[[#This Row],[Building or Upgrade]],Upgrades[],2,FALSE)</f>
        <v>Building</v>
      </c>
      <c r="C48" s="44" t="str">
        <f>VLOOKUP(ConstructionState[Building or Upgrade],Upgrades[],3,FALSE)</f>
        <v>Gold</v>
      </c>
      <c r="D48" s="45" t="str">
        <f>IF(COUNTIF(Skips,ConstructionState[[#This Row],[Building or Upgrade]]),"IGNORE",ConstructionState[Kind]&amp;"-"&amp;ConstructionState[Resource])</f>
        <v>Building-Gold</v>
      </c>
      <c r="E48" s="46">
        <f ca="1">IF(AND(ConstructionState[[#This Row],[Kind]]="Upgrade",LabLevel=0),0,VLOOKUP(ConstructionState[Building or Upgrade],QuantAvail[],1+IF(ConstructionState[[#This Row],[Kind]]="Upgrade",LabLevel,THLevel),FALSE))</f>
        <v>2</v>
      </c>
      <c r="F48" s="46">
        <f ca="1">IF(AND(ConstructionState[[#This Row],[Kind]]="Upgrade",LabLevel=0),0,VLOOKUP(ConstructionState[Building or Upgrade],MaxLevel[],1+IF(ConstructionState[[#This Row],[Kind]]="Upgrade",LabLevel,THLevel),FALSE))</f>
        <v>3</v>
      </c>
      <c r="G48" s="46">
        <f ca="1">ConstructionState[[#This Row],[Available]]-SUM(ConstructionState[[#This Row],[1]:[12]])</f>
        <v>0</v>
      </c>
      <c r="H48" s="1"/>
      <c r="I48" s="2"/>
      <c r="J48" s="2">
        <v>2</v>
      </c>
      <c r="K48" s="2"/>
      <c r="L48" s="2"/>
      <c r="M48" s="2"/>
      <c r="N48" s="2"/>
      <c r="O48" s="2"/>
      <c r="P48" s="2"/>
      <c r="Q48" s="2"/>
      <c r="R48" s="2"/>
      <c r="S48" s="3"/>
    </row>
    <row r="49" spans="1:19" ht="18">
      <c r="A49" s="44" t="s">
        <v>12</v>
      </c>
      <c r="B49" s="44" t="str">
        <f>VLOOKUP(ConstructionState[[#This Row],[Building or Upgrade]],Upgrades[],2,FALSE)</f>
        <v>Building</v>
      </c>
      <c r="C49" s="44" t="str">
        <f>VLOOKUP(ConstructionState[Building or Upgrade],Upgrades[],3,FALSE)</f>
        <v>Gold</v>
      </c>
      <c r="D49" s="45" t="str">
        <f>IF(COUNTIF(Skips,ConstructionState[[#This Row],[Building or Upgrade]]),"IGNORE",ConstructionState[Kind]&amp;"-"&amp;ConstructionState[Resource])</f>
        <v>Building-Gold</v>
      </c>
      <c r="E49" s="46">
        <f ca="1">IF(AND(ConstructionState[[#This Row],[Kind]]="Upgrade",LabLevel=0),0,VLOOKUP(ConstructionState[Building or Upgrade],QuantAvail[],1+IF(ConstructionState[[#This Row],[Kind]]="Upgrade",LabLevel,THLevel),FALSE))</f>
        <v>0</v>
      </c>
      <c r="F49" s="46">
        <f ca="1">IF(AND(ConstructionState[[#This Row],[Kind]]="Upgrade",LabLevel=0),0,VLOOKUP(ConstructionState[Building or Upgrade],MaxLevel[],1+IF(ConstructionState[[#This Row],[Kind]]="Upgrade",LabLevel,THLevel),FALSE))</f>
        <v>0</v>
      </c>
      <c r="G49" s="46">
        <f ca="1">ConstructionState[[#This Row],[Available]]-SUM(ConstructionState[[#This Row],[1]:[12]])</f>
        <v>0</v>
      </c>
      <c r="H49" s="1"/>
      <c r="I49" s="2"/>
      <c r="J49" s="2"/>
      <c r="K49" s="2"/>
      <c r="L49" s="2"/>
      <c r="M49" s="2"/>
      <c r="N49" s="2"/>
      <c r="O49" s="2"/>
      <c r="P49" s="2"/>
      <c r="Q49" s="2"/>
      <c r="R49" s="2"/>
      <c r="S49" s="3"/>
    </row>
    <row r="50" spans="1:19" ht="18">
      <c r="A50" s="44" t="s">
        <v>28</v>
      </c>
      <c r="B50" s="44" t="str">
        <f>VLOOKUP(ConstructionState[[#This Row],[Building or Upgrade]],Upgrades[],2,FALSE)</f>
        <v>Building</v>
      </c>
      <c r="C50" s="44" t="str">
        <f>VLOOKUP(ConstructionState[Building or Upgrade],Upgrades[],3,FALSE)</f>
        <v>Gold</v>
      </c>
      <c r="D50" s="45" t="str">
        <f>IF(COUNTIF(Skips,ConstructionState[[#This Row],[Building or Upgrade]]),"IGNORE",ConstructionState[Kind]&amp;"-"&amp;ConstructionState[Resource])</f>
        <v>Building-Gold</v>
      </c>
      <c r="E50" s="46">
        <f ca="1">IF(AND(ConstructionState[[#This Row],[Kind]]="Upgrade",LabLevel=0),0,VLOOKUP(ConstructionState[Building or Upgrade],QuantAvail[],1+IF(ConstructionState[[#This Row],[Kind]]="Upgrade",LabLevel,THLevel),FALSE))</f>
        <v>0</v>
      </c>
      <c r="F50" s="46">
        <f ca="1">IF(AND(ConstructionState[[#This Row],[Kind]]="Upgrade",LabLevel=0),0,VLOOKUP(ConstructionState[Building or Upgrade],MaxLevel[],1+IF(ConstructionState[[#This Row],[Kind]]="Upgrade",LabLevel,THLevel),FALSE))</f>
        <v>0</v>
      </c>
      <c r="G50" s="46">
        <f ca="1">ConstructionState[[#This Row],[Available]]-SUM(ConstructionState[[#This Row],[1]:[12]])</f>
        <v>0</v>
      </c>
      <c r="H50" s="1"/>
      <c r="I50" s="2"/>
      <c r="J50" s="2"/>
      <c r="K50" s="2"/>
      <c r="L50" s="2"/>
      <c r="M50" s="2"/>
      <c r="N50" s="2"/>
      <c r="O50" s="2"/>
      <c r="P50" s="2"/>
      <c r="Q50" s="2"/>
      <c r="R50" s="2"/>
      <c r="S50" s="3"/>
    </row>
    <row r="51" spans="1:19" ht="18">
      <c r="A51" s="44" t="s">
        <v>105</v>
      </c>
      <c r="B51" s="44" t="str">
        <f>VLOOKUP(ConstructionState[[#This Row],[Building or Upgrade]],Upgrades[],2,FALSE)</f>
        <v>Building</v>
      </c>
      <c r="C51" s="44" t="str">
        <f>VLOOKUP(ConstructionState[Building or Upgrade],Upgrades[],3,FALSE)</f>
        <v>Dark Elixir</v>
      </c>
      <c r="D51" s="45" t="str">
        <f>IF(COUNTIF(Skips,ConstructionState[[#This Row],[Building or Upgrade]]),"IGNORE",ConstructionState[Kind]&amp;"-"&amp;ConstructionState[Resource])</f>
        <v>Building-Dark Elixir</v>
      </c>
      <c r="E51" s="50">
        <f ca="1">IF(AND(ConstructionState[[#This Row],[Kind]]="Upgrade",LabLevel=0),0,VLOOKUP(ConstructionState[Building or Upgrade],QuantAvail[],1+IF(ConstructionState[[#This Row],[Kind]]="Upgrade",LabLevel,THLevel),FALSE))</f>
        <v>1</v>
      </c>
      <c r="F51" s="50">
        <f ca="1">IF(AND(ConstructionState[[#This Row],[Kind]]="Upgrade",LabLevel=0),0,VLOOKUP(ConstructionState[Building or Upgrade],MaxLevel[],1+IF(ConstructionState[[#This Row],[Kind]]="Upgrade",LabLevel,THLevel),FALSE))</f>
        <v>1</v>
      </c>
      <c r="G51" s="50">
        <f ca="1">ConstructionState[[#This Row],[Available]]-SUM(ConstructionState[[#This Row],[1]:[12]])</f>
        <v>0</v>
      </c>
      <c r="H51" s="5">
        <v>1</v>
      </c>
      <c r="I51" s="4"/>
      <c r="J51" s="2"/>
      <c r="K51" s="2"/>
      <c r="L51" s="2"/>
      <c r="M51" s="2"/>
      <c r="N51" s="2"/>
      <c r="O51" s="2"/>
      <c r="P51" s="4"/>
      <c r="Q51" s="2"/>
      <c r="R51" s="2"/>
      <c r="S51" s="3"/>
    </row>
    <row r="52" spans="1:19" ht="18">
      <c r="A52" s="44" t="s">
        <v>106</v>
      </c>
      <c r="B52" s="44" t="str">
        <f>VLOOKUP(ConstructionState[[#This Row],[Building or Upgrade]],Upgrades[],2,FALSE)</f>
        <v>Building</v>
      </c>
      <c r="C52" s="44" t="str">
        <f>VLOOKUP(ConstructionState[Building or Upgrade],Upgrades[],3,FALSE)</f>
        <v>Dark Elixir</v>
      </c>
      <c r="D52" s="45" t="str">
        <f>IF(COUNTIF(Skips,ConstructionState[[#This Row],[Building or Upgrade]]),"IGNORE",ConstructionState[Kind]&amp;"-"&amp;ConstructionState[Resource])</f>
        <v>Building-Dark Elixir</v>
      </c>
      <c r="E52" s="50">
        <f ca="1">IF(AND(ConstructionState[[#This Row],[Kind]]="Upgrade",LabLevel=0),0,VLOOKUP(ConstructionState[Building or Upgrade],QuantAvail[],1+IF(ConstructionState[[#This Row],[Kind]]="Upgrade",LabLevel,THLevel),FALSE))</f>
        <v>0</v>
      </c>
      <c r="F52" s="50">
        <f ca="1">IF(AND(ConstructionState[[#This Row],[Kind]]="Upgrade",LabLevel=0),0,VLOOKUP(ConstructionState[Building or Upgrade],MaxLevel[],1+IF(ConstructionState[[#This Row],[Kind]]="Upgrade",LabLevel,THLevel),FALSE))</f>
        <v>0</v>
      </c>
      <c r="G52" s="50">
        <f ca="1">ConstructionState[[#This Row],[Available]]-SUM(ConstructionState[[#This Row],[1]:[12]])</f>
        <v>0</v>
      </c>
      <c r="H52" s="5"/>
      <c r="I52" s="4"/>
      <c r="J52" s="2"/>
      <c r="K52" s="2"/>
      <c r="L52" s="2"/>
      <c r="M52" s="2"/>
      <c r="N52" s="2"/>
      <c r="O52" s="2"/>
      <c r="P52" s="4"/>
      <c r="Q52" s="2"/>
      <c r="R52" s="2"/>
      <c r="S52" s="3"/>
    </row>
    <row r="53" spans="1:19" ht="18">
      <c r="A53" s="44" t="s">
        <v>82</v>
      </c>
      <c r="B53" s="44" t="str">
        <f>VLOOKUP(ConstructionState[[#This Row],[Building or Upgrade]],Upgrades[],2,FALSE)</f>
        <v>Upgrade</v>
      </c>
      <c r="C53" s="44" t="str">
        <f>VLOOKUP(ConstructionState[Building or Upgrade],Upgrades[],3,FALSE)</f>
        <v>Elixir</v>
      </c>
      <c r="D53" s="45" t="str">
        <f>IF(COUNTIF(Skips,ConstructionState[[#This Row],[Building or Upgrade]]),"IGNORE",ConstructionState[Kind]&amp;"-"&amp;ConstructionState[Resource])</f>
        <v>Upgrade-Elixir</v>
      </c>
      <c r="E53" s="50">
        <f ca="1">IF(AND(ConstructionState[[#This Row],[Kind]]="Upgrade",LabLevel=0),0,VLOOKUP(ConstructionState[Building or Upgrade],QuantAvail[],1+IF(ConstructionState[[#This Row],[Kind]]="Upgrade",LabLevel,THLevel),FALSE))</f>
        <v>1</v>
      </c>
      <c r="F53" s="50">
        <f ca="1">IF(AND(ConstructionState[[#This Row],[Kind]]="Upgrade",LabLevel=0),0,VLOOKUP(ConstructionState[Building or Upgrade],MaxLevel[],1+IF(ConstructionState[[#This Row],[Kind]]="Upgrade",LabLevel,THLevel),FALSE))</f>
        <v>4</v>
      </c>
      <c r="G53" s="50">
        <f ca="1">ConstructionState[[#This Row],[Available]]-SUM(ConstructionState[[#This Row],[1]:[12]])</f>
        <v>0</v>
      </c>
      <c r="H53" s="5"/>
      <c r="I53" s="4"/>
      <c r="J53" s="2"/>
      <c r="K53" s="2">
        <v>1</v>
      </c>
      <c r="L53" s="2"/>
      <c r="M53" s="2"/>
      <c r="N53" s="2"/>
      <c r="O53" s="2"/>
      <c r="P53" s="4"/>
      <c r="Q53" s="2"/>
      <c r="R53" s="2"/>
      <c r="S53" s="3"/>
    </row>
    <row r="54" spans="1:19" ht="18">
      <c r="A54" s="44" t="s">
        <v>83</v>
      </c>
      <c r="B54" s="44" t="str">
        <f>VLOOKUP(ConstructionState[[#This Row],[Building or Upgrade]],Upgrades[],2,FALSE)</f>
        <v>Upgrade</v>
      </c>
      <c r="C54" s="44" t="str">
        <f>VLOOKUP(ConstructionState[Building or Upgrade],Upgrades[],3,FALSE)</f>
        <v>Elixir</v>
      </c>
      <c r="D54" s="45" t="str">
        <f>IF(COUNTIF(Skips,ConstructionState[[#This Row],[Building or Upgrade]]),"IGNORE",ConstructionState[Kind]&amp;"-"&amp;ConstructionState[Resource])</f>
        <v>Upgrade-Elixir</v>
      </c>
      <c r="E54" s="50">
        <f ca="1">IF(AND(ConstructionState[[#This Row],[Kind]]="Upgrade",LabLevel=0),0,VLOOKUP(ConstructionState[Building or Upgrade],QuantAvail[],1+IF(ConstructionState[[#This Row],[Kind]]="Upgrade",LabLevel,THLevel),FALSE))</f>
        <v>1</v>
      </c>
      <c r="F54" s="50">
        <f ca="1">IF(AND(ConstructionState[[#This Row],[Kind]]="Upgrade",LabLevel=0),0,VLOOKUP(ConstructionState[Building or Upgrade],MaxLevel[],1+IF(ConstructionState[[#This Row],[Kind]]="Upgrade",LabLevel,THLevel),FALSE))</f>
        <v>4</v>
      </c>
      <c r="G54" s="50">
        <f ca="1">ConstructionState[[#This Row],[Available]]-SUM(ConstructionState[[#This Row],[1]:[12]])</f>
        <v>0</v>
      </c>
      <c r="H54" s="5"/>
      <c r="I54" s="4"/>
      <c r="J54" s="2"/>
      <c r="K54" s="2">
        <v>1</v>
      </c>
      <c r="L54" s="2"/>
      <c r="M54" s="2"/>
      <c r="N54" s="2"/>
      <c r="O54" s="2"/>
      <c r="P54" s="4"/>
      <c r="Q54" s="2"/>
      <c r="R54" s="2"/>
      <c r="S54" s="3"/>
    </row>
    <row r="55" spans="1:19" ht="18">
      <c r="A55" s="44" t="s">
        <v>84</v>
      </c>
      <c r="B55" s="44" t="str">
        <f>VLOOKUP(ConstructionState[[#This Row],[Building or Upgrade]],Upgrades[],2,FALSE)</f>
        <v>Upgrade</v>
      </c>
      <c r="C55" s="44" t="str">
        <f>VLOOKUP(ConstructionState[Building or Upgrade],Upgrades[],3,FALSE)</f>
        <v>Elixir</v>
      </c>
      <c r="D55" s="45" t="str">
        <f>IF(COUNTIF(Skips,ConstructionState[[#This Row],[Building or Upgrade]]),"IGNORE",ConstructionState[Kind]&amp;"-"&amp;ConstructionState[Resource])</f>
        <v>Upgrade-Elixir</v>
      </c>
      <c r="E55" s="50">
        <f ca="1">IF(AND(ConstructionState[[#This Row],[Kind]]="Upgrade",LabLevel=0),0,VLOOKUP(ConstructionState[Building or Upgrade],QuantAvail[],1+IF(ConstructionState[[#This Row],[Kind]]="Upgrade",LabLevel,THLevel),FALSE))</f>
        <v>1</v>
      </c>
      <c r="F55" s="50">
        <f ca="1">IF(AND(ConstructionState[[#This Row],[Kind]]="Upgrade",LabLevel=0),0,VLOOKUP(ConstructionState[Building or Upgrade],MaxLevel[],1+IF(ConstructionState[[#This Row],[Kind]]="Upgrade",LabLevel,THLevel),FALSE))</f>
        <v>4</v>
      </c>
      <c r="G55" s="50">
        <f ca="1">ConstructionState[[#This Row],[Available]]-SUM(ConstructionState[[#This Row],[1]:[12]])</f>
        <v>0</v>
      </c>
      <c r="H55" s="5"/>
      <c r="I55" s="4"/>
      <c r="J55" s="2"/>
      <c r="K55" s="2">
        <v>1</v>
      </c>
      <c r="L55" s="2"/>
      <c r="M55" s="2"/>
      <c r="N55" s="2"/>
      <c r="O55" s="2"/>
      <c r="P55" s="4"/>
      <c r="Q55" s="2"/>
      <c r="R55" s="2"/>
      <c r="S55" s="3"/>
    </row>
    <row r="56" spans="1:19" ht="18">
      <c r="A56" s="44" t="s">
        <v>85</v>
      </c>
      <c r="B56" s="44" t="str">
        <f>VLOOKUP(ConstructionState[[#This Row],[Building or Upgrade]],Upgrades[],2,FALSE)</f>
        <v>Upgrade</v>
      </c>
      <c r="C56" s="44" t="str">
        <f>VLOOKUP(ConstructionState[Building or Upgrade],Upgrades[],3,FALSE)</f>
        <v>Elixir</v>
      </c>
      <c r="D56" s="45" t="str">
        <f>IF(COUNTIF(Skips,ConstructionState[[#This Row],[Building or Upgrade]]),"IGNORE",ConstructionState[Kind]&amp;"-"&amp;ConstructionState[Resource])</f>
        <v>Upgrade-Elixir</v>
      </c>
      <c r="E56" s="50">
        <f ca="1">IF(AND(ConstructionState[[#This Row],[Kind]]="Upgrade",LabLevel=0),0,VLOOKUP(ConstructionState[Building or Upgrade],QuantAvail[],1+IF(ConstructionState[[#This Row],[Kind]]="Upgrade",LabLevel,THLevel),FALSE))</f>
        <v>1</v>
      </c>
      <c r="F56" s="50">
        <f ca="1">IF(AND(ConstructionState[[#This Row],[Kind]]="Upgrade",LabLevel=0),0,VLOOKUP(ConstructionState[Building or Upgrade],MaxLevel[],1+IF(ConstructionState[[#This Row],[Kind]]="Upgrade",LabLevel,THLevel),FALSE))</f>
        <v>4</v>
      </c>
      <c r="G56" s="50">
        <f ca="1">ConstructionState[[#This Row],[Available]]-SUM(ConstructionState[[#This Row],[1]:[12]])</f>
        <v>0</v>
      </c>
      <c r="H56" s="5"/>
      <c r="I56" s="4"/>
      <c r="J56" s="2"/>
      <c r="K56" s="2">
        <v>1</v>
      </c>
      <c r="L56" s="2"/>
      <c r="M56" s="2"/>
      <c r="N56" s="2"/>
      <c r="O56" s="2"/>
      <c r="P56" s="4"/>
      <c r="Q56" s="2"/>
      <c r="R56" s="2"/>
      <c r="S56" s="3"/>
    </row>
    <row r="57" spans="1:19" ht="18">
      <c r="A57" s="44" t="s">
        <v>86</v>
      </c>
      <c r="B57" s="44" t="str">
        <f>VLOOKUP(ConstructionState[[#This Row],[Building or Upgrade]],Upgrades[],2,FALSE)</f>
        <v>Upgrade</v>
      </c>
      <c r="C57" s="44" t="str">
        <f>VLOOKUP(ConstructionState[Building or Upgrade],Upgrades[],3,FALSE)</f>
        <v>Elixir</v>
      </c>
      <c r="D57" s="45" t="str">
        <f>IF(COUNTIF(Skips,ConstructionState[[#This Row],[Building or Upgrade]]),"IGNORE",ConstructionState[Kind]&amp;"-"&amp;ConstructionState[Resource])</f>
        <v>Upgrade-Elixir</v>
      </c>
      <c r="E57" s="50">
        <f ca="1">IF(AND(ConstructionState[[#This Row],[Kind]]="Upgrade",LabLevel=0),0,VLOOKUP(ConstructionState[Building or Upgrade],QuantAvail[],1+IF(ConstructionState[[#This Row],[Kind]]="Upgrade",LabLevel,THLevel),FALSE))</f>
        <v>1</v>
      </c>
      <c r="F57" s="50">
        <f ca="1">IF(AND(ConstructionState[[#This Row],[Kind]]="Upgrade",LabLevel=0),0,VLOOKUP(ConstructionState[Building or Upgrade],MaxLevel[],1+IF(ConstructionState[[#This Row],[Kind]]="Upgrade",LabLevel,THLevel),FALSE))</f>
        <v>4</v>
      </c>
      <c r="G57" s="50">
        <f ca="1">ConstructionState[[#This Row],[Available]]-SUM(ConstructionState[[#This Row],[1]:[12]])</f>
        <v>0</v>
      </c>
      <c r="H57" s="5"/>
      <c r="I57" s="4"/>
      <c r="J57" s="2"/>
      <c r="K57" s="2">
        <v>1</v>
      </c>
      <c r="L57" s="2"/>
      <c r="M57" s="2"/>
      <c r="N57" s="2"/>
      <c r="O57" s="2"/>
      <c r="P57" s="4"/>
      <c r="Q57" s="2"/>
      <c r="R57" s="2"/>
      <c r="S57" s="3"/>
    </row>
    <row r="58" spans="1:19" ht="18">
      <c r="A58" s="44" t="s">
        <v>87</v>
      </c>
      <c r="B58" s="44" t="str">
        <f>VLOOKUP(ConstructionState[[#This Row],[Building or Upgrade]],Upgrades[],2,FALSE)</f>
        <v>Upgrade</v>
      </c>
      <c r="C58" s="44" t="str">
        <f>VLOOKUP(ConstructionState[Building or Upgrade],Upgrades[],3,FALSE)</f>
        <v>Elixir</v>
      </c>
      <c r="D58" s="45" t="str">
        <f>IF(COUNTIF(Skips,ConstructionState[[#This Row],[Building or Upgrade]]),"IGNORE",ConstructionState[Kind]&amp;"-"&amp;ConstructionState[Resource])</f>
        <v>IGNORE</v>
      </c>
      <c r="E58" s="50">
        <f ca="1">IF(AND(ConstructionState[[#This Row],[Kind]]="Upgrade",LabLevel=0),0,VLOOKUP(ConstructionState[Building or Upgrade],QuantAvail[],1+IF(ConstructionState[[#This Row],[Kind]]="Upgrade",LabLevel,THLevel),FALSE))</f>
        <v>1</v>
      </c>
      <c r="F58" s="50">
        <f ca="1">IF(AND(ConstructionState[[#This Row],[Kind]]="Upgrade",LabLevel=0),0,VLOOKUP(ConstructionState[Building or Upgrade],MaxLevel[],1+IF(ConstructionState[[#This Row],[Kind]]="Upgrade",LabLevel,THLevel),FALSE))</f>
        <v>4</v>
      </c>
      <c r="G58" s="50">
        <f ca="1">ConstructionState[[#This Row],[Available]]-SUM(ConstructionState[[#This Row],[1]:[12]])</f>
        <v>0</v>
      </c>
      <c r="H58" s="5"/>
      <c r="I58" s="4">
        <v>1</v>
      </c>
      <c r="J58" s="2"/>
      <c r="K58" s="2"/>
      <c r="L58" s="2"/>
      <c r="M58" s="2"/>
      <c r="N58" s="2"/>
      <c r="O58" s="2"/>
      <c r="P58" s="4"/>
      <c r="Q58" s="2"/>
      <c r="R58" s="2"/>
      <c r="S58" s="3"/>
    </row>
    <row r="59" spans="1:19" ht="18">
      <c r="A59" s="44" t="s">
        <v>88</v>
      </c>
      <c r="B59" s="44" t="str">
        <f>VLOOKUP(ConstructionState[[#This Row],[Building or Upgrade]],Upgrades[],2,FALSE)</f>
        <v>Upgrade</v>
      </c>
      <c r="C59" s="44" t="str">
        <f>VLOOKUP(ConstructionState[Building or Upgrade],Upgrades[],3,FALSE)</f>
        <v>Elixir</v>
      </c>
      <c r="D59" s="45" t="str">
        <f>IF(COUNTIF(Skips,ConstructionState[[#This Row],[Building or Upgrade]]),"IGNORE",ConstructionState[Kind]&amp;"-"&amp;ConstructionState[Resource])</f>
        <v>Upgrade-Elixir</v>
      </c>
      <c r="E59" s="50">
        <f ca="1">IF(AND(ConstructionState[[#This Row],[Kind]]="Upgrade",LabLevel=0),0,VLOOKUP(ConstructionState[Building or Upgrade],QuantAvail[],1+IF(ConstructionState[[#This Row],[Kind]]="Upgrade",LabLevel,THLevel),FALSE))</f>
        <v>1</v>
      </c>
      <c r="F59" s="50">
        <f ca="1">IF(AND(ConstructionState[[#This Row],[Kind]]="Upgrade",LabLevel=0),0,VLOOKUP(ConstructionState[Building or Upgrade],MaxLevel[],1+IF(ConstructionState[[#This Row],[Kind]]="Upgrade",LabLevel,THLevel),FALSE))</f>
        <v>4</v>
      </c>
      <c r="G59" s="50">
        <f ca="1">ConstructionState[[#This Row],[Available]]-SUM(ConstructionState[[#This Row],[1]:[12]])</f>
        <v>0</v>
      </c>
      <c r="H59" s="5"/>
      <c r="I59" s="4"/>
      <c r="J59" s="2">
        <v>1</v>
      </c>
      <c r="K59" s="2"/>
      <c r="L59" s="2"/>
      <c r="M59" s="2"/>
      <c r="N59" s="2"/>
      <c r="O59" s="2"/>
      <c r="P59" s="4"/>
      <c r="Q59" s="2"/>
      <c r="R59" s="2"/>
      <c r="S59" s="3"/>
    </row>
    <row r="60" spans="1:19" ht="18">
      <c r="A60" s="44" t="s">
        <v>89</v>
      </c>
      <c r="B60" s="44" t="str">
        <f>VLOOKUP(ConstructionState[[#This Row],[Building or Upgrade]],Upgrades[],2,FALSE)</f>
        <v>Upgrade</v>
      </c>
      <c r="C60" s="44" t="str">
        <f>VLOOKUP(ConstructionState[Building or Upgrade],Upgrades[],3,FALSE)</f>
        <v>Elixir</v>
      </c>
      <c r="D60" s="45" t="str">
        <f>IF(COUNTIF(Skips,ConstructionState[[#This Row],[Building or Upgrade]]),"IGNORE",ConstructionState[Kind]&amp;"-"&amp;ConstructionState[Resource])</f>
        <v>Upgrade-Elixir</v>
      </c>
      <c r="E60" s="50">
        <f ca="1">IF(AND(ConstructionState[[#This Row],[Kind]]="Upgrade",LabLevel=0),0,VLOOKUP(ConstructionState[Building or Upgrade],QuantAvail[],1+IF(ConstructionState[[#This Row],[Kind]]="Upgrade",LabLevel,THLevel),FALSE))</f>
        <v>1</v>
      </c>
      <c r="F60" s="50">
        <f ca="1">IF(AND(ConstructionState[[#This Row],[Kind]]="Upgrade",LabLevel=0),0,VLOOKUP(ConstructionState[Building or Upgrade],MaxLevel[],1+IF(ConstructionState[[#This Row],[Kind]]="Upgrade",LabLevel,THLevel),FALSE))</f>
        <v>2</v>
      </c>
      <c r="G60" s="50">
        <f ca="1">ConstructionState[[#This Row],[Available]]-SUM(ConstructionState[[#This Row],[1]:[12]])</f>
        <v>0</v>
      </c>
      <c r="H60" s="5"/>
      <c r="I60" s="4">
        <v>1</v>
      </c>
      <c r="J60" s="2"/>
      <c r="K60" s="2"/>
      <c r="L60" s="2"/>
      <c r="M60" s="2"/>
      <c r="N60" s="2"/>
      <c r="O60" s="2"/>
      <c r="P60" s="4"/>
      <c r="Q60" s="2"/>
      <c r="R60" s="2"/>
      <c r="S60" s="3"/>
    </row>
    <row r="61" spans="1:19" ht="18">
      <c r="A61" s="44" t="s">
        <v>90</v>
      </c>
      <c r="B61" s="44" t="str">
        <f>VLOOKUP(ConstructionState[[#This Row],[Building or Upgrade]],Upgrades[],2,FALSE)</f>
        <v>Upgrade</v>
      </c>
      <c r="C61" s="44" t="str">
        <f>VLOOKUP(ConstructionState[Building or Upgrade],Upgrades[],3,FALSE)</f>
        <v>Elixir</v>
      </c>
      <c r="D61" s="45" t="str">
        <f>IF(COUNTIF(Skips,ConstructionState[[#This Row],[Building or Upgrade]]),"IGNORE",ConstructionState[Kind]&amp;"-"&amp;ConstructionState[Resource])</f>
        <v>Upgrade-Elixir</v>
      </c>
      <c r="E61" s="50">
        <f ca="1">IF(AND(ConstructionState[[#This Row],[Kind]]="Upgrade",LabLevel=0),0,VLOOKUP(ConstructionState[Building or Upgrade],QuantAvail[],1+IF(ConstructionState[[#This Row],[Kind]]="Upgrade",LabLevel,THLevel),FALSE))</f>
        <v>1</v>
      </c>
      <c r="F61" s="50">
        <f ca="1">IF(AND(ConstructionState[[#This Row],[Kind]]="Upgrade",LabLevel=0),0,VLOOKUP(ConstructionState[Building or Upgrade],MaxLevel[],1+IF(ConstructionState[[#This Row],[Kind]]="Upgrade",LabLevel,THLevel),FALSE))</f>
        <v>2</v>
      </c>
      <c r="G61" s="50">
        <f ca="1">ConstructionState[[#This Row],[Available]]-SUM(ConstructionState[[#This Row],[1]:[12]])</f>
        <v>1</v>
      </c>
      <c r="H61" s="5"/>
      <c r="I61" s="4"/>
      <c r="J61" s="2"/>
      <c r="K61" s="2"/>
      <c r="L61" s="2"/>
      <c r="M61" s="2"/>
      <c r="N61" s="2"/>
      <c r="O61" s="2"/>
      <c r="P61" s="4"/>
      <c r="Q61" s="2"/>
      <c r="R61" s="2"/>
      <c r="S61" s="3"/>
    </row>
    <row r="62" spans="1:19" ht="18">
      <c r="A62" s="44" t="s">
        <v>91</v>
      </c>
      <c r="B62" s="44" t="str">
        <f>VLOOKUP(ConstructionState[[#This Row],[Building or Upgrade]],Upgrades[],2,FALSE)</f>
        <v>Upgrade</v>
      </c>
      <c r="C62" s="44" t="str">
        <f>VLOOKUP(ConstructionState[Building or Upgrade],Upgrades[],3,FALSE)</f>
        <v>Elixir</v>
      </c>
      <c r="D62" s="45" t="str">
        <f>IF(COUNTIF(Skips,ConstructionState[[#This Row],[Building or Upgrade]]),"IGNORE",ConstructionState[Kind]&amp;"-"&amp;ConstructionState[Resource])</f>
        <v>Upgrade-Elixir</v>
      </c>
      <c r="E62" s="50">
        <f ca="1">IF(AND(ConstructionState[[#This Row],[Kind]]="Upgrade",LabLevel=0),0,VLOOKUP(ConstructionState[Building or Upgrade],QuantAvail[],1+IF(ConstructionState[[#This Row],[Kind]]="Upgrade",LabLevel,THLevel),FALSE))</f>
        <v>0</v>
      </c>
      <c r="F62" s="50">
        <f ca="1">IF(AND(ConstructionState[[#This Row],[Kind]]="Upgrade",LabLevel=0),0,VLOOKUP(ConstructionState[Building or Upgrade],MaxLevel[],1+IF(ConstructionState[[#This Row],[Kind]]="Upgrade",LabLevel,THLevel),FALSE))</f>
        <v>0</v>
      </c>
      <c r="G62" s="50">
        <f ca="1">ConstructionState[[#This Row],[Available]]-SUM(ConstructionState[[#This Row],[1]:[12]])</f>
        <v>0</v>
      </c>
      <c r="H62" s="5"/>
      <c r="I62" s="4"/>
      <c r="J62" s="2"/>
      <c r="K62" s="2"/>
      <c r="L62" s="2"/>
      <c r="M62" s="2"/>
      <c r="N62" s="2"/>
      <c r="O62" s="2"/>
      <c r="P62" s="4"/>
      <c r="Q62" s="2"/>
      <c r="R62" s="2"/>
      <c r="S62" s="3"/>
    </row>
    <row r="63" spans="1:19" ht="18">
      <c r="A63" s="44" t="s">
        <v>92</v>
      </c>
      <c r="B63" s="44" t="str">
        <f>VLOOKUP(ConstructionState[[#This Row],[Building or Upgrade]],Upgrades[],2,FALSE)</f>
        <v>Upgrade</v>
      </c>
      <c r="C63" s="44" t="str">
        <f>VLOOKUP(ConstructionState[Building or Upgrade],Upgrades[],3,FALSE)</f>
        <v>Elixir</v>
      </c>
      <c r="D63" s="45" t="str">
        <f>IF(COUNTIF(Skips,ConstructionState[[#This Row],[Building or Upgrade]]),"IGNORE",ConstructionState[Kind]&amp;"-"&amp;ConstructionState[Resource])</f>
        <v>Upgrade-Elixir</v>
      </c>
      <c r="E63" s="50">
        <f ca="1">IF(AND(ConstructionState[[#This Row],[Kind]]="Upgrade",LabLevel=0),0,VLOOKUP(ConstructionState[Building or Upgrade],QuantAvail[],1+IF(ConstructionState[[#This Row],[Kind]]="Upgrade",LabLevel,THLevel),FALSE))</f>
        <v>1</v>
      </c>
      <c r="F63" s="50">
        <f ca="1">IF(AND(ConstructionState[[#This Row],[Kind]]="Upgrade",LabLevel=0),0,VLOOKUP(ConstructionState[Building or Upgrade],MaxLevel[],1+IF(ConstructionState[[#This Row],[Kind]]="Upgrade",LabLevel,THLevel),FALSE))</f>
        <v>4</v>
      </c>
      <c r="G63" s="50">
        <f ca="1">ConstructionState[[#This Row],[Available]]-SUM(ConstructionState[[#This Row],[1]:[12]])</f>
        <v>0</v>
      </c>
      <c r="H63" s="5"/>
      <c r="I63" s="4"/>
      <c r="J63" s="2"/>
      <c r="K63" s="2">
        <v>1</v>
      </c>
      <c r="L63" s="2"/>
      <c r="M63" s="2"/>
      <c r="N63" s="2"/>
      <c r="O63" s="2"/>
      <c r="P63" s="4"/>
      <c r="Q63" s="2"/>
      <c r="R63" s="2"/>
      <c r="S63" s="3"/>
    </row>
    <row r="64" spans="1:19" ht="18">
      <c r="A64" s="44" t="s">
        <v>93</v>
      </c>
      <c r="B64" s="44" t="str">
        <f>VLOOKUP(ConstructionState[[#This Row],[Building or Upgrade]],Upgrades[],2,FALSE)</f>
        <v>Upgrade</v>
      </c>
      <c r="C64" s="44" t="str">
        <f>VLOOKUP(ConstructionState[Building or Upgrade],Upgrades[],3,FALSE)</f>
        <v>Elixir</v>
      </c>
      <c r="D64" s="45" t="str">
        <f>IF(COUNTIF(Skips,ConstructionState[[#This Row],[Building or Upgrade]]),"IGNORE",ConstructionState[Kind]&amp;"-"&amp;ConstructionState[Resource])</f>
        <v>Upgrade-Elixir</v>
      </c>
      <c r="E64" s="50">
        <f ca="1">IF(AND(ConstructionState[[#This Row],[Kind]]="Upgrade",LabLevel=0),0,VLOOKUP(ConstructionState[Building or Upgrade],QuantAvail[],1+IF(ConstructionState[[#This Row],[Kind]]="Upgrade",LabLevel,THLevel),FALSE))</f>
        <v>1</v>
      </c>
      <c r="F64" s="50">
        <f ca="1">IF(AND(ConstructionState[[#This Row],[Kind]]="Upgrade",LabLevel=0),0,VLOOKUP(ConstructionState[Building or Upgrade],MaxLevel[],1+IF(ConstructionState[[#This Row],[Kind]]="Upgrade",LabLevel,THLevel),FALSE))</f>
        <v>4</v>
      </c>
      <c r="G64" s="50">
        <f ca="1">ConstructionState[[#This Row],[Available]]-SUM(ConstructionState[[#This Row],[1]:[12]])</f>
        <v>0</v>
      </c>
      <c r="H64" s="5"/>
      <c r="I64" s="4"/>
      <c r="J64" s="2"/>
      <c r="K64" s="2">
        <v>1</v>
      </c>
      <c r="L64" s="2"/>
      <c r="M64" s="2"/>
      <c r="N64" s="2"/>
      <c r="O64" s="2"/>
      <c r="P64" s="4"/>
      <c r="Q64" s="2"/>
      <c r="R64" s="2"/>
      <c r="S64" s="3"/>
    </row>
    <row r="65" spans="1:19" ht="18">
      <c r="A65" s="44" t="s">
        <v>94</v>
      </c>
      <c r="B65" s="44" t="str">
        <f>VLOOKUP(ConstructionState[[#This Row],[Building or Upgrade]],Upgrades[],2,FALSE)</f>
        <v>Upgrade</v>
      </c>
      <c r="C65" s="44" t="str">
        <f>VLOOKUP(ConstructionState[Building or Upgrade],Upgrades[],3,FALSE)</f>
        <v>Elixir</v>
      </c>
      <c r="D65" s="45" t="str">
        <f>IF(COUNTIF(Skips,ConstructionState[[#This Row],[Building or Upgrade]]),"IGNORE",ConstructionState[Kind]&amp;"-"&amp;ConstructionState[Resource])</f>
        <v>Upgrade-Elixir</v>
      </c>
      <c r="E65" s="50">
        <f ca="1">IF(AND(ConstructionState[[#This Row],[Kind]]="Upgrade",LabLevel=0),0,VLOOKUP(ConstructionState[Building or Upgrade],QuantAvail[],1+IF(ConstructionState[[#This Row],[Kind]]="Upgrade",LabLevel,THLevel),FALSE))</f>
        <v>1</v>
      </c>
      <c r="F65" s="50">
        <f ca="1">IF(AND(ConstructionState[[#This Row],[Kind]]="Upgrade",LabLevel=0),0,VLOOKUP(ConstructionState[Building or Upgrade],MaxLevel[],1+IF(ConstructionState[[#This Row],[Kind]]="Upgrade",LabLevel,THLevel),FALSE))</f>
        <v>4</v>
      </c>
      <c r="G65" s="50">
        <f ca="1">ConstructionState[[#This Row],[Available]]-SUM(ConstructionState[[#This Row],[1]:[12]])</f>
        <v>0</v>
      </c>
      <c r="H65" s="5"/>
      <c r="I65" s="4">
        <v>1</v>
      </c>
      <c r="J65" s="2"/>
      <c r="K65" s="2"/>
      <c r="L65" s="2"/>
      <c r="M65" s="2"/>
      <c r="N65" s="2"/>
      <c r="O65" s="2"/>
      <c r="P65" s="4"/>
      <c r="Q65" s="2"/>
      <c r="R65" s="2"/>
      <c r="S65" s="3"/>
    </row>
    <row r="66" spans="1:19" ht="18">
      <c r="A66" s="44" t="s">
        <v>95</v>
      </c>
      <c r="B66" s="44" t="str">
        <f>VLOOKUP(ConstructionState[[#This Row],[Building or Upgrade]],Upgrades[],2,FALSE)</f>
        <v>Upgrade</v>
      </c>
      <c r="C66" s="44" t="str">
        <f>VLOOKUP(ConstructionState[Building or Upgrade],Upgrades[],3,FALSE)</f>
        <v>Elixir</v>
      </c>
      <c r="D66" s="45" t="str">
        <f>IF(COUNTIF(Skips,ConstructionState[[#This Row],[Building or Upgrade]]),"IGNORE",ConstructionState[Kind]&amp;"-"&amp;ConstructionState[Resource])</f>
        <v>Upgrade-Elixir</v>
      </c>
      <c r="E66" s="50">
        <f ca="1">IF(AND(ConstructionState[[#This Row],[Kind]]="Upgrade",LabLevel=0),0,VLOOKUP(ConstructionState[Building or Upgrade],QuantAvail[],1+IF(ConstructionState[[#This Row],[Kind]]="Upgrade",LabLevel,THLevel),FALSE))</f>
        <v>0</v>
      </c>
      <c r="F66" s="50">
        <f ca="1">IF(AND(ConstructionState[[#This Row],[Kind]]="Upgrade",LabLevel=0),0,VLOOKUP(ConstructionState[Building or Upgrade],MaxLevel[],1+IF(ConstructionState[[#This Row],[Kind]]="Upgrade",LabLevel,THLevel),FALSE))</f>
        <v>0</v>
      </c>
      <c r="G66" s="50">
        <f ca="1">ConstructionState[[#This Row],[Available]]-SUM(ConstructionState[[#This Row],[1]:[12]])</f>
        <v>0</v>
      </c>
      <c r="H66" s="5"/>
      <c r="I66" s="4"/>
      <c r="J66" s="2"/>
      <c r="K66" s="2"/>
      <c r="L66" s="2"/>
      <c r="M66" s="2"/>
      <c r="N66" s="2"/>
      <c r="O66" s="2"/>
      <c r="P66" s="4"/>
      <c r="Q66" s="2"/>
      <c r="R66" s="2"/>
      <c r="S66" s="3"/>
    </row>
    <row r="67" spans="1:19" ht="18">
      <c r="A67" s="44" t="s">
        <v>96</v>
      </c>
      <c r="B67" s="44" t="str">
        <f>VLOOKUP(ConstructionState[[#This Row],[Building or Upgrade]],Upgrades[],2,FALSE)</f>
        <v>Upgrade</v>
      </c>
      <c r="C67" s="44" t="str">
        <f>VLOOKUP(ConstructionState[Building or Upgrade],Upgrades[],3,FALSE)</f>
        <v>Elixir</v>
      </c>
      <c r="D67" s="45" t="str">
        <f>IF(COUNTIF(Skips,ConstructionState[[#This Row],[Building or Upgrade]]),"IGNORE",ConstructionState[Kind]&amp;"-"&amp;ConstructionState[Resource])</f>
        <v>Upgrade-Elixir</v>
      </c>
      <c r="E67" s="50">
        <f ca="1">IF(AND(ConstructionState[[#This Row],[Kind]]="Upgrade",LabLevel=0),0,VLOOKUP(ConstructionState[Building or Upgrade],QuantAvail[],1+IF(ConstructionState[[#This Row],[Kind]]="Upgrade",LabLevel,THLevel),FALSE))</f>
        <v>0</v>
      </c>
      <c r="F67" s="50">
        <f ca="1">IF(AND(ConstructionState[[#This Row],[Kind]]="Upgrade",LabLevel=0),0,VLOOKUP(ConstructionState[Building or Upgrade],MaxLevel[],1+IF(ConstructionState[[#This Row],[Kind]]="Upgrade",LabLevel,THLevel),FALSE))</f>
        <v>0</v>
      </c>
      <c r="G67" s="50">
        <f ca="1">ConstructionState[[#This Row],[Available]]-SUM(ConstructionState[[#This Row],[1]:[12]])</f>
        <v>0</v>
      </c>
      <c r="H67" s="5"/>
      <c r="I67" s="4"/>
      <c r="J67" s="2"/>
      <c r="K67" s="2"/>
      <c r="L67" s="2"/>
      <c r="M67" s="2"/>
      <c r="N67" s="2"/>
      <c r="O67" s="2"/>
      <c r="P67" s="4"/>
      <c r="Q67" s="2"/>
      <c r="R67" s="2"/>
      <c r="S67" s="3"/>
    </row>
    <row r="68" spans="1:19" ht="18">
      <c r="A68" s="44" t="s">
        <v>97</v>
      </c>
      <c r="B68" s="44" t="str">
        <f>VLOOKUP(ConstructionState[[#This Row],[Building or Upgrade]],Upgrades[],2,FALSE)</f>
        <v>Upgrade</v>
      </c>
      <c r="C68" s="44" t="str">
        <f>VLOOKUP(ConstructionState[Building or Upgrade],Upgrades[],3,FALSE)</f>
        <v>Dark Elixir</v>
      </c>
      <c r="D68" s="45" t="str">
        <f>IF(COUNTIF(Skips,ConstructionState[[#This Row],[Building or Upgrade]]),"IGNORE",ConstructionState[Kind]&amp;"-"&amp;ConstructionState[Resource])</f>
        <v>IGNORE</v>
      </c>
      <c r="E68" s="50">
        <f ca="1">IF(AND(ConstructionState[[#This Row],[Kind]]="Upgrade",LabLevel=0),0,VLOOKUP(ConstructionState[Building or Upgrade],QuantAvail[],1+IF(ConstructionState[[#This Row],[Kind]]="Upgrade",LabLevel,THLevel),FALSE))</f>
        <v>1</v>
      </c>
      <c r="F68" s="50">
        <f ca="1">IF(AND(ConstructionState[[#This Row],[Kind]]="Upgrade",LabLevel=0),0,VLOOKUP(ConstructionState[Building or Upgrade],MaxLevel[],1+IF(ConstructionState[[#This Row],[Kind]]="Upgrade",LabLevel,THLevel),FALSE))</f>
        <v>2</v>
      </c>
      <c r="G68" s="50">
        <f ca="1">ConstructionState[[#This Row],[Available]]-SUM(ConstructionState[[#This Row],[1]:[12]])</f>
        <v>1</v>
      </c>
      <c r="H68" s="5"/>
      <c r="I68" s="4"/>
      <c r="J68" s="2"/>
      <c r="K68" s="2"/>
      <c r="L68" s="2"/>
      <c r="M68" s="2"/>
      <c r="N68" s="2"/>
      <c r="O68" s="2"/>
      <c r="P68" s="4"/>
      <c r="Q68" s="2"/>
      <c r="R68" s="2"/>
      <c r="S68" s="3"/>
    </row>
    <row r="69" spans="1:19" ht="18">
      <c r="A69" s="44" t="s">
        <v>98</v>
      </c>
      <c r="B69" s="44" t="str">
        <f>VLOOKUP(ConstructionState[[#This Row],[Building or Upgrade]],Upgrades[],2,FALSE)</f>
        <v>Upgrade</v>
      </c>
      <c r="C69" s="44" t="str">
        <f>VLOOKUP(ConstructionState[Building or Upgrade],Upgrades[],3,FALSE)</f>
        <v>Dark Elixir</v>
      </c>
      <c r="D69" s="45" t="str">
        <f>IF(COUNTIF(Skips,ConstructionState[[#This Row],[Building or Upgrade]]),"IGNORE",ConstructionState[Kind]&amp;"-"&amp;ConstructionState[Resource])</f>
        <v>Upgrade-Dark Elixir</v>
      </c>
      <c r="E69" s="50">
        <f ca="1">IF(AND(ConstructionState[[#This Row],[Kind]]="Upgrade",LabLevel=0),0,VLOOKUP(ConstructionState[Building or Upgrade],QuantAvail[],1+IF(ConstructionState[[#This Row],[Kind]]="Upgrade",LabLevel,THLevel),FALSE))</f>
        <v>1</v>
      </c>
      <c r="F69" s="50">
        <f ca="1">IF(AND(ConstructionState[[#This Row],[Kind]]="Upgrade",LabLevel=0),0,VLOOKUP(ConstructionState[Building or Upgrade],MaxLevel[],1+IF(ConstructionState[[#This Row],[Kind]]="Upgrade",LabLevel,THLevel),FALSE))</f>
        <v>2</v>
      </c>
      <c r="G69" s="50">
        <f ca="1">ConstructionState[[#This Row],[Available]]-SUM(ConstructionState[[#This Row],[1]:[12]])</f>
        <v>1</v>
      </c>
      <c r="H69" s="5"/>
      <c r="I69" s="4"/>
      <c r="J69" s="2"/>
      <c r="K69" s="2"/>
      <c r="L69" s="2"/>
      <c r="M69" s="2"/>
      <c r="N69" s="2"/>
      <c r="O69" s="2"/>
      <c r="P69" s="4"/>
      <c r="Q69" s="2"/>
      <c r="R69" s="2"/>
      <c r="S69" s="3"/>
    </row>
    <row r="70" spans="1:19" ht="18">
      <c r="A70" s="44" t="s">
        <v>99</v>
      </c>
      <c r="B70" s="44" t="str">
        <f>VLOOKUP(ConstructionState[[#This Row],[Building or Upgrade]],Upgrades[],2,FALSE)</f>
        <v>Upgrade</v>
      </c>
      <c r="C70" s="44" t="str">
        <f>VLOOKUP(ConstructionState[Building or Upgrade],Upgrades[],3,FALSE)</f>
        <v>Dark Elixir</v>
      </c>
      <c r="D70" s="45" t="str">
        <f>IF(COUNTIF(Skips,ConstructionState[[#This Row],[Building or Upgrade]]),"IGNORE",ConstructionState[Kind]&amp;"-"&amp;ConstructionState[Resource])</f>
        <v>Upgrade-Dark Elixir</v>
      </c>
      <c r="E70" s="50">
        <f ca="1">IF(AND(ConstructionState[[#This Row],[Kind]]="Upgrade",LabLevel=0),0,VLOOKUP(ConstructionState[Building or Upgrade],QuantAvail[],1+IF(ConstructionState[[#This Row],[Kind]]="Upgrade",LabLevel,THLevel),FALSE))</f>
        <v>0</v>
      </c>
      <c r="F70" s="50">
        <f ca="1">IF(AND(ConstructionState[[#This Row],[Kind]]="Upgrade",LabLevel=0),0,VLOOKUP(ConstructionState[Building or Upgrade],MaxLevel[],1+IF(ConstructionState[[#This Row],[Kind]]="Upgrade",LabLevel,THLevel),FALSE))</f>
        <v>0</v>
      </c>
      <c r="G70" s="50">
        <f ca="1">ConstructionState[[#This Row],[Available]]-SUM(ConstructionState[[#This Row],[1]:[12]])</f>
        <v>0</v>
      </c>
      <c r="H70" s="5"/>
      <c r="I70" s="4"/>
      <c r="J70" s="2"/>
      <c r="K70" s="2"/>
      <c r="L70" s="2"/>
      <c r="M70" s="2"/>
      <c r="N70" s="2"/>
      <c r="O70" s="2"/>
      <c r="P70" s="4"/>
      <c r="Q70" s="2"/>
      <c r="R70" s="2"/>
      <c r="S70" s="3"/>
    </row>
    <row r="71" spans="1:19" ht="18">
      <c r="A71" s="44" t="s">
        <v>100</v>
      </c>
      <c r="B71" s="44" t="str">
        <f>VLOOKUP(ConstructionState[[#This Row],[Building or Upgrade]],Upgrades[],2,FALSE)</f>
        <v>Upgrade</v>
      </c>
      <c r="C71" s="44" t="str">
        <f>VLOOKUP(ConstructionState[Building or Upgrade],Upgrades[],3,FALSE)</f>
        <v>Dark Elixir</v>
      </c>
      <c r="D71" s="45" t="str">
        <f>IF(COUNTIF(Skips,ConstructionState[[#This Row],[Building or Upgrade]]),"IGNORE",ConstructionState[Kind]&amp;"-"&amp;ConstructionState[Resource])</f>
        <v>Upgrade-Dark Elixir</v>
      </c>
      <c r="E71" s="50">
        <f ca="1">IF(AND(ConstructionState[[#This Row],[Kind]]="Upgrade",LabLevel=0),0,VLOOKUP(ConstructionState[Building or Upgrade],QuantAvail[],1+IF(ConstructionState[[#This Row],[Kind]]="Upgrade",LabLevel,THLevel),FALSE))</f>
        <v>0</v>
      </c>
      <c r="F71" s="50">
        <f ca="1">IF(AND(ConstructionState[[#This Row],[Kind]]="Upgrade",LabLevel=0),0,VLOOKUP(ConstructionState[Building or Upgrade],MaxLevel[],1+IF(ConstructionState[[#This Row],[Kind]]="Upgrade",LabLevel,THLevel),FALSE))</f>
        <v>0</v>
      </c>
      <c r="G71" s="50">
        <f ca="1">ConstructionState[[#This Row],[Available]]-SUM(ConstructionState[[#This Row],[1]:[12]])</f>
        <v>0</v>
      </c>
      <c r="H71" s="5"/>
      <c r="I71" s="4"/>
      <c r="J71" s="2"/>
      <c r="K71" s="2"/>
      <c r="L71" s="2"/>
      <c r="M71" s="2"/>
      <c r="N71" s="2"/>
      <c r="O71" s="2"/>
      <c r="P71" s="4"/>
      <c r="Q71" s="2"/>
      <c r="R71" s="2"/>
      <c r="S71" s="3"/>
    </row>
    <row r="72" spans="1:19" ht="19" thickBot="1">
      <c r="A72" s="51" t="s">
        <v>101</v>
      </c>
      <c r="B72" s="51" t="str">
        <f>VLOOKUP(ConstructionState[[#This Row],[Building or Upgrade]],Upgrades[],2,FALSE)</f>
        <v>Upgrade</v>
      </c>
      <c r="C72" s="51" t="str">
        <f>VLOOKUP(ConstructionState[Building or Upgrade],Upgrades[],3,FALSE)</f>
        <v>Dark Elixir</v>
      </c>
      <c r="D72" s="52" t="str">
        <f>IF(COUNTIF(Skips,ConstructionState[[#This Row],[Building or Upgrade]]),"IGNORE",ConstructionState[Kind]&amp;"-"&amp;ConstructionState[Resource])</f>
        <v>Upgrade-Dark Elixir</v>
      </c>
      <c r="E72" s="47">
        <f ca="1">IF(AND(ConstructionState[[#This Row],[Kind]]="Upgrade",LabLevel=0),0,VLOOKUP(ConstructionState[Building or Upgrade],QuantAvail[],1+IF(ConstructionState[[#This Row],[Kind]]="Upgrade",LabLevel,THLevel),FALSE))</f>
        <v>0</v>
      </c>
      <c r="F72" s="47">
        <f ca="1">IF(AND(ConstructionState[[#This Row],[Kind]]="Upgrade",LabLevel=0),0,VLOOKUP(ConstructionState[Building or Upgrade],MaxLevel[],1+IF(ConstructionState[[#This Row],[Kind]]="Upgrade",LabLevel,THLevel),FALSE))</f>
        <v>0</v>
      </c>
      <c r="G72" s="47">
        <f ca="1">ConstructionState[[#This Row],[Available]]-SUM(ConstructionState[[#This Row],[1]:[12]])</f>
        <v>0</v>
      </c>
      <c r="H72" s="6"/>
      <c r="I72" s="7"/>
      <c r="J72" s="8"/>
      <c r="K72" s="8"/>
      <c r="L72" s="8"/>
      <c r="M72" s="8"/>
      <c r="N72" s="8"/>
      <c r="O72" s="8"/>
      <c r="P72" s="7"/>
      <c r="Q72" s="8"/>
      <c r="R72" s="8"/>
      <c r="S72" s="9"/>
    </row>
    <row r="73" spans="1:19" ht="16" thickTop="1">
      <c r="A73" s="128"/>
      <c r="B73" s="128"/>
      <c r="C73" s="128"/>
      <c r="E73" s="128"/>
      <c r="F73" s="128"/>
      <c r="G73" s="128"/>
      <c r="H73" s="128"/>
      <c r="I73" s="128"/>
      <c r="J73" s="128"/>
      <c r="K73" s="128"/>
      <c r="L73" s="128"/>
      <c r="M73" s="128"/>
      <c r="N73" s="128"/>
      <c r="O73" s="128"/>
      <c r="P73" s="128"/>
      <c r="Q73" s="128"/>
      <c r="R73" s="128"/>
      <c r="S73" s="128"/>
    </row>
  </sheetData>
  <sheetProtection selectLockedCells="1" sort="0" autoFilter="0" pivotTables="0"/>
  <mergeCells count="28">
    <mergeCell ref="I12:J12"/>
    <mergeCell ref="L12:M12"/>
    <mergeCell ref="I14:J14"/>
    <mergeCell ref="I13:J13"/>
    <mergeCell ref="L13:M13"/>
    <mergeCell ref="L14:M14"/>
    <mergeCell ref="J22:N22"/>
    <mergeCell ref="J20:N20"/>
    <mergeCell ref="P18:S18"/>
    <mergeCell ref="A6:G11"/>
    <mergeCell ref="A1:S2"/>
    <mergeCell ref="I11:N11"/>
    <mergeCell ref="C16:F16"/>
    <mergeCell ref="C17:F17"/>
    <mergeCell ref="A4:G5"/>
    <mergeCell ref="B13:F14"/>
    <mergeCell ref="P4:S4"/>
    <mergeCell ref="P11:S11"/>
    <mergeCell ref="H16:S17"/>
    <mergeCell ref="I4:N4"/>
    <mergeCell ref="C15:F15"/>
    <mergeCell ref="C20:F20"/>
    <mergeCell ref="C21:F21"/>
    <mergeCell ref="C18:F18"/>
    <mergeCell ref="C19:F19"/>
    <mergeCell ref="J19:N19"/>
    <mergeCell ref="H18:N18"/>
    <mergeCell ref="J21:N21"/>
  </mergeCells>
  <phoneticPr fontId="8" type="noConversion"/>
  <conditionalFormatting sqref="J6:N6 Q6:S8 Q13:S14 I21:I22 K8:N8 J7">
    <cfRule type="cellIs" dxfId="258" priority="34" operator="equal">
      <formula>0</formula>
    </cfRule>
  </conditionalFormatting>
  <conditionalFormatting sqref="I20:I22">
    <cfRule type="cellIs" dxfId="257" priority="16" operator="equal">
      <formula>TRUE</formula>
    </cfRule>
  </conditionalFormatting>
  <conditionalFormatting sqref="H24:S72">
    <cfRule type="expression" dxfId="256" priority="80">
      <formula>OR(VALUE(H$23)&gt;$F24,AND($B24="Upgrade",H$23="1"))</formula>
    </cfRule>
    <cfRule type="expression" dxfId="255" priority="81">
      <formula>AND(VALUE(H$23)&lt;$F24,VALUE(H24)&gt;0)</formula>
    </cfRule>
  </conditionalFormatting>
  <conditionalFormatting sqref="A1:XFD1048576">
    <cfRule type="containsErrors" dxfId="254" priority="2">
      <formula>ISERROR(A1)</formula>
    </cfRule>
  </conditionalFormatting>
  <conditionalFormatting sqref="G24:G72">
    <cfRule type="cellIs" dxfId="253" priority="54" operator="lessThan">
      <formula>0</formula>
    </cfRule>
    <cfRule type="cellIs" dxfId="252" priority="55" operator="greaterThan">
      <formula>0</formula>
    </cfRule>
  </conditionalFormatting>
  <dataValidations count="5">
    <dataValidation type="list" allowBlank="1" showInputMessage="1" showErrorMessage="1" sqref="P19:S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2">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3" max="16383" man="1"/>
    <brk id="125" max="16383" man="1"/>
    <brk id="177" max="16383" man="1"/>
  </rowBreaks>
  <tableParts count="1">
    <tablePart r:id="rId1"/>
  </tableParts>
  <extLst>
    <ext xmlns:mx="http://schemas.microsoft.com/office/mac/excel/2008/main" uri="{64002731-A6B0-56B0-2670-7721B7C09600}">
      <mx:PLV Mode="0" OnePage="0" WScale="3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Y42"/>
  <sheetViews>
    <sheetView workbookViewId="0">
      <selection activeCell="N39" sqref="N39"/>
    </sheetView>
    <sheetView zoomScale="130" zoomScaleNormal="130" zoomScalePageLayoutView="130" workbookViewId="1">
      <selection activeCell="M15" sqref="M15"/>
    </sheetView>
  </sheetViews>
  <sheetFormatPr baseColWidth="10" defaultRowHeight="15" x14ac:dyDescent="0"/>
  <cols>
    <col min="1" max="1" width="1.83203125" style="66" customWidth="1"/>
    <col min="2" max="2" width="13" style="66" bestFit="1" customWidth="1"/>
    <col min="3" max="3" width="7.33203125" style="66" bestFit="1" customWidth="1"/>
    <col min="4" max="4" width="9.6640625" style="66" bestFit="1" customWidth="1"/>
    <col min="5" max="5" width="7.33203125" style="66" bestFit="1" customWidth="1"/>
    <col min="6" max="6" width="9.6640625" style="66" bestFit="1" customWidth="1"/>
    <col min="7" max="9" width="8.33203125" style="66" customWidth="1"/>
    <col min="10" max="10" width="9.5" style="66" bestFit="1" customWidth="1"/>
    <col min="11" max="11" width="12.6640625" style="66" bestFit="1" customWidth="1"/>
    <col min="12" max="12" width="10.6640625" style="66" bestFit="1" customWidth="1"/>
    <col min="13" max="13" width="1.83203125" style="66" bestFit="1" customWidth="1"/>
    <col min="14" max="14" width="13.5" style="66" bestFit="1" customWidth="1"/>
    <col min="15" max="24" width="8.33203125" style="66" customWidth="1"/>
    <col min="25" max="25" width="1.83203125" style="66" bestFit="1" customWidth="1"/>
    <col min="26" max="16384" width="10.83203125" style="66"/>
  </cols>
  <sheetData>
    <row r="1" spans="1:25" ht="16" thickBot="1">
      <c r="A1" s="130"/>
      <c r="B1" s="130"/>
      <c r="C1" s="130"/>
      <c r="D1" s="130"/>
      <c r="E1" s="130"/>
      <c r="F1" s="130"/>
      <c r="G1" s="130"/>
      <c r="H1" s="130"/>
      <c r="I1" s="130"/>
      <c r="J1" s="130"/>
      <c r="K1" s="130"/>
      <c r="L1" s="130"/>
      <c r="M1" s="130"/>
      <c r="N1" s="130"/>
      <c r="O1" s="130"/>
      <c r="P1" s="130"/>
      <c r="Q1" s="130"/>
      <c r="R1" s="130"/>
      <c r="S1" s="130"/>
      <c r="T1" s="130"/>
      <c r="U1" s="130"/>
      <c r="V1" s="130"/>
      <c r="W1" s="130"/>
      <c r="X1" s="130"/>
      <c r="Y1" s="130"/>
    </row>
    <row r="2" spans="1:25" ht="16" thickTop="1">
      <c r="A2" s="130"/>
      <c r="B2" s="238" t="s">
        <v>129</v>
      </c>
      <c r="C2" s="239"/>
      <c r="D2" s="239"/>
      <c r="E2" s="239"/>
      <c r="F2" s="239"/>
      <c r="G2" s="239"/>
      <c r="H2" s="251"/>
      <c r="I2" s="130"/>
      <c r="J2" s="238" t="s">
        <v>113</v>
      </c>
      <c r="K2" s="239"/>
      <c r="L2" s="239"/>
      <c r="M2" s="239"/>
      <c r="N2" s="251"/>
      <c r="O2" s="130"/>
      <c r="P2" s="130"/>
      <c r="Q2" s="130"/>
      <c r="R2" s="130"/>
      <c r="S2" s="130"/>
      <c r="T2" s="130"/>
      <c r="U2" s="130"/>
      <c r="V2" s="130"/>
      <c r="W2" s="130"/>
      <c r="X2" s="130"/>
      <c r="Y2" s="130"/>
    </row>
    <row r="3" spans="1:25" ht="16" thickBot="1">
      <c r="A3" s="130"/>
      <c r="B3" s="252"/>
      <c r="C3" s="253"/>
      <c r="D3" s="253"/>
      <c r="E3" s="253"/>
      <c r="F3" s="253"/>
      <c r="G3" s="253"/>
      <c r="H3" s="254"/>
      <c r="I3" s="130"/>
      <c r="J3" s="243"/>
      <c r="K3" s="244"/>
      <c r="L3" s="244"/>
      <c r="M3" s="244"/>
      <c r="N3" s="255"/>
      <c r="O3" s="130"/>
      <c r="P3" s="130"/>
      <c r="Q3" s="130"/>
      <c r="R3" s="130"/>
      <c r="S3" s="130"/>
      <c r="T3" s="130"/>
      <c r="U3" s="130"/>
      <c r="V3" s="130"/>
      <c r="W3" s="130"/>
      <c r="X3" s="130"/>
      <c r="Y3" s="130"/>
    </row>
    <row r="4" spans="1:25" ht="16" thickTop="1">
      <c r="A4" s="130"/>
      <c r="B4" s="299" t="s">
        <v>262</v>
      </c>
      <c r="C4" s="300"/>
      <c r="D4" s="300"/>
      <c r="E4" s="300"/>
      <c r="F4" s="300"/>
      <c r="G4" s="300"/>
      <c r="H4" s="301"/>
      <c r="I4" s="130"/>
      <c r="J4" s="93">
        <v>2</v>
      </c>
      <c r="K4" s="308" t="s">
        <v>176</v>
      </c>
      <c r="L4" s="309"/>
      <c r="M4" s="309"/>
      <c r="N4" s="310"/>
      <c r="O4" s="130"/>
      <c r="P4" s="130"/>
      <c r="Q4" s="130"/>
      <c r="R4" s="130"/>
      <c r="S4" s="130"/>
      <c r="T4" s="130"/>
      <c r="U4" s="130"/>
      <c r="V4" s="130"/>
      <c r="W4" s="130"/>
      <c r="X4" s="130"/>
      <c r="Y4" s="130"/>
    </row>
    <row r="5" spans="1:25">
      <c r="A5" s="130"/>
      <c r="B5" s="302"/>
      <c r="C5" s="303"/>
      <c r="D5" s="303"/>
      <c r="E5" s="303"/>
      <c r="F5" s="303"/>
      <c r="G5" s="303"/>
      <c r="H5" s="304"/>
      <c r="I5" s="130"/>
      <c r="J5" s="36">
        <v>0</v>
      </c>
      <c r="K5" s="311" t="s">
        <v>177</v>
      </c>
      <c r="L5" s="312"/>
      <c r="M5" s="312"/>
      <c r="N5" s="313"/>
      <c r="O5" s="130"/>
      <c r="P5" s="130"/>
      <c r="Q5" s="130"/>
      <c r="R5" s="130"/>
      <c r="S5" s="130"/>
      <c r="T5" s="130"/>
      <c r="U5" s="130"/>
      <c r="V5" s="130"/>
      <c r="W5" s="130"/>
      <c r="X5" s="130"/>
      <c r="Y5" s="130"/>
    </row>
    <row r="6" spans="1:25">
      <c r="A6" s="130"/>
      <c r="B6" s="302"/>
      <c r="C6" s="303"/>
      <c r="D6" s="303"/>
      <c r="E6" s="303"/>
      <c r="F6" s="303"/>
      <c r="G6" s="303"/>
      <c r="H6" s="304"/>
      <c r="I6" s="130"/>
      <c r="J6" s="38">
        <v>-1</v>
      </c>
      <c r="K6" s="311" t="s">
        <v>111</v>
      </c>
      <c r="L6" s="312"/>
      <c r="M6" s="312"/>
      <c r="N6" s="313"/>
      <c r="O6" s="130"/>
      <c r="P6" s="130"/>
      <c r="Q6" s="130"/>
      <c r="R6" s="130"/>
      <c r="S6" s="130"/>
      <c r="T6" s="130"/>
      <c r="U6" s="130"/>
      <c r="V6" s="130"/>
      <c r="W6" s="130"/>
      <c r="X6" s="130"/>
      <c r="Y6" s="130"/>
    </row>
    <row r="7" spans="1:25" ht="16" thickBot="1">
      <c r="A7" s="130"/>
      <c r="B7" s="305"/>
      <c r="C7" s="306"/>
      <c r="D7" s="306"/>
      <c r="E7" s="306"/>
      <c r="F7" s="306"/>
      <c r="G7" s="306"/>
      <c r="H7" s="307"/>
      <c r="I7" s="130"/>
      <c r="J7" s="92"/>
      <c r="K7" s="314" t="s">
        <v>159</v>
      </c>
      <c r="L7" s="315"/>
      <c r="M7" s="315"/>
      <c r="N7" s="316"/>
      <c r="O7" s="130"/>
      <c r="P7" s="130"/>
      <c r="Q7" s="130"/>
      <c r="R7" s="130"/>
      <c r="S7" s="130"/>
      <c r="T7" s="130"/>
      <c r="U7" s="130"/>
      <c r="V7" s="130"/>
      <c r="W7" s="130"/>
      <c r="X7" s="130"/>
      <c r="Y7" s="130"/>
    </row>
    <row r="8" spans="1:25" ht="17" thickTop="1" thickBot="1">
      <c r="A8" s="130"/>
      <c r="B8" s="130"/>
      <c r="C8" s="130"/>
      <c r="D8" s="130"/>
      <c r="E8" s="130"/>
      <c r="F8" s="130"/>
      <c r="G8" s="130"/>
      <c r="H8" s="130"/>
      <c r="I8" s="130"/>
      <c r="J8" s="130"/>
      <c r="K8" s="130"/>
      <c r="L8" s="130"/>
      <c r="M8" s="130"/>
      <c r="N8" s="130"/>
      <c r="O8" s="130"/>
      <c r="P8" s="130"/>
      <c r="Q8" s="130"/>
      <c r="R8" s="130"/>
      <c r="S8" s="130"/>
      <c r="T8" s="130"/>
      <c r="U8" s="130"/>
      <c r="V8" s="130"/>
      <c r="W8" s="130"/>
      <c r="X8" s="130"/>
      <c r="Y8" s="130"/>
    </row>
    <row r="9" spans="1:25" ht="17" thickTop="1" thickBot="1">
      <c r="A9" s="130"/>
      <c r="B9" s="291" t="s">
        <v>175</v>
      </c>
      <c r="C9" s="219"/>
      <c r="D9" s="220"/>
      <c r="E9" s="130"/>
      <c r="F9" s="291" t="s">
        <v>172</v>
      </c>
      <c r="G9" s="219"/>
      <c r="H9" s="219"/>
      <c r="I9" s="220"/>
      <c r="J9" s="130"/>
      <c r="K9" s="291" t="s">
        <v>173</v>
      </c>
      <c r="L9" s="219"/>
      <c r="M9" s="219"/>
      <c r="N9" s="220"/>
      <c r="O9" s="130"/>
      <c r="P9" s="130"/>
      <c r="Q9" s="130"/>
      <c r="R9" s="130"/>
      <c r="S9" s="130"/>
      <c r="T9" s="130"/>
      <c r="U9" s="130"/>
      <c r="V9" s="130"/>
      <c r="W9" s="130"/>
      <c r="X9" s="130"/>
      <c r="Y9" s="130"/>
    </row>
    <row r="10" spans="1:25" ht="16" thickTop="1">
      <c r="A10" s="130"/>
      <c r="B10" s="68" t="s">
        <v>138</v>
      </c>
      <c r="C10" s="69" t="s">
        <v>1</v>
      </c>
      <c r="D10" s="70" t="s">
        <v>102</v>
      </c>
      <c r="E10" s="130"/>
      <c r="F10" s="68" t="s">
        <v>138</v>
      </c>
      <c r="G10" s="69" t="s">
        <v>110</v>
      </c>
      <c r="H10" s="69" t="s">
        <v>168</v>
      </c>
      <c r="I10" s="83" t="s">
        <v>169</v>
      </c>
      <c r="J10" s="130"/>
      <c r="K10" s="86" t="s">
        <v>138</v>
      </c>
      <c r="L10" s="87" t="s">
        <v>0</v>
      </c>
      <c r="M10" s="292" t="s">
        <v>174</v>
      </c>
      <c r="N10" s="293"/>
      <c r="O10" s="130"/>
      <c r="P10" s="130"/>
      <c r="Q10" s="130"/>
      <c r="R10" s="130"/>
      <c r="S10" s="130"/>
      <c r="T10" s="130"/>
      <c r="U10" s="130"/>
      <c r="V10" s="130"/>
      <c r="W10" s="130"/>
      <c r="X10" s="130"/>
      <c r="Y10" s="130"/>
    </row>
    <row r="11" spans="1:25">
      <c r="A11" s="130"/>
      <c r="B11" s="71" t="s">
        <v>145</v>
      </c>
      <c r="C11" s="19">
        <f ca="1">SUMIFS(ArmyState[Total Cost],ArmyState[Resource],C$10,ArmyState[Type],$B11)</f>
        <v>52320</v>
      </c>
      <c r="D11" s="89">
        <f ca="1">SUMIFS(ArmyState[Total Cost],ArmyState[Resource],D$10,ArmyState[Type],$B11)</f>
        <v>0</v>
      </c>
      <c r="E11" s="130"/>
      <c r="F11" s="71" t="s">
        <v>145</v>
      </c>
      <c r="G11" s="116">
        <f>ArmyCap</f>
        <v>200</v>
      </c>
      <c r="H11" s="117">
        <f>SUMIFS(ArmyState[Total Space],ArmyState[Type],F11)</f>
        <v>200</v>
      </c>
      <c r="I11" s="118">
        <f>G11-H11</f>
        <v>0</v>
      </c>
      <c r="J11" s="128"/>
      <c r="K11" s="71" t="s">
        <v>2</v>
      </c>
      <c r="L11" s="85">
        <f>SUMIFS(ArmyState[Total Time],ArmyState[Type],"Unit",ArmyState[Resource],"Elixir")</f>
        <v>92.333333333333329</v>
      </c>
      <c r="M11" s="294">
        <f ca="1">L11/NumBarracks</f>
        <v>23.083333333333332</v>
      </c>
      <c r="N11" s="295"/>
      <c r="O11" s="130"/>
      <c r="P11" s="130"/>
      <c r="Q11" s="130"/>
      <c r="R11" s="130"/>
      <c r="S11" s="130"/>
      <c r="T11" s="130"/>
      <c r="U11" s="130"/>
      <c r="V11" s="130"/>
      <c r="W11" s="130"/>
      <c r="X11" s="130"/>
      <c r="Y11" s="130"/>
    </row>
    <row r="12" spans="1:25" ht="16" thickBot="1">
      <c r="A12" s="130"/>
      <c r="B12" s="71" t="s">
        <v>146</v>
      </c>
      <c r="C12" s="88">
        <f ca="1">SUMIFS(ArmyState[Total Cost],ArmyState[Resource],C$10,ArmyState[Type],$B12)</f>
        <v>0</v>
      </c>
      <c r="D12" s="90">
        <f>SUMIFS(ArmyState[Total Cost],ArmyState[Resource],D$10,ArmyState[Type],$B12)</f>
        <v>0</v>
      </c>
      <c r="E12" s="130"/>
      <c r="F12" s="82" t="s">
        <v>146</v>
      </c>
      <c r="G12" s="119">
        <f ca="1">SpellCap</f>
        <v>3</v>
      </c>
      <c r="H12" s="120">
        <f>SUMIFS(ArmyState[Total Space],ArmyState[Type],F12)</f>
        <v>0</v>
      </c>
      <c r="I12" s="121">
        <f ca="1">G12-H12</f>
        <v>3</v>
      </c>
      <c r="J12" s="128"/>
      <c r="K12" s="71" t="s">
        <v>19</v>
      </c>
      <c r="L12" s="85">
        <f>SUMIFS(ArmyState[Total Time],ArmyState[Type],"Unit",ArmyState[Resource],"Dark Elixir")</f>
        <v>0</v>
      </c>
      <c r="M12" s="296">
        <f ca="1">L12/NumDarkBarracks</f>
        <v>0</v>
      </c>
      <c r="N12" s="295"/>
      <c r="O12" s="130"/>
      <c r="P12" s="130"/>
      <c r="Q12" s="130"/>
      <c r="R12" s="130"/>
      <c r="S12" s="130"/>
      <c r="T12" s="130"/>
      <c r="U12" s="130"/>
      <c r="V12" s="130"/>
      <c r="W12" s="130"/>
      <c r="X12" s="130"/>
      <c r="Y12" s="130"/>
    </row>
    <row r="13" spans="1:25" ht="17" thickTop="1" thickBot="1">
      <c r="A13" s="130"/>
      <c r="B13" s="81" t="s">
        <v>108</v>
      </c>
      <c r="C13" s="32">
        <f ca="1">SUM(C11:C12)</f>
        <v>52320</v>
      </c>
      <c r="D13" s="91">
        <f ca="1">SUM(D11:D12)</f>
        <v>0</v>
      </c>
      <c r="E13" s="128"/>
      <c r="F13" s="128"/>
      <c r="G13" s="128"/>
      <c r="H13" s="128"/>
      <c r="I13" s="130"/>
      <c r="J13" s="128"/>
      <c r="K13" s="82" t="s">
        <v>21</v>
      </c>
      <c r="L13" s="84">
        <f>SUMIFS(ArmyState[Total Time],ArmyState[Type],"Spell")</f>
        <v>0</v>
      </c>
      <c r="M13" s="297">
        <f>L13/1</f>
        <v>0</v>
      </c>
      <c r="N13" s="298"/>
      <c r="O13" s="130"/>
      <c r="P13" s="130"/>
      <c r="Q13" s="130"/>
      <c r="R13" s="130"/>
      <c r="S13" s="130"/>
      <c r="T13" s="130"/>
      <c r="U13" s="130"/>
      <c r="V13" s="130"/>
      <c r="W13" s="130"/>
      <c r="X13" s="130"/>
      <c r="Y13" s="130"/>
    </row>
    <row r="14" spans="1:25" ht="17" thickTop="1" thickBo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row>
    <row r="15" spans="1:25" ht="25" thickTop="1" thickBot="1">
      <c r="A15" s="130"/>
      <c r="B15" s="285" t="s">
        <v>184</v>
      </c>
      <c r="C15" s="286"/>
      <c r="D15" s="282" t="s">
        <v>204</v>
      </c>
      <c r="E15" s="283"/>
      <c r="F15" s="283"/>
      <c r="G15" s="284"/>
      <c r="H15" s="130"/>
      <c r="I15" s="130"/>
      <c r="J15" s="130"/>
      <c r="K15" s="130"/>
      <c r="L15" s="130"/>
      <c r="M15" s="130"/>
      <c r="N15" s="287" t="s">
        <v>185</v>
      </c>
      <c r="O15" s="288"/>
      <c r="P15" s="289"/>
      <c r="Q15" s="289"/>
      <c r="R15" s="289"/>
      <c r="S15" s="289"/>
      <c r="T15" s="289"/>
      <c r="U15" s="289"/>
      <c r="V15" s="289"/>
      <c r="W15" s="289"/>
      <c r="X15" s="290"/>
      <c r="Y15" s="130"/>
    </row>
    <row r="16" spans="1:25" ht="17" thickTop="1" thickBot="1">
      <c r="A16" s="130"/>
      <c r="B16" s="130"/>
      <c r="C16" s="130"/>
      <c r="D16" s="130"/>
      <c r="E16" s="130"/>
      <c r="F16" s="130"/>
      <c r="G16" s="130"/>
      <c r="H16" s="130"/>
      <c r="I16" s="130"/>
      <c r="J16" s="130"/>
      <c r="K16" s="130"/>
      <c r="L16" s="130"/>
      <c r="M16" s="130"/>
      <c r="N16" s="130"/>
      <c r="O16" s="130"/>
      <c r="P16" s="130"/>
      <c r="Q16" s="130"/>
      <c r="R16" s="130"/>
      <c r="S16" s="130"/>
      <c r="T16" s="130"/>
      <c r="U16" s="130"/>
      <c r="V16" s="130"/>
      <c r="W16" s="130"/>
      <c r="X16" s="130"/>
      <c r="Y16" s="130"/>
    </row>
    <row r="17" spans="1:25" ht="16" thickTop="1">
      <c r="A17" s="130"/>
      <c r="B17" s="66" t="s">
        <v>148</v>
      </c>
      <c r="C17" s="66" t="s">
        <v>247</v>
      </c>
      <c r="D17" s="66" t="s">
        <v>138</v>
      </c>
      <c r="E17" s="66" t="s">
        <v>147</v>
      </c>
      <c r="F17" s="66" t="s">
        <v>30</v>
      </c>
      <c r="G17" s="66" t="s">
        <v>104</v>
      </c>
      <c r="H17" s="66" t="s">
        <v>0</v>
      </c>
      <c r="I17" s="66" t="s">
        <v>151</v>
      </c>
      <c r="J17" s="26" t="s">
        <v>143</v>
      </c>
      <c r="K17" s="185" t="s">
        <v>152</v>
      </c>
      <c r="L17" s="185" t="s">
        <v>153</v>
      </c>
      <c r="M17" s="130"/>
      <c r="N17" s="66" t="s">
        <v>183</v>
      </c>
      <c r="O17" s="205" t="s">
        <v>189</v>
      </c>
      <c r="P17" s="206" t="s">
        <v>204</v>
      </c>
      <c r="Q17" s="206" t="s">
        <v>197</v>
      </c>
      <c r="R17" s="206" t="s">
        <v>196</v>
      </c>
      <c r="S17" s="206" t="s">
        <v>198</v>
      </c>
      <c r="T17" s="206" t="s">
        <v>202</v>
      </c>
      <c r="U17" s="206" t="s">
        <v>203</v>
      </c>
      <c r="V17" s="206" t="s">
        <v>186</v>
      </c>
      <c r="W17" s="206" t="s">
        <v>187</v>
      </c>
      <c r="X17" s="207" t="s">
        <v>188</v>
      </c>
      <c r="Y17" s="130"/>
    </row>
    <row r="18" spans="1:25">
      <c r="A18" s="130"/>
      <c r="B18" s="66" t="s">
        <v>82</v>
      </c>
      <c r="C18" s="126">
        <f>INDEX(AttackSets[],MATCH(ArmyState[[#This Row],[Name]],AttackSets[Unit Set],0),MATCH(AttackSet,AttackSets[#Headers],0))</f>
        <v>40</v>
      </c>
      <c r="D18" s="67" t="str">
        <f>INDEX(UnitCosts[Type],MATCH(ArmyState[[#This Row],[Name]],UnitCosts[Name],0))</f>
        <v>Unit</v>
      </c>
      <c r="E18" s="66">
        <f ca="1">IFERROR(MATCH(1,OFFSET(ConstructionState[],MATCH(ArmyState[[#This Row],[Name]],ConstructionState[Building or Upgrade],0)-1,L1Offset,1,12)),1)</f>
        <v>4</v>
      </c>
      <c r="F18" s="67" t="str">
        <f>INDEX(UnitCosts[Resource],MATCH(ArmyState[[#This Row],[Name]],UnitCosts[Name],0))</f>
        <v>Elixir</v>
      </c>
      <c r="G18" s="23">
        <f ca="1">VLOOKUP(ArmyState[[#This Row],[Name]],UnitCosts[],MATCH(TEXT(ArmyState[[#This Row],[Level]],"#"),UnitCosts[#Headers],0),FALSE)</f>
        <v>80</v>
      </c>
      <c r="H18" s="188">
        <f>INDEX(UnitCosts[Train Time],MATCH(ArmyState[[#This Row],[Name]],UnitCosts[Name],0))</f>
        <v>0.33333333333333331</v>
      </c>
      <c r="I18" s="189">
        <f>INDEX(UnitCosts[Space],MATCH(ArmyState[[#This Row],[Name]],UnitCosts[Name],0))</f>
        <v>1</v>
      </c>
      <c r="J18" s="23">
        <f ca="1">ArmyState[[#This Row],[Count]]*ArmyState[[#This Row],[Cost]]</f>
        <v>3200</v>
      </c>
      <c r="K18" s="188">
        <f>ArmyState[[#This Row],[Count]]*ArmyState[[#This Row],[Time]]</f>
        <v>13.333333333333332</v>
      </c>
      <c r="L18" s="24">
        <f>ArmyState[[#This Row],[Count]]*ArmyState[[#This Row],[Space]]</f>
        <v>40</v>
      </c>
      <c r="M18" s="130"/>
      <c r="N18" s="181" t="s">
        <v>82</v>
      </c>
      <c r="O18" s="186"/>
      <c r="P18" s="181">
        <v>40</v>
      </c>
      <c r="Q18" s="181">
        <v>41</v>
      </c>
      <c r="R18" s="181">
        <v>32</v>
      </c>
      <c r="S18" s="181">
        <v>48</v>
      </c>
      <c r="T18" s="181">
        <v>60</v>
      </c>
      <c r="U18" s="181">
        <v>56</v>
      </c>
      <c r="V18" s="181"/>
      <c r="W18" s="181"/>
      <c r="X18" s="182"/>
      <c r="Y18" s="130"/>
    </row>
    <row r="19" spans="1:25">
      <c r="A19" s="130"/>
      <c r="B19" s="66" t="s">
        <v>83</v>
      </c>
      <c r="C19" s="66">
        <f>INDEX(AttackSets[],MATCH(ArmyState[[#This Row],[Name]],AttackSets[Unit Set],0),MATCH(AttackSet,AttackSets[#Headers],0))</f>
        <v>60</v>
      </c>
      <c r="D19" s="67" t="str">
        <f>INDEX(UnitCosts[Type],MATCH(ArmyState[[#This Row],[Name]],UnitCosts[Name],0))</f>
        <v>Unit</v>
      </c>
      <c r="E19" s="66">
        <f ca="1">IFERROR(MATCH(1,OFFSET(ConstructionState[],MATCH(ArmyState[[#This Row],[Name]],ConstructionState[Building or Upgrade],0)-1,L1Offset,1,12)),1)</f>
        <v>4</v>
      </c>
      <c r="F19" s="67" t="str">
        <f>INDEX(UnitCosts[Resource],MATCH(ArmyState[[#This Row],[Name]],UnitCosts[Name],0))</f>
        <v>Elixir</v>
      </c>
      <c r="G19" s="23">
        <f ca="1">VLOOKUP(ArmyState[[#This Row],[Name]],UnitCosts[],MATCH(TEXT(ArmyState[[#This Row],[Level]],"#"),UnitCosts[#Headers],0),FALSE)</f>
        <v>160</v>
      </c>
      <c r="H19" s="188">
        <f>INDEX(UnitCosts[Train Time],MATCH(ArmyState[[#This Row],[Name]],UnitCosts[Name],0))</f>
        <v>0.41666666666666669</v>
      </c>
      <c r="I19" s="189">
        <f>INDEX(UnitCosts[Space],MATCH(ArmyState[[#This Row],[Name]],UnitCosts[Name],0))</f>
        <v>1</v>
      </c>
      <c r="J19" s="23">
        <f ca="1">ArmyState[[#This Row],[Count]]*ArmyState[[#This Row],[Cost]]</f>
        <v>9600</v>
      </c>
      <c r="K19" s="188">
        <f>ArmyState[[#This Row],[Count]]*ArmyState[[#This Row],[Time]]</f>
        <v>25</v>
      </c>
      <c r="L19" s="24">
        <f>ArmyState[[#This Row],[Count]]*ArmyState[[#This Row],[Space]]</f>
        <v>60</v>
      </c>
      <c r="M19" s="130"/>
      <c r="N19" s="181" t="s">
        <v>83</v>
      </c>
      <c r="O19" s="186"/>
      <c r="P19" s="181">
        <v>60</v>
      </c>
      <c r="Q19" s="181">
        <v>55</v>
      </c>
      <c r="R19" s="181">
        <v>46</v>
      </c>
      <c r="S19" s="181">
        <v>66</v>
      </c>
      <c r="T19" s="181">
        <v>80</v>
      </c>
      <c r="U19" s="181">
        <v>76</v>
      </c>
      <c r="V19" s="181"/>
      <c r="W19" s="181"/>
      <c r="X19" s="182"/>
      <c r="Y19" s="130"/>
    </row>
    <row r="20" spans="1:25">
      <c r="A20" s="130"/>
      <c r="B20" s="66" t="s">
        <v>84</v>
      </c>
      <c r="C20" s="66">
        <f>INDEX(AttackSets[],MATCH(ArmyState[[#This Row],[Name]],AttackSets[Unit Set],0),MATCH(AttackSet,AttackSets[#Headers],0))</f>
        <v>44</v>
      </c>
      <c r="D20" s="67" t="str">
        <f>INDEX(UnitCosts[Type],MATCH(ArmyState[[#This Row],[Name]],UnitCosts[Name],0))</f>
        <v>Unit</v>
      </c>
      <c r="E20" s="66">
        <f ca="1">IFERROR(MATCH(1,OFFSET(ConstructionState[],MATCH(ArmyState[[#This Row],[Name]],ConstructionState[Building or Upgrade],0)-1,L1Offset,1,12)),1)</f>
        <v>4</v>
      </c>
      <c r="F20" s="67" t="str">
        <f>INDEX(UnitCosts[Resource],MATCH(ArmyState[[#This Row],[Name]],UnitCosts[Name],0))</f>
        <v>Elixir</v>
      </c>
      <c r="G20" s="23">
        <f ca="1">VLOOKUP(ArmyState[[#This Row],[Name]],UnitCosts[],MATCH(TEXT(ArmyState[[#This Row],[Level]],"#"),UnitCosts[#Headers],0),FALSE)</f>
        <v>80</v>
      </c>
      <c r="H20" s="188">
        <f>INDEX(UnitCosts[Train Time],MATCH(ArmyState[[#This Row],[Name]],UnitCosts[Name],0))</f>
        <v>0.5</v>
      </c>
      <c r="I20" s="189">
        <f>INDEX(UnitCosts[Space],MATCH(ArmyState[[#This Row],[Name]],UnitCosts[Name],0))</f>
        <v>1</v>
      </c>
      <c r="J20" s="23">
        <f ca="1">ArmyState[[#This Row],[Count]]*ArmyState[[#This Row],[Cost]]</f>
        <v>3520</v>
      </c>
      <c r="K20" s="188">
        <f>ArmyState[[#This Row],[Count]]*ArmyState[[#This Row],[Time]]</f>
        <v>22</v>
      </c>
      <c r="L20" s="24">
        <f>ArmyState[[#This Row],[Count]]*ArmyState[[#This Row],[Space]]</f>
        <v>44</v>
      </c>
      <c r="M20" s="130"/>
      <c r="N20" s="181" t="s">
        <v>84</v>
      </c>
      <c r="O20" s="186"/>
      <c r="P20" s="181">
        <v>44</v>
      </c>
      <c r="Q20" s="181"/>
      <c r="R20" s="181"/>
      <c r="S20" s="181"/>
      <c r="T20" s="181">
        <v>60</v>
      </c>
      <c r="U20" s="181">
        <v>40</v>
      </c>
      <c r="V20" s="181"/>
      <c r="W20" s="181"/>
      <c r="X20" s="182"/>
      <c r="Y20" s="130"/>
    </row>
    <row r="21" spans="1:25">
      <c r="A21" s="130"/>
      <c r="B21" s="66" t="s">
        <v>85</v>
      </c>
      <c r="C21" s="66">
        <f>INDEX(AttackSets[],MATCH(ArmyState[[#This Row],[Name]],AttackSets[Unit Set],0),MATCH(AttackSet,AttackSets[#Headers],0))</f>
        <v>8</v>
      </c>
      <c r="D21" s="67" t="str">
        <f>INDEX(UnitCosts[Type],MATCH(ArmyState[[#This Row],[Name]],UnitCosts[Name],0))</f>
        <v>Unit</v>
      </c>
      <c r="E21" s="66">
        <f ca="1">IFERROR(MATCH(1,OFFSET(ConstructionState[],MATCH(ArmyState[[#This Row],[Name]],ConstructionState[Building or Upgrade],0)-1,L1Offset,1,12)),1)</f>
        <v>4</v>
      </c>
      <c r="F21" s="67" t="str">
        <f>INDEX(UnitCosts[Resource],MATCH(ArmyState[[#This Row],[Name]],UnitCosts[Name],0))</f>
        <v>Elixir</v>
      </c>
      <c r="G21" s="23">
        <f ca="1">VLOOKUP(ArmyState[[#This Row],[Name]],UnitCosts[],MATCH(TEXT(ArmyState[[#This Row],[Level]],"#"),UnitCosts[#Headers],0),FALSE)</f>
        <v>2000</v>
      </c>
      <c r="H21" s="188">
        <f>INDEX(UnitCosts[Train Time],MATCH(ArmyState[[#This Row],[Name]],UnitCosts[Name],0))</f>
        <v>2</v>
      </c>
      <c r="I21" s="189">
        <f>INDEX(UnitCosts[Space],MATCH(ArmyState[[#This Row],[Name]],UnitCosts[Name],0))</f>
        <v>5</v>
      </c>
      <c r="J21" s="23">
        <f ca="1">ArmyState[[#This Row],[Count]]*ArmyState[[#This Row],[Cost]]</f>
        <v>16000</v>
      </c>
      <c r="K21" s="188">
        <f>ArmyState[[#This Row],[Count]]*ArmyState[[#This Row],[Time]]</f>
        <v>16</v>
      </c>
      <c r="L21" s="24">
        <f>ArmyState[[#This Row],[Count]]*ArmyState[[#This Row],[Space]]</f>
        <v>40</v>
      </c>
      <c r="M21" s="130"/>
      <c r="N21" s="181" t="s">
        <v>85</v>
      </c>
      <c r="O21" s="186"/>
      <c r="P21" s="181">
        <v>8</v>
      </c>
      <c r="Q21" s="181">
        <v>16</v>
      </c>
      <c r="R21" s="181">
        <v>14</v>
      </c>
      <c r="S21" s="181">
        <v>14</v>
      </c>
      <c r="T21" s="181"/>
      <c r="U21" s="181">
        <v>2</v>
      </c>
      <c r="V21" s="181"/>
      <c r="W21" s="181"/>
      <c r="X21" s="182"/>
      <c r="Y21" s="130"/>
    </row>
    <row r="22" spans="1:25">
      <c r="A22" s="130"/>
      <c r="B22" s="66" t="s">
        <v>86</v>
      </c>
      <c r="C22" s="66">
        <f>INDEX(AttackSets[],MATCH(ArmyState[[#This Row],[Name]],AttackSets[Unit Set],0),MATCH(AttackSet,AttackSets[#Headers],0))</f>
        <v>8</v>
      </c>
      <c r="D22" s="67" t="str">
        <f>INDEX(UnitCosts[Type],MATCH(ArmyState[[#This Row],[Name]],UnitCosts[Name],0))</f>
        <v>Unit</v>
      </c>
      <c r="E22" s="66">
        <f ca="1">IFERROR(MATCH(1,OFFSET(ConstructionState[],MATCH(ArmyState[[#This Row],[Name]],ConstructionState[Building or Upgrade],0)-1,L1Offset,1,12)),1)</f>
        <v>4</v>
      </c>
      <c r="F22" s="67" t="str">
        <f>INDEX(UnitCosts[Resource],MATCH(ArmyState[[#This Row],[Name]],UnitCosts[Name],0))</f>
        <v>Elixir</v>
      </c>
      <c r="G22" s="23">
        <f ca="1">VLOOKUP(ArmyState[[#This Row],[Name]],UnitCosts[],MATCH(TEXT(ArmyState[[#This Row],[Level]],"#"),UnitCosts[#Headers],0),FALSE)</f>
        <v>2500</v>
      </c>
      <c r="H22" s="188">
        <f>INDEX(UnitCosts[Train Time],MATCH(ArmyState[[#This Row],[Name]],UnitCosts[Name],0))</f>
        <v>2</v>
      </c>
      <c r="I22" s="189">
        <f>INDEX(UnitCosts[Space],MATCH(ArmyState[[#This Row],[Name]],UnitCosts[Name],0))</f>
        <v>2</v>
      </c>
      <c r="J22" s="23">
        <f ca="1">ArmyState[[#This Row],[Count]]*ArmyState[[#This Row],[Cost]]</f>
        <v>20000</v>
      </c>
      <c r="K22" s="188">
        <f>ArmyState[[#This Row],[Count]]*ArmyState[[#This Row],[Time]]</f>
        <v>16</v>
      </c>
      <c r="L22" s="24">
        <f>ArmyState[[#This Row],[Count]]*ArmyState[[#This Row],[Space]]</f>
        <v>16</v>
      </c>
      <c r="M22" s="130"/>
      <c r="N22" s="181" t="s">
        <v>86</v>
      </c>
      <c r="O22" s="186"/>
      <c r="P22" s="181">
        <v>8</v>
      </c>
      <c r="Q22" s="181">
        <v>12</v>
      </c>
      <c r="R22" s="181">
        <v>12</v>
      </c>
      <c r="S22" s="181">
        <v>8</v>
      </c>
      <c r="T22" s="181"/>
      <c r="U22" s="181">
        <v>9</v>
      </c>
      <c r="V22" s="181"/>
      <c r="W22" s="181"/>
      <c r="X22" s="182"/>
      <c r="Y22" s="130"/>
    </row>
    <row r="23" spans="1:25">
      <c r="A23" s="130"/>
      <c r="B23" s="66" t="s">
        <v>87</v>
      </c>
      <c r="C23" s="66">
        <f>INDEX(AttackSets[],MATCH(ArmyState[[#This Row],[Name]],AttackSets[Unit Set],0),MATCH(AttackSet,AttackSets[#Headers],0))</f>
        <v>0</v>
      </c>
      <c r="D23" s="67" t="str">
        <f>INDEX(UnitCosts[Type],MATCH(ArmyState[[#This Row],[Name]],UnitCosts[Name],0))</f>
        <v>Unit</v>
      </c>
      <c r="E23" s="66">
        <f ca="1">IFERROR(MATCH(1,OFFSET(ConstructionState[],MATCH(ArmyState[[#This Row],[Name]],ConstructionState[Building or Upgrade],0)-1,L1Offset,1,12)),1)</f>
        <v>2</v>
      </c>
      <c r="F23" s="67" t="str">
        <f>INDEX(UnitCosts[Resource],MATCH(ArmyState[[#This Row],[Name]],UnitCosts[Name],0))</f>
        <v>Elixir</v>
      </c>
      <c r="G23" s="23">
        <f ca="1">VLOOKUP(ArmyState[[#This Row],[Name]],UnitCosts[],MATCH(TEXT(ArmyState[[#This Row],[Level]],"#"),UnitCosts[#Headers],0),FALSE)</f>
        <v>2500</v>
      </c>
      <c r="H23" s="188">
        <f>INDEX(UnitCosts[Train Time],MATCH(ArmyState[[#This Row],[Name]],UnitCosts[Name],0))</f>
        <v>8</v>
      </c>
      <c r="I23" s="189">
        <f>INDEX(UnitCosts[Space],MATCH(ArmyState[[#This Row],[Name]],UnitCosts[Name],0))</f>
        <v>5</v>
      </c>
      <c r="J23" s="23">
        <f ca="1">ArmyState[[#This Row],[Count]]*ArmyState[[#This Row],[Cost]]</f>
        <v>0</v>
      </c>
      <c r="K23" s="188">
        <f>ArmyState[[#This Row],[Count]]*ArmyState[[#This Row],[Time]]</f>
        <v>0</v>
      </c>
      <c r="L23" s="24">
        <f>ArmyState[[#This Row],[Count]]*ArmyState[[#This Row],[Space]]</f>
        <v>0</v>
      </c>
      <c r="M23" s="130"/>
      <c r="N23" s="181" t="s">
        <v>87</v>
      </c>
      <c r="O23" s="186"/>
      <c r="P23" s="181"/>
      <c r="Q23" s="181"/>
      <c r="R23" s="181"/>
      <c r="S23" s="181"/>
      <c r="T23" s="181"/>
      <c r="U23" s="181"/>
      <c r="V23" s="181"/>
      <c r="W23" s="181"/>
      <c r="X23" s="182"/>
      <c r="Y23" s="130"/>
    </row>
    <row r="24" spans="1:25">
      <c r="A24" s="130"/>
      <c r="B24" s="66" t="s">
        <v>88</v>
      </c>
      <c r="C24" s="66">
        <f>INDEX(AttackSets[],MATCH(ArmyState[[#This Row],[Name]],AttackSets[Unit Set],0),MATCH(AttackSet,AttackSets[#Headers],0))</f>
        <v>0</v>
      </c>
      <c r="D24" s="67" t="str">
        <f>INDEX(UnitCosts[Type],MATCH(ArmyState[[#This Row],[Name]],UnitCosts[Name],0))</f>
        <v>Unit</v>
      </c>
      <c r="E24" s="66">
        <f ca="1">IFERROR(MATCH(1,OFFSET(ConstructionState[],MATCH(ArmyState[[#This Row],[Name]],ConstructionState[Building or Upgrade],0)-1,L1Offset,1,12)),1)</f>
        <v>3</v>
      </c>
      <c r="F24" s="67" t="str">
        <f>INDEX(UnitCosts[Resource],MATCH(ArmyState[[#This Row],[Name]],UnitCosts[Name],0))</f>
        <v>Elixir</v>
      </c>
      <c r="G24" s="23">
        <f ca="1">VLOOKUP(ArmyState[[#This Row],[Name]],UnitCosts[],MATCH(TEXT(ArmyState[[#This Row],[Level]],"#"),UnitCosts[#Headers],0),FALSE)</f>
        <v>2500</v>
      </c>
      <c r="H24" s="188">
        <f>INDEX(UnitCosts[Train Time],MATCH(ArmyState[[#This Row],[Name]],UnitCosts[Name],0))</f>
        <v>8</v>
      </c>
      <c r="I24" s="189">
        <f>INDEX(UnitCosts[Space],MATCH(ArmyState[[#This Row],[Name]],UnitCosts[Name],0))</f>
        <v>4</v>
      </c>
      <c r="J24" s="23">
        <f ca="1">ArmyState[[#This Row],[Count]]*ArmyState[[#This Row],[Cost]]</f>
        <v>0</v>
      </c>
      <c r="K24" s="188">
        <f>ArmyState[[#This Row],[Count]]*ArmyState[[#This Row],[Time]]</f>
        <v>0</v>
      </c>
      <c r="L24" s="24">
        <f>ArmyState[[#This Row],[Count]]*ArmyState[[#This Row],[Space]]</f>
        <v>0</v>
      </c>
      <c r="M24" s="130"/>
      <c r="N24" s="181" t="s">
        <v>88</v>
      </c>
      <c r="O24" s="186"/>
      <c r="P24" s="181"/>
      <c r="Q24" s="181"/>
      <c r="R24" s="181"/>
      <c r="S24" s="181"/>
      <c r="T24" s="181"/>
      <c r="U24" s="181"/>
      <c r="V24" s="181"/>
      <c r="W24" s="181"/>
      <c r="X24" s="182"/>
      <c r="Y24" s="130"/>
    </row>
    <row r="25" spans="1:25">
      <c r="A25" s="130"/>
      <c r="B25" s="66" t="s">
        <v>89</v>
      </c>
      <c r="C25" s="66">
        <f>INDEX(AttackSets[],MATCH(ArmyState[[#This Row],[Name]],AttackSets[Unit Set],0),MATCH(AttackSet,AttackSets[#Headers],0))</f>
        <v>0</v>
      </c>
      <c r="D25" s="67" t="str">
        <f>INDEX(UnitCosts[Type],MATCH(ArmyState[[#This Row],[Name]],UnitCosts[Name],0))</f>
        <v>Unit</v>
      </c>
      <c r="E25" s="66">
        <f ca="1">IFERROR(MATCH(1,OFFSET(ConstructionState[],MATCH(ArmyState[[#This Row],[Name]],ConstructionState[Building or Upgrade],0)-1,L1Offset,1,12)),1)</f>
        <v>2</v>
      </c>
      <c r="F25" s="67" t="str">
        <f>INDEX(UnitCosts[Resource],MATCH(ArmyState[[#This Row],[Name]],UnitCosts[Name],0))</f>
        <v>Elixir</v>
      </c>
      <c r="G25" s="23">
        <f ca="1">VLOOKUP(ArmyState[[#This Row],[Name]],UnitCosts[],MATCH(TEXT(ArmyState[[#This Row],[Level]],"#"),UnitCosts[#Headers],0),FALSE)</f>
        <v>6000</v>
      </c>
      <c r="H25" s="188">
        <f>INDEX(UnitCosts[Train Time],MATCH(ArmyState[[#This Row],[Name]],UnitCosts[Name],0))</f>
        <v>15</v>
      </c>
      <c r="I25" s="189">
        <f>INDEX(UnitCosts[Space],MATCH(ArmyState[[#This Row],[Name]],UnitCosts[Name],0))</f>
        <v>14</v>
      </c>
      <c r="J25" s="23">
        <f ca="1">ArmyState[[#This Row],[Count]]*ArmyState[[#This Row],[Cost]]</f>
        <v>0</v>
      </c>
      <c r="K25" s="188">
        <f>ArmyState[[#This Row],[Count]]*ArmyState[[#This Row],[Time]]</f>
        <v>0</v>
      </c>
      <c r="L25" s="24">
        <f>ArmyState[[#This Row],[Count]]*ArmyState[[#This Row],[Space]]</f>
        <v>0</v>
      </c>
      <c r="M25" s="130"/>
      <c r="N25" s="181" t="s">
        <v>89</v>
      </c>
      <c r="O25" s="186"/>
      <c r="P25" s="181"/>
      <c r="Q25" s="181"/>
      <c r="R25" s="181">
        <v>2</v>
      </c>
      <c r="S25" s="181"/>
      <c r="T25" s="181"/>
      <c r="U25" s="181"/>
      <c r="V25" s="181"/>
      <c r="W25" s="181"/>
      <c r="X25" s="182"/>
      <c r="Y25" s="130"/>
    </row>
    <row r="26" spans="1:25">
      <c r="A26" s="130"/>
      <c r="B26" s="66" t="s">
        <v>90</v>
      </c>
      <c r="C26" s="66">
        <f>INDEX(AttackSets[],MATCH(ArmyState[[#This Row],[Name]],AttackSets[Unit Set],0),MATCH(AttackSet,AttackSets[#Headers],0))</f>
        <v>0</v>
      </c>
      <c r="D26" s="67" t="str">
        <f>INDEX(UnitCosts[Type],MATCH(ArmyState[[#This Row],[Name]],UnitCosts[Name],0))</f>
        <v>Unit</v>
      </c>
      <c r="E26" s="66">
        <f ca="1">IFERROR(MATCH(1,OFFSET(ConstructionState[],MATCH(ArmyState[[#This Row],[Name]],ConstructionState[Building or Upgrade],0)-1,L1Offset,1,12)),1)</f>
        <v>1</v>
      </c>
      <c r="F26" s="67" t="str">
        <f>INDEX(UnitCosts[Resource],MATCH(ArmyState[[#This Row],[Name]],UnitCosts[Name],0))</f>
        <v>Elixir</v>
      </c>
      <c r="G26" s="23">
        <f ca="1">VLOOKUP(ArmyState[[#This Row],[Name]],UnitCosts[],MATCH(TEXT(ArmyState[[#This Row],[Level]],"#"),UnitCosts[#Headers],0),FALSE)</f>
        <v>25000</v>
      </c>
      <c r="H26" s="188">
        <f>INDEX(UnitCosts[Train Time],MATCH(ArmyState[[#This Row],[Name]],UnitCosts[Name],0))</f>
        <v>30</v>
      </c>
      <c r="I26" s="189">
        <f>INDEX(UnitCosts[Space],MATCH(ArmyState[[#This Row],[Name]],UnitCosts[Name],0))</f>
        <v>20</v>
      </c>
      <c r="J26" s="23">
        <f ca="1">ArmyState[[#This Row],[Count]]*ArmyState[[#This Row],[Cost]]</f>
        <v>0</v>
      </c>
      <c r="K26" s="188">
        <f>ArmyState[[#This Row],[Count]]*ArmyState[[#This Row],[Time]]</f>
        <v>0</v>
      </c>
      <c r="L26" s="24">
        <f>ArmyState[[#This Row],[Count]]*ArmyState[[#This Row],[Space]]</f>
        <v>0</v>
      </c>
      <c r="M26" s="130"/>
      <c r="N26" s="181" t="s">
        <v>90</v>
      </c>
      <c r="O26" s="186"/>
      <c r="P26" s="181"/>
      <c r="Q26" s="181"/>
      <c r="R26" s="181"/>
      <c r="S26" s="181"/>
      <c r="T26" s="181"/>
      <c r="U26" s="181"/>
      <c r="V26" s="181"/>
      <c r="W26" s="181"/>
      <c r="X26" s="182"/>
      <c r="Y26" s="130"/>
    </row>
    <row r="27" spans="1:25">
      <c r="A27" s="130"/>
      <c r="B27" s="66" t="s">
        <v>91</v>
      </c>
      <c r="C27" s="66">
        <f>INDEX(AttackSets[],MATCH(ArmyState[[#This Row],[Name]],AttackSets[Unit Set],0),MATCH(AttackSet,AttackSets[#Headers],0))</f>
        <v>0</v>
      </c>
      <c r="D27" s="67" t="str">
        <f>INDEX(UnitCosts[Type],MATCH(ArmyState[[#This Row],[Name]],UnitCosts[Name],0))</f>
        <v>Unit</v>
      </c>
      <c r="E27" s="66">
        <f ca="1">IFERROR(MATCH(1,OFFSET(ConstructionState[],MATCH(ArmyState[[#This Row],[Name]],ConstructionState[Building or Upgrade],0)-1,L1Offset,1,12)),1)</f>
        <v>1</v>
      </c>
      <c r="F27" s="67" t="str">
        <f>INDEX(UnitCosts[Resource],MATCH(ArmyState[[#This Row],[Name]],UnitCosts[Name],0))</f>
        <v>Elixir</v>
      </c>
      <c r="G27" s="23">
        <f ca="1">VLOOKUP(ArmyState[[#This Row],[Name]],UnitCosts[],MATCH(TEXT(ArmyState[[#This Row],[Level]],"#"),UnitCosts[#Headers],0),FALSE)</f>
        <v>30000</v>
      </c>
      <c r="H27" s="188">
        <f>INDEX(UnitCosts[Train Time],MATCH(ArmyState[[#This Row],[Name]],UnitCosts[Name],0))</f>
        <v>45</v>
      </c>
      <c r="I27" s="189">
        <f>INDEX(UnitCosts[Space],MATCH(ArmyState[[#This Row],[Name]],UnitCosts[Name],0))</f>
        <v>25</v>
      </c>
      <c r="J27" s="23">
        <f ca="1">ArmyState[[#This Row],[Count]]*ArmyState[[#This Row],[Cost]]</f>
        <v>0</v>
      </c>
      <c r="K27" s="188">
        <f>ArmyState[[#This Row],[Count]]*ArmyState[[#This Row],[Time]]</f>
        <v>0</v>
      </c>
      <c r="L27" s="24">
        <f>ArmyState[[#This Row],[Count]]*ArmyState[[#This Row],[Space]]</f>
        <v>0</v>
      </c>
      <c r="M27" s="130"/>
      <c r="N27" s="181" t="s">
        <v>91</v>
      </c>
      <c r="O27" s="186"/>
      <c r="P27" s="181"/>
      <c r="Q27" s="181"/>
      <c r="R27" s="181"/>
      <c r="S27" s="181"/>
      <c r="T27" s="181"/>
      <c r="U27" s="181"/>
      <c r="V27" s="181"/>
      <c r="W27" s="181"/>
      <c r="X27" s="182"/>
      <c r="Y27" s="130"/>
    </row>
    <row r="28" spans="1:25">
      <c r="A28" s="130"/>
      <c r="B28" s="66" t="s">
        <v>92</v>
      </c>
      <c r="C28" s="66">
        <f>INDEX(AttackSets[],MATCH(ArmyState[[#This Row],[Name]],AttackSets[Unit Set],0),MATCH(AttackSet,AttackSets[#Headers],0))</f>
        <v>0</v>
      </c>
      <c r="D28" s="67" t="str">
        <f>INDEX(UnitCosts[Type],MATCH(ArmyState[[#This Row],[Name]],UnitCosts[Name],0))</f>
        <v>Spell</v>
      </c>
      <c r="E28" s="66">
        <f ca="1">IFERROR(MATCH(1,OFFSET(ConstructionState[],MATCH(ArmyState[[#This Row],[Name]],ConstructionState[Building or Upgrade],0)-1,L1Offset,1,12)),1)</f>
        <v>4</v>
      </c>
      <c r="F28" s="67" t="str">
        <f>INDEX(UnitCosts[Resource],MATCH(ArmyState[[#This Row],[Name]],UnitCosts[Name],0))</f>
        <v>Elixir</v>
      </c>
      <c r="G28" s="23">
        <f ca="1">VLOOKUP(ArmyState[[#This Row],[Name]],UnitCosts[],MATCH(TEXT(ArmyState[[#This Row],[Level]],"#"),UnitCosts[#Headers],0),FALSE)</f>
        <v>20000</v>
      </c>
      <c r="H28" s="188">
        <f>INDEX(UnitCosts[Train Time],MATCH(ArmyState[[#This Row],[Name]],UnitCosts[Name],0))</f>
        <v>30</v>
      </c>
      <c r="I28" s="189">
        <f>INDEX(UnitCosts[Space],MATCH(ArmyState[[#This Row],[Name]],UnitCosts[Name],0))</f>
        <v>1</v>
      </c>
      <c r="J28" s="23">
        <f ca="1">ArmyState[[#This Row],[Count]]*ArmyState[[#This Row],[Cost]]</f>
        <v>0</v>
      </c>
      <c r="K28" s="188">
        <f>ArmyState[[#This Row],[Count]]*ArmyState[[#This Row],[Time]]</f>
        <v>0</v>
      </c>
      <c r="L28" s="24">
        <f>ArmyState[[#This Row],[Count]]*ArmyState[[#This Row],[Space]]</f>
        <v>0</v>
      </c>
      <c r="M28" s="130"/>
      <c r="N28" s="181" t="s">
        <v>92</v>
      </c>
      <c r="O28" s="186"/>
      <c r="P28" s="181"/>
      <c r="Q28" s="181"/>
      <c r="R28" s="181"/>
      <c r="S28" s="181"/>
      <c r="T28" s="181"/>
      <c r="U28" s="181"/>
      <c r="V28" s="181"/>
      <c r="W28" s="181"/>
      <c r="X28" s="182"/>
      <c r="Y28" s="130"/>
    </row>
    <row r="29" spans="1:25">
      <c r="A29" s="130"/>
      <c r="B29" s="66" t="s">
        <v>93</v>
      </c>
      <c r="C29" s="66">
        <f>INDEX(AttackSets[],MATCH(ArmyState[[#This Row],[Name]],AttackSets[Unit Set],0),MATCH(AttackSet,AttackSets[#Headers],0))</f>
        <v>0</v>
      </c>
      <c r="D29" s="67" t="str">
        <f>INDEX(UnitCosts[Type],MATCH(ArmyState[[#This Row],[Name]],UnitCosts[Name],0))</f>
        <v>Spell</v>
      </c>
      <c r="E29" s="66">
        <f ca="1">IFERROR(MATCH(1,OFFSET(ConstructionState[],MATCH(ArmyState[[#This Row],[Name]],ConstructionState[Building or Upgrade],0)-1,L1Offset,1,12)),1)</f>
        <v>4</v>
      </c>
      <c r="F29" s="67" t="str">
        <f>INDEX(UnitCosts[Resource],MATCH(ArmyState[[#This Row],[Name]],UnitCosts[Name],0))</f>
        <v>Elixir</v>
      </c>
      <c r="G29" s="23">
        <f ca="1">VLOOKUP(ArmyState[[#This Row],[Name]],UnitCosts[],MATCH(TEXT(ArmyState[[#This Row],[Level]],"#"),UnitCosts[#Headers],0),FALSE)</f>
        <v>20000</v>
      </c>
      <c r="H29" s="188">
        <f>INDEX(UnitCosts[Train Time],MATCH(ArmyState[[#This Row],[Name]],UnitCosts[Name],0))</f>
        <v>30</v>
      </c>
      <c r="I29" s="189">
        <f>INDEX(UnitCosts[Space],MATCH(ArmyState[[#This Row],[Name]],UnitCosts[Name],0))</f>
        <v>1</v>
      </c>
      <c r="J29" s="23">
        <f ca="1">ArmyState[[#This Row],[Count]]*ArmyState[[#This Row],[Cost]]</f>
        <v>0</v>
      </c>
      <c r="K29" s="188">
        <f>ArmyState[[#This Row],[Count]]*ArmyState[[#This Row],[Time]]</f>
        <v>0</v>
      </c>
      <c r="L29" s="24">
        <f>ArmyState[[#This Row],[Count]]*ArmyState[[#This Row],[Space]]</f>
        <v>0</v>
      </c>
      <c r="M29" s="130"/>
      <c r="N29" s="181" t="s">
        <v>93</v>
      </c>
      <c r="O29" s="186"/>
      <c r="P29" s="181"/>
      <c r="Q29" s="181">
        <v>3</v>
      </c>
      <c r="R29" s="181">
        <v>3</v>
      </c>
      <c r="S29" s="181">
        <v>2</v>
      </c>
      <c r="T29" s="181"/>
      <c r="U29" s="181">
        <v>2</v>
      </c>
      <c r="V29" s="181"/>
      <c r="W29" s="181"/>
      <c r="X29" s="182"/>
      <c r="Y29" s="130"/>
    </row>
    <row r="30" spans="1:25">
      <c r="A30" s="130"/>
      <c r="B30" s="66" t="s">
        <v>94</v>
      </c>
      <c r="C30" s="66">
        <f>INDEX(AttackSets[],MATCH(ArmyState[[#This Row],[Name]],AttackSets[Unit Set],0),MATCH(AttackSet,AttackSets[#Headers],0))</f>
        <v>0</v>
      </c>
      <c r="D30" s="67" t="str">
        <f>INDEX(UnitCosts[Type],MATCH(ArmyState[[#This Row],[Name]],UnitCosts[Name],0))</f>
        <v>Spell</v>
      </c>
      <c r="E30" s="66">
        <f ca="1">IFERROR(MATCH(1,OFFSET(ConstructionState[],MATCH(ArmyState[[#This Row],[Name]],ConstructionState[Building or Upgrade],0)-1,L1Offset,1,12)),1)</f>
        <v>2</v>
      </c>
      <c r="F30" s="67" t="str">
        <f>INDEX(UnitCosts[Resource],MATCH(ArmyState[[#This Row],[Name]],UnitCosts[Name],0))</f>
        <v>Elixir</v>
      </c>
      <c r="G30" s="23">
        <f ca="1">VLOOKUP(ArmyState[[#This Row],[Name]],UnitCosts[],MATCH(TEXT(ArmyState[[#This Row],[Level]],"#"),UnitCosts[#Headers],0),FALSE)</f>
        <v>25000</v>
      </c>
      <c r="H30" s="188">
        <f>INDEX(UnitCosts[Train Time],MATCH(ArmyState[[#This Row],[Name]],UnitCosts[Name],0))</f>
        <v>45</v>
      </c>
      <c r="I30" s="189">
        <f>INDEX(UnitCosts[Space],MATCH(ArmyState[[#This Row],[Name]],UnitCosts[Name],0))</f>
        <v>1</v>
      </c>
      <c r="J30" s="23">
        <f ca="1">ArmyState[[#This Row],[Count]]*ArmyState[[#This Row],[Cost]]</f>
        <v>0</v>
      </c>
      <c r="K30" s="188">
        <f>ArmyState[[#This Row],[Count]]*ArmyState[[#This Row],[Time]]</f>
        <v>0</v>
      </c>
      <c r="L30" s="24">
        <f>ArmyState[[#This Row],[Count]]*ArmyState[[#This Row],[Space]]</f>
        <v>0</v>
      </c>
      <c r="M30" s="130"/>
      <c r="N30" s="181" t="s">
        <v>94</v>
      </c>
      <c r="O30" s="186"/>
      <c r="P30" s="181"/>
      <c r="Q30" s="181"/>
      <c r="R30" s="181"/>
      <c r="S30" s="181"/>
      <c r="T30" s="181"/>
      <c r="U30" s="181">
        <v>1</v>
      </c>
      <c r="V30" s="181"/>
      <c r="W30" s="181"/>
      <c r="X30" s="182"/>
      <c r="Y30" s="130"/>
    </row>
    <row r="31" spans="1:25">
      <c r="A31" s="130"/>
      <c r="B31" s="66" t="s">
        <v>95</v>
      </c>
      <c r="C31" s="66">
        <f>INDEX(AttackSets[],MATCH(ArmyState[[#This Row],[Name]],AttackSets[Unit Set],0),MATCH(AttackSet,AttackSets[#Headers],0))</f>
        <v>0</v>
      </c>
      <c r="D31" s="67" t="str">
        <f>INDEX(UnitCosts[Type],MATCH(ArmyState[[#This Row],[Name]],UnitCosts[Name],0))</f>
        <v>Spell</v>
      </c>
      <c r="E31" s="66">
        <f ca="1">IFERROR(MATCH(1,OFFSET(ConstructionState[],MATCH(ArmyState[[#This Row],[Name]],ConstructionState[Building or Upgrade],0)-1,L1Offset,1,12)),1)</f>
        <v>1</v>
      </c>
      <c r="F31" s="67" t="str">
        <f>INDEX(UnitCosts[Resource],MATCH(ArmyState[[#This Row],[Name]],UnitCosts[Name],0))</f>
        <v>Elixir</v>
      </c>
      <c r="G31" s="23">
        <f ca="1">VLOOKUP(ArmyState[[#This Row],[Name]],UnitCosts[],MATCH(TEXT(ArmyState[[#This Row],[Level]],"#"),UnitCosts[#Headers],0),FALSE)</f>
        <v>23000</v>
      </c>
      <c r="H31" s="188">
        <f>INDEX(UnitCosts[Train Time],MATCH(ArmyState[[#This Row],[Name]],UnitCosts[Name],0))</f>
        <v>45</v>
      </c>
      <c r="I31" s="189">
        <f>INDEX(UnitCosts[Space],MATCH(ArmyState[[#This Row],[Name]],UnitCosts[Name],0))</f>
        <v>1</v>
      </c>
      <c r="J31" s="23">
        <f ca="1">ArmyState[[#This Row],[Count]]*ArmyState[[#This Row],[Cost]]</f>
        <v>0</v>
      </c>
      <c r="K31" s="188">
        <f>ArmyState[[#This Row],[Count]]*ArmyState[[#This Row],[Time]]</f>
        <v>0</v>
      </c>
      <c r="L31" s="24">
        <f>ArmyState[[#This Row],[Count]]*ArmyState[[#This Row],[Space]]</f>
        <v>0</v>
      </c>
      <c r="M31" s="130"/>
      <c r="N31" s="181" t="s">
        <v>95</v>
      </c>
      <c r="O31" s="186"/>
      <c r="P31" s="181"/>
      <c r="Q31" s="181"/>
      <c r="R31" s="181"/>
      <c r="S31" s="181"/>
      <c r="T31" s="181"/>
      <c r="U31" s="181"/>
      <c r="V31" s="181"/>
      <c r="W31" s="181"/>
      <c r="X31" s="182"/>
      <c r="Y31" s="130"/>
    </row>
    <row r="32" spans="1:25">
      <c r="A32" s="130"/>
      <c r="B32" s="66" t="s">
        <v>96</v>
      </c>
      <c r="C32" s="66">
        <f>INDEX(AttackSets[],MATCH(ArmyState[[#This Row],[Name]],AttackSets[Unit Set],0),MATCH(AttackSet,AttackSets[#Headers],0))</f>
        <v>0</v>
      </c>
      <c r="D32" s="67" t="str">
        <f>INDEX(UnitCosts[Type],MATCH(ArmyState[[#This Row],[Name]],UnitCosts[Name],0))</f>
        <v>Spell</v>
      </c>
      <c r="E32" s="66">
        <f ca="1">IFERROR(MATCH(1,OFFSET(ConstructionState[],MATCH(ArmyState[[#This Row],[Name]],ConstructionState[Building or Upgrade],0)-1,L1Offset,1,12)),1)</f>
        <v>1</v>
      </c>
      <c r="F32" s="67" t="str">
        <f>INDEX(UnitCosts[Resource],MATCH(ArmyState[[#This Row],[Name]],UnitCosts[Name],0))</f>
        <v>Elixir</v>
      </c>
      <c r="G32" s="23">
        <f ca="1">VLOOKUP(ArmyState[[#This Row],[Name]],UnitCosts[],MATCH(TEXT(ArmyState[[#This Row],[Level]],"#"),UnitCosts[#Headers],0),FALSE)</f>
        <v>26000</v>
      </c>
      <c r="H32" s="188">
        <f>INDEX(UnitCosts[Train Time],MATCH(ArmyState[[#This Row],[Name]],UnitCosts[Name],0))</f>
        <v>45</v>
      </c>
      <c r="I32" s="189">
        <f>INDEX(UnitCosts[Space],MATCH(ArmyState[[#This Row],[Name]],UnitCosts[Name],0))</f>
        <v>1</v>
      </c>
      <c r="J32" s="23">
        <f ca="1">ArmyState[[#This Row],[Count]]*ArmyState[[#This Row],[Cost]]</f>
        <v>0</v>
      </c>
      <c r="K32" s="188">
        <f>ArmyState[[#This Row],[Count]]*ArmyState[[#This Row],[Time]]</f>
        <v>0</v>
      </c>
      <c r="L32" s="24">
        <f>ArmyState[[#This Row],[Count]]*ArmyState[[#This Row],[Space]]</f>
        <v>0</v>
      </c>
      <c r="M32" s="130"/>
      <c r="N32" s="181" t="s">
        <v>96</v>
      </c>
      <c r="O32" s="186"/>
      <c r="P32" s="181"/>
      <c r="Q32" s="181"/>
      <c r="R32" s="181"/>
      <c r="S32" s="181"/>
      <c r="T32" s="181"/>
      <c r="U32" s="181"/>
      <c r="V32" s="181"/>
      <c r="W32" s="181"/>
      <c r="X32" s="182"/>
      <c r="Y32" s="130"/>
    </row>
    <row r="33" spans="1:25">
      <c r="A33" s="130"/>
      <c r="B33" s="66" t="s">
        <v>97</v>
      </c>
      <c r="C33" s="66">
        <f>INDEX(AttackSets[],MATCH(ArmyState[[#This Row],[Name]],AttackSets[Unit Set],0),MATCH(AttackSet,AttackSets[#Headers],0))</f>
        <v>0</v>
      </c>
      <c r="D33" s="67" t="str">
        <f>INDEX(UnitCosts[Type],MATCH(ArmyState[[#This Row],[Name]],UnitCosts[Name],0))</f>
        <v>Unit</v>
      </c>
      <c r="E33" s="66">
        <f ca="1">IFERROR(MATCH(1,OFFSET(ConstructionState[],MATCH(ArmyState[[#This Row],[Name]],ConstructionState[Building or Upgrade],0)-1,L1Offset,1,12)),1)</f>
        <v>1</v>
      </c>
      <c r="F33" s="67" t="str">
        <f>INDEX(UnitCosts[Resource],MATCH(ArmyState[[#This Row],[Name]],UnitCosts[Name],0))</f>
        <v>Dark Elixir</v>
      </c>
      <c r="G33" s="23">
        <f ca="1">VLOOKUP(ArmyState[[#This Row],[Name]],UnitCosts[],MATCH(TEXT(ArmyState[[#This Row],[Level]],"#"),UnitCosts[#Headers],0),FALSE)</f>
        <v>6</v>
      </c>
      <c r="H33" s="188">
        <f>INDEX(UnitCosts[Train Time],MATCH(ArmyState[[#This Row],[Name]],UnitCosts[Name],0))</f>
        <v>0.75</v>
      </c>
      <c r="I33" s="189">
        <f>INDEX(UnitCosts[Space],MATCH(ArmyState[[#This Row],[Name]],UnitCosts[Name],0))</f>
        <v>2</v>
      </c>
      <c r="J33" s="23">
        <f ca="1">ArmyState[[#This Row],[Count]]*ArmyState[[#This Row],[Cost]]</f>
        <v>0</v>
      </c>
      <c r="K33" s="188">
        <f>ArmyState[[#This Row],[Count]]*ArmyState[[#This Row],[Time]]</f>
        <v>0</v>
      </c>
      <c r="L33" s="24">
        <f>ArmyState[[#This Row],[Count]]*ArmyState[[#This Row],[Space]]</f>
        <v>0</v>
      </c>
      <c r="M33" s="130"/>
      <c r="N33" s="181" t="s">
        <v>97</v>
      </c>
      <c r="O33" s="186"/>
      <c r="P33" s="181"/>
      <c r="Q33" s="181"/>
      <c r="R33" s="181"/>
      <c r="S33" s="181"/>
      <c r="T33" s="181"/>
      <c r="U33" s="181"/>
      <c r="V33" s="181"/>
      <c r="W33" s="181"/>
      <c r="X33" s="182"/>
      <c r="Y33" s="130"/>
    </row>
    <row r="34" spans="1:25">
      <c r="A34" s="130"/>
      <c r="B34" s="66" t="s">
        <v>98</v>
      </c>
      <c r="C34" s="66">
        <f>INDEX(AttackSets[],MATCH(ArmyState[[#This Row],[Name]],AttackSets[Unit Set],0),MATCH(AttackSet,AttackSets[#Headers],0))</f>
        <v>0</v>
      </c>
      <c r="D34" s="67" t="str">
        <f>INDEX(UnitCosts[Type],MATCH(ArmyState[[#This Row],[Name]],UnitCosts[Name],0))</f>
        <v>Unit</v>
      </c>
      <c r="E34" s="66">
        <f ca="1">IFERROR(MATCH(1,OFFSET(ConstructionState[],MATCH(ArmyState[[#This Row],[Name]],ConstructionState[Building or Upgrade],0)-1,L1Offset,1,12)),1)</f>
        <v>1</v>
      </c>
      <c r="F34" s="67" t="str">
        <f>INDEX(UnitCosts[Resource],MATCH(ArmyState[[#This Row],[Name]],UnitCosts[Name],0))</f>
        <v>Dark Elixir</v>
      </c>
      <c r="G34" s="23">
        <f ca="1">VLOOKUP(ArmyState[[#This Row],[Name]],UnitCosts[],MATCH(TEXT(ArmyState[[#This Row],[Level]],"#"),UnitCosts[#Headers],0),FALSE)</f>
        <v>40</v>
      </c>
      <c r="H34" s="188">
        <f>INDEX(UnitCosts[Train Time],MATCH(ArmyState[[#This Row],[Name]],UnitCosts[Name],0))</f>
        <v>2</v>
      </c>
      <c r="I34" s="189">
        <f>INDEX(UnitCosts[Space],MATCH(ArmyState[[#This Row],[Name]],UnitCosts[Name],0))</f>
        <v>5</v>
      </c>
      <c r="J34" s="23">
        <f ca="1">ArmyState[[#This Row],[Count]]*ArmyState[[#This Row],[Cost]]</f>
        <v>0</v>
      </c>
      <c r="K34" s="188">
        <f>ArmyState[[#This Row],[Count]]*ArmyState[[#This Row],[Time]]</f>
        <v>0</v>
      </c>
      <c r="L34" s="24">
        <f>ArmyState[[#This Row],[Count]]*ArmyState[[#This Row],[Space]]</f>
        <v>0</v>
      </c>
      <c r="M34" s="130"/>
      <c r="N34" s="181" t="s">
        <v>98</v>
      </c>
      <c r="O34" s="186"/>
      <c r="P34" s="181"/>
      <c r="Q34" s="181"/>
      <c r="R34" s="181"/>
      <c r="S34" s="181"/>
      <c r="T34" s="181"/>
      <c r="U34" s="181"/>
      <c r="V34" s="181"/>
      <c r="W34" s="181"/>
      <c r="X34" s="182"/>
      <c r="Y34" s="130"/>
    </row>
    <row r="35" spans="1:25">
      <c r="A35" s="130"/>
      <c r="B35" s="66" t="s">
        <v>99</v>
      </c>
      <c r="C35" s="66">
        <f>INDEX(AttackSets[],MATCH(ArmyState[[#This Row],[Name]],AttackSets[Unit Set],0),MATCH(AttackSet,AttackSets[#Headers],0))</f>
        <v>0</v>
      </c>
      <c r="D35" s="67" t="str">
        <f>INDEX(UnitCosts[Type],MATCH(ArmyState[[#This Row],[Name]],UnitCosts[Name],0))</f>
        <v>Unit</v>
      </c>
      <c r="E35" s="66">
        <f ca="1">IFERROR(MATCH(1,OFFSET(ConstructionState[],MATCH(ArmyState[[#This Row],[Name]],ConstructionState[Building or Upgrade],0)-1,L1Offset,1,12)),1)</f>
        <v>1</v>
      </c>
      <c r="F35" s="67" t="str">
        <f>INDEX(UnitCosts[Resource],MATCH(ArmyState[[#This Row],[Name]],UnitCosts[Name],0))</f>
        <v>Dark Elixir</v>
      </c>
      <c r="G35" s="23">
        <f ca="1">VLOOKUP(ArmyState[[#This Row],[Name]],UnitCosts[],MATCH(TEXT(ArmyState[[#This Row],[Level]],"#"),UnitCosts[#Headers],0),FALSE)</f>
        <v>70</v>
      </c>
      <c r="H35" s="188">
        <f>INDEX(UnitCosts[Train Time],MATCH(ArmyState[[#This Row],[Name]],UnitCosts[Name],0))</f>
        <v>15</v>
      </c>
      <c r="I35" s="189">
        <f>INDEX(UnitCosts[Space],MATCH(ArmyState[[#This Row],[Name]],UnitCosts[Name],0))</f>
        <v>8</v>
      </c>
      <c r="J35" s="23">
        <f ca="1">ArmyState[[#This Row],[Count]]*ArmyState[[#This Row],[Cost]]</f>
        <v>0</v>
      </c>
      <c r="K35" s="188">
        <f>ArmyState[[#This Row],[Count]]*ArmyState[[#This Row],[Time]]</f>
        <v>0</v>
      </c>
      <c r="L35" s="24">
        <f>ArmyState[[#This Row],[Count]]*ArmyState[[#This Row],[Space]]</f>
        <v>0</v>
      </c>
      <c r="M35" s="130"/>
      <c r="N35" s="181" t="s">
        <v>99</v>
      </c>
      <c r="O35" s="186"/>
      <c r="P35" s="181"/>
      <c r="Q35" s="181"/>
      <c r="R35" s="181"/>
      <c r="S35" s="181"/>
      <c r="T35" s="181"/>
      <c r="U35" s="181"/>
      <c r="V35" s="181"/>
      <c r="W35" s="181"/>
      <c r="X35" s="182"/>
      <c r="Y35" s="130"/>
    </row>
    <row r="36" spans="1:25">
      <c r="A36" s="130"/>
      <c r="B36" s="66" t="s">
        <v>100</v>
      </c>
      <c r="C36" s="66">
        <f>INDEX(AttackSets[],MATCH(ArmyState[[#This Row],[Name]],AttackSets[Unit Set],0),MATCH(AttackSet,AttackSets[#Headers],0))</f>
        <v>0</v>
      </c>
      <c r="D36" s="67" t="str">
        <f>INDEX(UnitCosts[Type],MATCH(ArmyState[[#This Row],[Name]],UnitCosts[Name],0))</f>
        <v>Unit</v>
      </c>
      <c r="E36" s="66">
        <f ca="1">IFERROR(MATCH(1,OFFSET(ConstructionState[],MATCH(ArmyState[[#This Row],[Name]],ConstructionState[Building or Upgrade],0)-1,L1Offset,1,12)),1)</f>
        <v>1</v>
      </c>
      <c r="F36" s="67" t="str">
        <f>INDEX(UnitCosts[Resource],MATCH(ArmyState[[#This Row],[Name]],UnitCosts[Name],0))</f>
        <v>Dark Elixir</v>
      </c>
      <c r="G36" s="23">
        <f ca="1">VLOOKUP(ArmyState[[#This Row],[Name]],UnitCosts[],MATCH(TEXT(ArmyState[[#This Row],[Level]],"#"),UnitCosts[#Headers],0),FALSE)</f>
        <v>450</v>
      </c>
      <c r="H36" s="188">
        <f>INDEX(UnitCosts[Train Time],MATCH(ArmyState[[#This Row],[Name]],UnitCosts[Name],0))</f>
        <v>45</v>
      </c>
      <c r="I36" s="189">
        <f>INDEX(UnitCosts[Space],MATCH(ArmyState[[#This Row],[Name]],UnitCosts[Name],0))</f>
        <v>30</v>
      </c>
      <c r="J36" s="23">
        <f ca="1">ArmyState[[#This Row],[Count]]*ArmyState[[#This Row],[Cost]]</f>
        <v>0</v>
      </c>
      <c r="K36" s="188">
        <f>ArmyState[[#This Row],[Count]]*ArmyState[[#This Row],[Time]]</f>
        <v>0</v>
      </c>
      <c r="L36" s="24">
        <f>ArmyState[[#This Row],[Count]]*ArmyState[[#This Row],[Space]]</f>
        <v>0</v>
      </c>
      <c r="M36" s="130"/>
      <c r="N36" s="181" t="s">
        <v>100</v>
      </c>
      <c r="O36" s="186"/>
      <c r="P36" s="181"/>
      <c r="Q36" s="181"/>
      <c r="R36" s="181"/>
      <c r="S36" s="181"/>
      <c r="T36" s="181"/>
      <c r="U36" s="181"/>
      <c r="V36" s="181"/>
      <c r="W36" s="181"/>
      <c r="X36" s="182"/>
      <c r="Y36" s="130"/>
    </row>
    <row r="37" spans="1:25" ht="16" thickBot="1">
      <c r="A37" s="130"/>
      <c r="B37" s="66" t="s">
        <v>101</v>
      </c>
      <c r="C37" s="66">
        <f>INDEX(AttackSets[],MATCH(ArmyState[[#This Row],[Name]],AttackSets[Unit Set],0),MATCH(AttackSet,AttackSets[#Headers],0))</f>
        <v>0</v>
      </c>
      <c r="D37" s="67" t="str">
        <f>INDEX(UnitCosts[Type],MATCH(ArmyState[[#This Row],[Name]],UnitCosts[Name],0))</f>
        <v>Unit</v>
      </c>
      <c r="E37" s="66">
        <f ca="1">IFERROR(MATCH(1,OFFSET(ConstructionState[],MATCH(ArmyState[[#This Row],[Name]],ConstructionState[Building or Upgrade],0)-1,L1Offset,1,12)),1)</f>
        <v>1</v>
      </c>
      <c r="F37" s="67" t="str">
        <f>INDEX(UnitCosts[Resource],MATCH(ArmyState[[#This Row],[Name]],UnitCosts[Name],0))</f>
        <v>Dark Elixir</v>
      </c>
      <c r="G37" s="23">
        <f ca="1">VLOOKUP(ArmyState[[#This Row],[Name]],UnitCosts[],MATCH(TEXT(ArmyState[[#This Row],[Level]],"#"),UnitCosts[#Headers],0),FALSE)</f>
        <v>250</v>
      </c>
      <c r="H37" s="188">
        <f>INDEX(UnitCosts[Train Time],MATCH(ArmyState[[#This Row],[Name]],UnitCosts[Name],0))</f>
        <v>20</v>
      </c>
      <c r="I37" s="189">
        <f>INDEX(UnitCosts[Space],MATCH(ArmyState[[#This Row],[Name]],UnitCosts[Name],0))</f>
        <v>12</v>
      </c>
      <c r="J37" s="23">
        <f ca="1">ArmyState[[#This Row],[Count]]*ArmyState[[#This Row],[Cost]]</f>
        <v>0</v>
      </c>
      <c r="K37" s="188">
        <f>ArmyState[[#This Row],[Count]]*ArmyState[[#This Row],[Time]]</f>
        <v>0</v>
      </c>
      <c r="L37" s="24">
        <f>ArmyState[[#This Row],[Count]]*ArmyState[[#This Row],[Space]]</f>
        <v>0</v>
      </c>
      <c r="M37" s="130"/>
      <c r="N37" s="181" t="s">
        <v>101</v>
      </c>
      <c r="O37" s="187"/>
      <c r="P37" s="183"/>
      <c r="Q37" s="183"/>
      <c r="R37" s="183"/>
      <c r="S37" s="183"/>
      <c r="T37" s="183"/>
      <c r="U37" s="183"/>
      <c r="V37" s="183"/>
      <c r="W37" s="183"/>
      <c r="X37" s="184"/>
      <c r="Y37" s="130"/>
    </row>
    <row r="38" spans="1:25" ht="16" thickTop="1">
      <c r="A38" s="130"/>
      <c r="B38" s="130"/>
      <c r="C38" s="130"/>
      <c r="D38" s="130"/>
      <c r="E38" s="130"/>
      <c r="F38" s="130"/>
      <c r="G38" s="130"/>
      <c r="H38" s="130"/>
      <c r="I38" s="130"/>
      <c r="J38" s="130"/>
      <c r="K38" s="130"/>
      <c r="L38" s="130"/>
      <c r="M38" s="130"/>
      <c r="N38" s="122" t="s">
        <v>200</v>
      </c>
      <c r="O38" s="124">
        <f t="array" aca="1" ref="O38" ca="1">SUMPRODUCT(O$18:O$37,ArmyState[Cost],IF(ArmyState[Resource]="Elixir",1,0),IF(ArmyState[Type]="Unit",1,0))</f>
        <v>0</v>
      </c>
      <c r="P38" s="124">
        <f t="array" aca="1" ref="P38" ca="1">SUMPRODUCT(P$18:P$37,ArmyState[Cost],IF(ArmyState[Resource]="Elixir",1,0),IF(ArmyState[Type]="Unit",1,0))</f>
        <v>52320</v>
      </c>
      <c r="Q38" s="124">
        <f t="array" aca="1" ref="Q38" ca="1">SUMPRODUCT(Q$18:Q$37,ArmyState[Cost],IF(ArmyState[Resource]="Elixir",1,0),IF(ArmyState[Type]="Unit",1,0))</f>
        <v>74080</v>
      </c>
      <c r="R38" s="124">
        <f t="array" aca="1" ref="R38" ca="1">SUMPRODUCT(R$18:R$37,ArmyState[Cost],IF(ArmyState[Resource]="Elixir",1,0),IF(ArmyState[Type]="Unit",1,0))</f>
        <v>79920</v>
      </c>
      <c r="S38" s="124">
        <f t="array" aca="1" ref="S38" ca="1">SUMPRODUCT(S$18:S$37,ArmyState[Cost],IF(ArmyState[Resource]="Elixir",1,0),IF(ArmyState[Type]="Unit",1,0))</f>
        <v>62400</v>
      </c>
      <c r="T38" s="124">
        <f t="array" aca="1" ref="T38" ca="1">SUMPRODUCT(T$18:T$37,ArmyState[Cost],IF(ArmyState[Resource]="Elixir",1,0),IF(ArmyState[Type]="Unit",1,0))</f>
        <v>22400</v>
      </c>
      <c r="U38" s="124">
        <f t="array" aca="1" ref="U38" ca="1">SUMPRODUCT(U$18:U$37,ArmyState[Cost],IF(ArmyState[Resource]="Elixir",1,0),IF(ArmyState[Type]="Unit",1,0))</f>
        <v>46340</v>
      </c>
      <c r="V38" s="124">
        <f t="array" aca="1" ref="V38" ca="1">SUMPRODUCT(V$18:V$37,ArmyState[Cost],IF(ArmyState[Resource]="Elixir",1,0),IF(ArmyState[Type]="Unit",1,0))</f>
        <v>0</v>
      </c>
      <c r="W38" s="124">
        <f t="array" aca="1" ref="W38" ca="1">SUMPRODUCT(W$18:W$37,ArmyState[Cost],IF(ArmyState[Resource]="Elixir",1,0),IF(ArmyState[Type]="Unit",1,0))</f>
        <v>0</v>
      </c>
      <c r="X38" s="138">
        <f t="array" aca="1" ref="X38" ca="1">SUMPRODUCT(X$18:X$37,ArmyState[Cost],IF(ArmyState[Resource]="Elixir",1,0),IF(ArmyState[Type]="Unit",1,0))</f>
        <v>0</v>
      </c>
      <c r="Y38" s="130"/>
    </row>
    <row r="39" spans="1:25" ht="16" thickBot="1">
      <c r="A39" s="130"/>
      <c r="B39" s="130"/>
      <c r="C39" s="130"/>
      <c r="D39" s="130"/>
      <c r="E39" s="130"/>
      <c r="F39" s="130"/>
      <c r="G39" s="130"/>
      <c r="H39" s="130"/>
      <c r="I39" s="130"/>
      <c r="J39" s="130"/>
      <c r="K39" s="130"/>
      <c r="L39" s="130"/>
      <c r="M39" s="130"/>
      <c r="N39" s="123" t="s">
        <v>201</v>
      </c>
      <c r="O39" s="125">
        <f t="array" aca="1" ref="O39" ca="1">SUMPRODUCT(O$18:O$37,ArmyState[Cost],IF(ArmyState[Resource]="Elixir",1,0),IF(ArmyState[Type]="Spell",1,0))</f>
        <v>0</v>
      </c>
      <c r="P39" s="125">
        <f t="array" aca="1" ref="P39" ca="1">SUMPRODUCT(P$18:P$37,ArmyState[Cost],IF(ArmyState[Resource]="Elixir",1,0),IF(ArmyState[Type]="Spell",1,0))</f>
        <v>0</v>
      </c>
      <c r="Q39" s="125">
        <f t="array" aca="1" ref="Q39" ca="1">SUMPRODUCT(Q$18:Q$37,ArmyState[Cost],IF(ArmyState[Resource]="Elixir",1,0),IF(ArmyState[Type]="Spell",1,0))</f>
        <v>60000</v>
      </c>
      <c r="R39" s="125">
        <f t="array" aca="1" ref="R39" ca="1">SUMPRODUCT(R$18:R$37,ArmyState[Cost],IF(ArmyState[Resource]="Elixir",1,0),IF(ArmyState[Type]="Spell",1,0))</f>
        <v>60000</v>
      </c>
      <c r="S39" s="125">
        <f t="array" aca="1" ref="S39" ca="1">SUMPRODUCT(S$18:S$37,ArmyState[Cost],IF(ArmyState[Resource]="Elixir",1,0),IF(ArmyState[Type]="Spell",1,0))</f>
        <v>40000</v>
      </c>
      <c r="T39" s="125">
        <f t="array" aca="1" ref="T39" ca="1">SUMPRODUCT(T$18:T$37,ArmyState[Cost],IF(ArmyState[Resource]="Elixir",1,0),IF(ArmyState[Type]="Spell",1,0))</f>
        <v>0</v>
      </c>
      <c r="U39" s="125">
        <f t="array" aca="1" ref="U39" ca="1">SUMPRODUCT(U$18:U$37,ArmyState[Cost],IF(ArmyState[Resource]="Elixir",1,0),IF(ArmyState[Type]="Spell",1,0))</f>
        <v>65000</v>
      </c>
      <c r="V39" s="125">
        <f t="array" aca="1" ref="V39" ca="1">SUMPRODUCT(V$18:V$37,ArmyState[Cost],IF(ArmyState[Resource]="Elixir",1,0),IF(ArmyState[Type]="Spell",1,0))</f>
        <v>0</v>
      </c>
      <c r="W39" s="125">
        <f t="array" aca="1" ref="W39" ca="1">SUMPRODUCT(W$18:W$37,ArmyState[Cost],IF(ArmyState[Resource]="Elixir",1,0),IF(ArmyState[Type]="Spell",1,0))</f>
        <v>0</v>
      </c>
      <c r="X39" s="137">
        <f t="array" aca="1" ref="X39" ca="1">SUMPRODUCT(X$18:X$37,ArmyState[Cost],IF(ArmyState[Resource]="Elixir",1,0),IF(ArmyState[Type]="Spell",1,0))</f>
        <v>0</v>
      </c>
      <c r="Y39" s="130"/>
    </row>
    <row r="40" spans="1:25" ht="16" thickTop="1">
      <c r="A40" s="130"/>
      <c r="B40" s="130"/>
      <c r="C40" s="130"/>
      <c r="D40" s="130"/>
      <c r="E40" s="130"/>
      <c r="F40" s="130"/>
      <c r="G40" s="130"/>
      <c r="H40" s="130"/>
      <c r="I40" s="130"/>
      <c r="J40" s="130"/>
      <c r="K40" s="130"/>
      <c r="L40" s="130"/>
      <c r="M40" s="130"/>
      <c r="N40" s="122" t="s">
        <v>199</v>
      </c>
      <c r="O40" s="124">
        <f t="array" aca="1" ref="O40" ca="1">SUMPRODUCT(O$18:O$37,ArmyState[Cost],IF(ArmyState[Resource]="Elixir",1,0))</f>
        <v>0</v>
      </c>
      <c r="P40" s="124">
        <f t="array" aca="1" ref="P40" ca="1">SUMPRODUCT(P$18:P$37,ArmyState[Cost],IF(ArmyState[Resource]="Elixir",1,0))</f>
        <v>52320</v>
      </c>
      <c r="Q40" s="124">
        <f t="array" aca="1" ref="Q40" ca="1">SUMPRODUCT(Q$18:Q$37,ArmyState[Cost],IF(ArmyState[Resource]="Elixir",1,0))</f>
        <v>134080</v>
      </c>
      <c r="R40" s="124">
        <f t="array" aca="1" ref="R40" ca="1">SUMPRODUCT(R$18:R$37,ArmyState[Cost],IF(ArmyState[Resource]="Elixir",1,0))</f>
        <v>139920</v>
      </c>
      <c r="S40" s="124">
        <f t="array" aca="1" ref="S40" ca="1">SUMPRODUCT(S$18:S$37,ArmyState[Cost],IF(ArmyState[Resource]="Elixir",1,0))</f>
        <v>102400</v>
      </c>
      <c r="T40" s="124">
        <f t="array" aca="1" ref="T40" ca="1">SUMPRODUCT(T$18:T$37,ArmyState[Cost],IF(ArmyState[Resource]="Elixir",1,0))</f>
        <v>22400</v>
      </c>
      <c r="U40" s="124">
        <f t="array" aca="1" ref="U40" ca="1">SUMPRODUCT(U$18:U$37,ArmyState[Cost],IF(ArmyState[Resource]="Elixir",1,0))</f>
        <v>111340</v>
      </c>
      <c r="V40" s="124">
        <f t="array" aca="1" ref="V40" ca="1">SUMPRODUCT(V$18:V$37,ArmyState[Cost],IF(ArmyState[Resource]="Elixir",1,0))</f>
        <v>0</v>
      </c>
      <c r="W40" s="124">
        <f t="array" aca="1" ref="W40" ca="1">SUMPRODUCT(W$18:W$37,ArmyState[Cost],IF(ArmyState[Resource]="Elixir",1,0))</f>
        <v>0</v>
      </c>
      <c r="X40" s="138">
        <f t="array" aca="1" ref="X40" ca="1">SUMPRODUCT(X$18:X$37,ArmyState[Cost],IF(ArmyState[Resource]="Elixir",1,0))</f>
        <v>0</v>
      </c>
      <c r="Y40" s="130"/>
    </row>
    <row r="41" spans="1:25" ht="16" thickBot="1">
      <c r="A41" s="130"/>
      <c r="B41" s="130"/>
      <c r="C41" s="130"/>
      <c r="D41" s="130"/>
      <c r="E41" s="130"/>
      <c r="F41" s="130"/>
      <c r="G41" s="130"/>
      <c r="H41" s="130"/>
      <c r="I41" s="130"/>
      <c r="J41" s="130"/>
      <c r="K41" s="130"/>
      <c r="L41" s="130"/>
      <c r="M41" s="130"/>
      <c r="N41" s="123" t="s">
        <v>102</v>
      </c>
      <c r="O41" s="125">
        <f t="array" aca="1" ref="O41" ca="1">SUMPRODUCT(O$18:O$37,ArmyState[Cost],IF(ArmyState[Resource]="Dark Elixir",1,0))</f>
        <v>0</v>
      </c>
      <c r="P41" s="125">
        <f t="array" aca="1" ref="P41" ca="1">SUMPRODUCT(P$18:P$37,ArmyState[Cost],IF(ArmyState[Resource]="Dark Elixir",1,0))</f>
        <v>0</v>
      </c>
      <c r="Q41" s="125">
        <f t="array" aca="1" ref="Q41" ca="1">SUMPRODUCT(Q$18:Q$37,ArmyState[Cost],IF(ArmyState[Resource]="Dark Elixir",1,0))</f>
        <v>0</v>
      </c>
      <c r="R41" s="125">
        <f t="array" aca="1" ref="R41" ca="1">SUMPRODUCT(R$18:R$37,ArmyState[Cost],IF(ArmyState[Resource]="Dark Elixir",1,0))</f>
        <v>0</v>
      </c>
      <c r="S41" s="125">
        <f t="array" aca="1" ref="S41" ca="1">SUMPRODUCT(S$18:S$37,ArmyState[Cost],IF(ArmyState[Resource]="Dark Elixir",1,0))</f>
        <v>0</v>
      </c>
      <c r="T41" s="125">
        <f t="array" aca="1" ref="T41" ca="1">SUMPRODUCT(T$18:T$37,ArmyState[Cost],IF(ArmyState[Resource]="Dark Elixir",1,0))</f>
        <v>0</v>
      </c>
      <c r="U41" s="125">
        <f t="array" aca="1" ref="U41" ca="1">SUMPRODUCT(U$18:U$37,ArmyState[Cost],IF(ArmyState[Resource]="Dark Elixir",1,0))</f>
        <v>0</v>
      </c>
      <c r="V41" s="125">
        <f t="array" aca="1" ref="V41" ca="1">SUMPRODUCT(V$18:V$37,ArmyState[Cost],IF(ArmyState[Resource]="Dark Elixir",1,0))</f>
        <v>0</v>
      </c>
      <c r="W41" s="125">
        <f t="array" aca="1" ref="W41" ca="1">SUMPRODUCT(W$18:W$37,ArmyState[Cost],IF(ArmyState[Resource]="Dark Elixir",1,0))</f>
        <v>0</v>
      </c>
      <c r="X41" s="137">
        <f t="array" aca="1" ref="X41" ca="1">SUMPRODUCT(X$18:X$37,ArmyState[Cost],IF(ArmyState[Resource]="Dark Elixir",1,0))</f>
        <v>0</v>
      </c>
      <c r="Y41" s="130"/>
    </row>
    <row r="42" spans="1:25" ht="16" thickTop="1">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row>
  </sheetData>
  <sheetProtection sort="0" autoFilter="0" pivotTables="0"/>
  <mergeCells count="17">
    <mergeCell ref="B2:H3"/>
    <mergeCell ref="B4:H7"/>
    <mergeCell ref="J2:N3"/>
    <mergeCell ref="K4:N4"/>
    <mergeCell ref="K5:N5"/>
    <mergeCell ref="K7:N7"/>
    <mergeCell ref="K6:N6"/>
    <mergeCell ref="D15:G15"/>
    <mergeCell ref="B15:C15"/>
    <mergeCell ref="N15:X15"/>
    <mergeCell ref="F9:I9"/>
    <mergeCell ref="B9:D9"/>
    <mergeCell ref="M10:N10"/>
    <mergeCell ref="M11:N11"/>
    <mergeCell ref="M12:N12"/>
    <mergeCell ref="M13:N13"/>
    <mergeCell ref="K9:N9"/>
  </mergeCells>
  <conditionalFormatting sqref="C11:D13 L11:M13 G11:I12 O38:X41">
    <cfRule type="cellIs" dxfId="230" priority="7" operator="equal">
      <formula>0</formula>
    </cfRule>
  </conditionalFormatting>
  <conditionalFormatting sqref="I11:I12">
    <cfRule type="cellIs" dxfId="229" priority="5" operator="greaterThan">
      <formula>0</formula>
    </cfRule>
    <cfRule type="cellIs" dxfId="228" priority="8" operator="lessThan">
      <formula>0</formula>
    </cfRule>
  </conditionalFormatting>
  <conditionalFormatting sqref="O17:X17">
    <cfRule type="expression" dxfId="227" priority="1">
      <formula>$D$15=O$17</formula>
    </cfRule>
  </conditionalFormatting>
  <conditionalFormatting sqref="A1:XFD1048576">
    <cfRule type="containsErrors" dxfId="226" priority="4">
      <formula>ISERROR(A1)</formula>
    </cfRule>
  </conditionalFormatting>
  <conditionalFormatting sqref="N18:X37">
    <cfRule type="expression" dxfId="225" priority="2">
      <formula>$D$15=N$17</formula>
    </cfRule>
  </conditionalFormatting>
  <dataValidations count="2">
    <dataValidation type="whole" operator="greaterThanOrEqual" allowBlank="1" showInputMessage="1" showErrorMessage="1" sqref="C18">
      <formula1>0</formula1>
    </dataValidation>
    <dataValidation type="list" allowBlank="1" showInputMessage="1" showErrorMessage="1" sqref="D15:G15">
      <formula1>UnitSetNames</formula1>
    </dataValidation>
  </dataValidations>
  <pageMargins left="0.75" right="0.75" top="1" bottom="1" header="0.5" footer="0.5"/>
  <pageSetup orientation="portrait" horizontalDpi="4294967292" verticalDpi="4294967292"/>
  <tableParts count="2">
    <tablePart r:id="rId1"/>
    <tablePart r:id="rId2"/>
  </tableParts>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 workbookViewId="1">
      <selection activeCell="F27" sqref="F27"/>
    </sheetView>
  </sheetViews>
  <sheetFormatPr baseColWidth="10" defaultRowHeight="15" x14ac:dyDescent="0"/>
  <cols>
    <col min="1" max="16384" width="10.83203125" style="11"/>
  </cols>
  <sheetData>
    <row r="1" spans="1:6" ht="16" thickTop="1">
      <c r="A1" s="317" t="s">
        <v>134</v>
      </c>
      <c r="B1" s="318"/>
      <c r="C1" s="318"/>
      <c r="D1" s="318"/>
      <c r="E1" s="318"/>
      <c r="F1" s="319"/>
    </row>
    <row r="2" spans="1:6" ht="16" thickBot="1">
      <c r="A2" s="320"/>
      <c r="B2" s="321"/>
      <c r="C2" s="321"/>
      <c r="D2" s="321"/>
      <c r="E2" s="321"/>
      <c r="F2" s="322"/>
    </row>
    <row r="3" spans="1:6" ht="16" thickTop="1"/>
    <row r="4" spans="1:6">
      <c r="A4" s="323" t="s">
        <v>193</v>
      </c>
      <c r="B4" s="324"/>
      <c r="C4" s="324"/>
      <c r="D4" s="324"/>
      <c r="E4" s="324"/>
      <c r="F4" s="324"/>
    </row>
    <row r="5" spans="1:6">
      <c r="A5" s="324"/>
      <c r="B5" s="324"/>
      <c r="C5" s="324"/>
      <c r="D5" s="324"/>
      <c r="E5" s="324"/>
      <c r="F5" s="324"/>
    </row>
    <row r="6" spans="1:6">
      <c r="A6" s="324"/>
      <c r="B6" s="324"/>
      <c r="C6" s="324"/>
      <c r="D6" s="324"/>
      <c r="E6" s="324"/>
      <c r="F6" s="324"/>
    </row>
    <row r="7" spans="1:6">
      <c r="A7" s="324"/>
      <c r="B7" s="324"/>
      <c r="C7" s="324"/>
      <c r="D7" s="324"/>
      <c r="E7" s="324"/>
      <c r="F7" s="324"/>
    </row>
    <row r="8" spans="1:6">
      <c r="A8" s="324"/>
      <c r="B8" s="324"/>
      <c r="C8" s="324"/>
      <c r="D8" s="324"/>
      <c r="E8" s="324"/>
      <c r="F8" s="324"/>
    </row>
    <row r="9" spans="1:6">
      <c r="A9" s="324"/>
      <c r="B9" s="324"/>
      <c r="C9" s="324"/>
      <c r="D9" s="324"/>
      <c r="E9" s="324"/>
      <c r="F9" s="324"/>
    </row>
    <row r="10" spans="1:6">
      <c r="A10" s="325"/>
      <c r="B10" s="325"/>
      <c r="C10" s="325"/>
      <c r="D10" s="325"/>
      <c r="E10" s="325"/>
      <c r="F10" s="325"/>
    </row>
    <row r="11" spans="1:6">
      <c r="A11" s="325"/>
      <c r="B11" s="325"/>
      <c r="C11" s="325"/>
      <c r="D11" s="325"/>
      <c r="E11" s="325"/>
      <c r="F11" s="325"/>
    </row>
    <row r="12" spans="1:6">
      <c r="A12" s="325"/>
      <c r="B12" s="325"/>
      <c r="C12" s="325"/>
      <c r="D12" s="325"/>
      <c r="E12" s="325"/>
      <c r="F12" s="325"/>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59"/>
  <sheetViews>
    <sheetView topLeftCell="A16" workbookViewId="0">
      <selection activeCell="C21" sqref="C21"/>
    </sheetView>
    <sheetView workbookViewId="1">
      <selection activeCell="C21" sqref="C21"/>
    </sheetView>
  </sheetViews>
  <sheetFormatPr baseColWidth="10" defaultRowHeight="15" x14ac:dyDescent="0"/>
  <cols>
    <col min="1" max="1" width="5" style="56" customWidth="1"/>
    <col min="2" max="2" width="10.5" style="56" bestFit="1" customWidth="1"/>
    <col min="3" max="3" width="73.33203125" style="56" customWidth="1"/>
    <col min="4" max="16384" width="10.83203125" style="56"/>
  </cols>
  <sheetData>
    <row r="1" spans="2:3" ht="16" thickBot="1"/>
    <row r="2" spans="2:3" ht="17" thickTop="1" thickBot="1">
      <c r="B2" s="326" t="s">
        <v>114</v>
      </c>
      <c r="C2" s="327"/>
    </row>
    <row r="3" spans="2:3" ht="16" thickTop="1">
      <c r="B3" s="100"/>
      <c r="C3" s="112" t="s">
        <v>115</v>
      </c>
    </row>
    <row r="4" spans="2:3">
      <c r="B4" s="100"/>
      <c r="C4" s="101" t="s">
        <v>123</v>
      </c>
    </row>
    <row r="5" spans="2:3">
      <c r="B5" s="100"/>
      <c r="C5" s="102" t="s">
        <v>135</v>
      </c>
    </row>
    <row r="6" spans="2:3">
      <c r="B6" s="103"/>
      <c r="C6" s="102"/>
    </row>
    <row r="7" spans="2:3">
      <c r="B7" s="103"/>
      <c r="C7" s="104" t="s">
        <v>164</v>
      </c>
    </row>
    <row r="8" spans="2:3">
      <c r="B8" s="103"/>
      <c r="C8" s="102" t="str">
        <f>HYPERLINK("https://github.com/straxhaber")</f>
        <v>https://github.com/straxhaber</v>
      </c>
    </row>
    <row r="9" spans="2:3">
      <c r="B9" s="103"/>
      <c r="C9" s="105"/>
    </row>
    <row r="10" spans="2:3">
      <c r="B10" s="103"/>
      <c r="C10" s="166" t="s">
        <v>238</v>
      </c>
    </row>
    <row r="11" spans="2:3">
      <c r="B11" s="103"/>
      <c r="C11" s="165" t="s">
        <v>241</v>
      </c>
    </row>
    <row r="12" spans="2:3" ht="75">
      <c r="B12" s="103"/>
      <c r="C12" s="107" t="s">
        <v>240</v>
      </c>
    </row>
    <row r="13" spans="2:3" ht="30">
      <c r="B13" s="103"/>
      <c r="C13" s="106" t="s">
        <v>242</v>
      </c>
    </row>
    <row r="14" spans="2:3" ht="30">
      <c r="B14" s="103"/>
      <c r="C14" s="108" t="s">
        <v>166</v>
      </c>
    </row>
    <row r="15" spans="2:3">
      <c r="B15" s="103"/>
      <c r="C15" s="109" t="s">
        <v>239</v>
      </c>
    </row>
    <row r="16" spans="2:3">
      <c r="B16" s="161"/>
      <c r="C16" s="167" t="s">
        <v>167</v>
      </c>
    </row>
    <row r="17" spans="2:3">
      <c r="B17" s="161"/>
      <c r="C17" s="167"/>
    </row>
    <row r="18" spans="2:3" ht="16" thickBot="1">
      <c r="B18" s="168"/>
      <c r="C18" s="169" t="s">
        <v>243</v>
      </c>
    </row>
    <row r="19" spans="2:3" ht="17" thickTop="1" thickBot="1">
      <c r="B19" s="58"/>
      <c r="C19" s="35"/>
    </row>
    <row r="20" spans="2:3" ht="17" thickTop="1" thickBot="1">
      <c r="B20" s="326" t="s">
        <v>165</v>
      </c>
      <c r="C20" s="327"/>
    </row>
    <row r="21" spans="2:3" ht="16" thickTop="1">
      <c r="B21" s="100"/>
      <c r="C21" s="179" t="s">
        <v>182</v>
      </c>
    </row>
    <row r="22" spans="2:3" ht="16" thickBot="1">
      <c r="B22" s="110"/>
      <c r="C22" s="180"/>
    </row>
    <row r="23" spans="2:3" ht="17" thickTop="1" thickBot="1">
      <c r="B23" s="111"/>
    </row>
    <row r="24" spans="2:3" ht="17" thickTop="1" thickBot="1">
      <c r="B24" s="326" t="s">
        <v>118</v>
      </c>
      <c r="C24" s="327"/>
    </row>
    <row r="25" spans="2:3" ht="46" thickTop="1">
      <c r="B25" s="103"/>
      <c r="C25" s="112" t="s">
        <v>117</v>
      </c>
    </row>
    <row r="26" spans="2:3">
      <c r="B26" s="103"/>
      <c r="C26" s="102" t="str">
        <f>HYPERLINK("http://creativecommons.org/licenses/by-sa/3.0/", "Read the license summary")</f>
        <v>Read the license summary</v>
      </c>
    </row>
    <row r="27" spans="2:3">
      <c r="B27" s="103"/>
      <c r="C27" s="102" t="str">
        <f>HYPERLINK("http://creativecommons.org/licenses/by-sa/3.0/legalcode", "Read the full legal code of the license")</f>
        <v>Read the full legal code of the license</v>
      </c>
    </row>
    <row r="28" spans="2:3">
      <c r="B28" s="103"/>
      <c r="C28" s="112"/>
    </row>
    <row r="29" spans="2:3" ht="31" thickBot="1">
      <c r="B29" s="110"/>
      <c r="C29" s="113" t="s">
        <v>130</v>
      </c>
    </row>
    <row r="30" spans="2:3" ht="17" thickTop="1" thickBot="1">
      <c r="B30" s="111"/>
    </row>
    <row r="31" spans="2:3" ht="17" thickTop="1" thickBot="1">
      <c r="B31" s="326" t="s">
        <v>116</v>
      </c>
      <c r="C31" s="327"/>
    </row>
    <row r="32" spans="2:3" ht="16" thickTop="1">
      <c r="B32" s="170"/>
      <c r="C32" s="171" t="s">
        <v>132</v>
      </c>
    </row>
    <row r="33" spans="1:3">
      <c r="B33" s="161"/>
      <c r="C33" s="102" t="s">
        <v>133</v>
      </c>
    </row>
    <row r="34" spans="1:3">
      <c r="B34" s="161"/>
      <c r="C34" s="102"/>
    </row>
    <row r="35" spans="1:3">
      <c r="B35" s="161"/>
      <c r="C35" s="162" t="s">
        <v>244</v>
      </c>
    </row>
    <row r="36" spans="1:3" ht="16" thickBot="1">
      <c r="B36" s="168"/>
      <c r="C36" s="172" t="s">
        <v>245</v>
      </c>
    </row>
    <row r="37" spans="1:3" ht="17" thickTop="1" thickBot="1"/>
    <row r="38" spans="1:3" ht="17" thickTop="1" thickBot="1">
      <c r="B38" s="326" t="s">
        <v>119</v>
      </c>
      <c r="C38" s="327"/>
    </row>
    <row r="39" spans="1:3" ht="16" thickTop="1">
      <c r="B39" s="163" t="s">
        <v>121</v>
      </c>
      <c r="C39" s="164" t="s">
        <v>122</v>
      </c>
    </row>
    <row r="40" spans="1:3">
      <c r="A40" s="111"/>
      <c r="B40" s="114">
        <v>41780</v>
      </c>
      <c r="C40" s="105" t="s">
        <v>120</v>
      </c>
    </row>
    <row r="41" spans="1:3" ht="60">
      <c r="A41" s="111"/>
      <c r="B41" s="114">
        <v>41814</v>
      </c>
      <c r="C41" s="105" t="s">
        <v>131</v>
      </c>
    </row>
    <row r="42" spans="1:3">
      <c r="A42" s="111"/>
      <c r="B42" s="114">
        <v>41815</v>
      </c>
      <c r="C42" s="112" t="s">
        <v>124</v>
      </c>
    </row>
    <row r="43" spans="1:3" ht="30">
      <c r="A43" s="111"/>
      <c r="B43" s="114">
        <v>41816</v>
      </c>
      <c r="C43" s="112" t="s">
        <v>162</v>
      </c>
    </row>
    <row r="44" spans="1:3" ht="60">
      <c r="A44" s="111"/>
      <c r="B44" s="114">
        <v>41824</v>
      </c>
      <c r="C44" s="112" t="s">
        <v>246</v>
      </c>
    </row>
    <row r="45" spans="1:3" ht="60">
      <c r="A45" s="111"/>
      <c r="B45" s="114">
        <v>41830</v>
      </c>
      <c r="C45" s="112" t="s">
        <v>261</v>
      </c>
    </row>
    <row r="46" spans="1:3">
      <c r="A46" s="111"/>
      <c r="B46" s="114">
        <v>41832</v>
      </c>
      <c r="C46" s="112" t="s">
        <v>263</v>
      </c>
    </row>
    <row r="47" spans="1:3">
      <c r="A47" s="111"/>
      <c r="B47" s="114"/>
      <c r="C47" s="112"/>
    </row>
    <row r="48" spans="1:3" ht="16" thickBot="1">
      <c r="A48" s="111"/>
      <c r="B48" s="115"/>
      <c r="C48" s="113"/>
    </row>
    <row r="49" spans="1:3" ht="17" thickTop="1" thickBot="1">
      <c r="A49" s="111"/>
    </row>
    <row r="50" spans="1:3" ht="17" thickTop="1" thickBot="1">
      <c r="A50" s="111"/>
      <c r="B50" s="326" t="s">
        <v>141</v>
      </c>
      <c r="C50" s="327"/>
    </row>
    <row r="51" spans="1:3" ht="16" thickTop="1">
      <c r="A51" s="111"/>
      <c r="B51" s="163" t="s">
        <v>138</v>
      </c>
      <c r="C51" s="164" t="s">
        <v>122</v>
      </c>
    </row>
    <row r="52" spans="1:3">
      <c r="B52" s="114" t="s">
        <v>142</v>
      </c>
      <c r="C52" s="105" t="s">
        <v>144</v>
      </c>
    </row>
    <row r="53" spans="1:3">
      <c r="B53" s="114" t="s">
        <v>142</v>
      </c>
      <c r="C53" s="112" t="s">
        <v>149</v>
      </c>
    </row>
    <row r="54" spans="1:3">
      <c r="B54" s="114" t="s">
        <v>142</v>
      </c>
      <c r="C54" s="112" t="s">
        <v>161</v>
      </c>
    </row>
    <row r="55" spans="1:3">
      <c r="B55" s="160"/>
      <c r="C55" s="112"/>
    </row>
    <row r="56" spans="1:3">
      <c r="B56" s="161"/>
      <c r="C56" s="162"/>
    </row>
    <row r="57" spans="1:3">
      <c r="B57" s="114"/>
      <c r="C57" s="112"/>
    </row>
    <row r="58" spans="1:3" ht="16" thickBot="1">
      <c r="B58" s="115"/>
      <c r="C58" s="113"/>
    </row>
    <row r="59" spans="1:3" ht="16" thickTop="1"/>
  </sheetData>
  <sheetProtection password="9AF0" sheet="1" objects="1" scenarios="1" selectLockedCells="1"/>
  <mergeCells count="6">
    <mergeCell ref="B2:C2"/>
    <mergeCell ref="B24:C24"/>
    <mergeCell ref="B38:C38"/>
    <mergeCell ref="B31:C31"/>
    <mergeCell ref="B50:C50"/>
    <mergeCell ref="B20:C20"/>
  </mergeCells>
  <phoneticPr fontId="8" type="noConversion"/>
  <hyperlinks>
    <hyperlink ref="C33" r:id="rId1"/>
    <hyperlink ref="C5" r:id="rId2"/>
    <hyperlink ref="C14"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299"/>
  <sheetViews>
    <sheetView workbookViewId="0">
      <selection activeCell="A250" sqref="A250"/>
    </sheetView>
    <sheetView topLeftCell="A43" zoomScale="125" zoomScaleNormal="125" zoomScalePageLayoutView="125" workbookViewId="1">
      <selection activeCell="B56" sqref="B56"/>
    </sheetView>
  </sheetViews>
  <sheetFormatPr baseColWidth="10" defaultRowHeight="15" x14ac:dyDescent="0"/>
  <cols>
    <col min="1" max="1" width="17.5" style="11" bestFit="1" customWidth="1"/>
    <col min="2" max="2" width="11" style="11" customWidth="1"/>
    <col min="3" max="3" width="11.5" style="11" bestFit="1" customWidth="1"/>
    <col min="4" max="4" width="10.83203125" style="11"/>
    <col min="5" max="15" width="10" style="11" customWidth="1"/>
    <col min="16" max="27" width="10.1640625" style="11" customWidth="1"/>
    <col min="28" max="34" width="10.83203125" style="11"/>
    <col min="35" max="43" width="11" style="11" customWidth="1"/>
    <col min="44" max="16384" width="10.83203125" style="11"/>
  </cols>
  <sheetData>
    <row r="1" spans="1:27" ht="32" thickTop="1" thickBot="1">
      <c r="A1" s="331" t="s">
        <v>154</v>
      </c>
      <c r="B1" s="332"/>
      <c r="C1" s="332"/>
      <c r="D1" s="332"/>
      <c r="E1" s="332"/>
      <c r="F1" s="332"/>
      <c r="G1" s="332"/>
      <c r="H1" s="332"/>
      <c r="I1" s="332"/>
      <c r="J1" s="332"/>
      <c r="K1" s="332"/>
      <c r="L1" s="332"/>
      <c r="M1" s="332"/>
      <c r="N1" s="332"/>
      <c r="O1" s="332"/>
      <c r="P1" s="332"/>
      <c r="Q1" s="332"/>
      <c r="R1" s="332"/>
      <c r="S1" s="332"/>
      <c r="T1" s="332"/>
      <c r="U1" s="332"/>
      <c r="V1" s="332"/>
      <c r="W1" s="332"/>
      <c r="X1" s="332"/>
      <c r="Y1" s="332"/>
      <c r="Z1" s="332"/>
      <c r="AA1" s="333"/>
    </row>
    <row r="2" spans="1:27" ht="16" customHeight="1" thickTop="1">
      <c r="A2" s="11" t="s">
        <v>14</v>
      </c>
      <c r="B2" s="11" t="s">
        <v>70</v>
      </c>
      <c r="C2" s="11" t="s">
        <v>30</v>
      </c>
      <c r="D2" s="72" t="s">
        <v>44</v>
      </c>
      <c r="E2" s="57" t="s">
        <v>45</v>
      </c>
      <c r="F2" s="57" t="s">
        <v>46</v>
      </c>
      <c r="G2" s="57" t="s">
        <v>47</v>
      </c>
      <c r="H2" s="57" t="s">
        <v>48</v>
      </c>
      <c r="I2" s="57" t="s">
        <v>49</v>
      </c>
      <c r="J2" s="57" t="s">
        <v>50</v>
      </c>
      <c r="K2" s="57" t="s">
        <v>51</v>
      </c>
      <c r="L2" s="57" t="s">
        <v>52</v>
      </c>
      <c r="M2" s="57" t="s">
        <v>53</v>
      </c>
      <c r="N2" s="57" t="s">
        <v>54</v>
      </c>
      <c r="O2" s="73" t="s">
        <v>55</v>
      </c>
      <c r="P2" s="11" t="s">
        <v>56</v>
      </c>
      <c r="Q2" s="11" t="s">
        <v>57</v>
      </c>
      <c r="R2" s="11" t="s">
        <v>58</v>
      </c>
      <c r="S2" s="11" t="s">
        <v>59</v>
      </c>
      <c r="T2" s="11" t="s">
        <v>60</v>
      </c>
      <c r="U2" s="11" t="s">
        <v>61</v>
      </c>
      <c r="V2" s="11" t="s">
        <v>62</v>
      </c>
      <c r="W2" s="11" t="s">
        <v>63</v>
      </c>
      <c r="X2" s="11" t="s">
        <v>64</v>
      </c>
      <c r="Y2" s="11" t="s">
        <v>65</v>
      </c>
      <c r="Z2" s="11" t="s">
        <v>66</v>
      </c>
      <c r="AA2" s="11" t="s">
        <v>67</v>
      </c>
    </row>
    <row r="3" spans="1:27">
      <c r="A3" s="11" t="s">
        <v>13</v>
      </c>
      <c r="B3" s="11" t="s">
        <v>14</v>
      </c>
      <c r="C3" s="11" t="s">
        <v>29</v>
      </c>
      <c r="D3" s="74">
        <v>0</v>
      </c>
      <c r="E3" s="75">
        <v>1000</v>
      </c>
      <c r="F3" s="75">
        <v>4000</v>
      </c>
      <c r="G3" s="75">
        <v>25000</v>
      </c>
      <c r="H3" s="75">
        <v>150000</v>
      </c>
      <c r="I3" s="75">
        <v>750000</v>
      </c>
      <c r="J3" s="75">
        <v>1200000</v>
      </c>
      <c r="K3" s="75">
        <v>2000000</v>
      </c>
      <c r="L3" s="75">
        <v>3000000</v>
      </c>
      <c r="M3" s="75">
        <v>4000000</v>
      </c>
      <c r="N3" s="75" t="e">
        <v>#N/A</v>
      </c>
      <c r="O3" s="75" t="e">
        <v>#N/A</v>
      </c>
      <c r="P3" s="76">
        <v>0</v>
      </c>
      <c r="Q3" s="77">
        <v>3.472222222222222E-3</v>
      </c>
      <c r="R3" s="77">
        <v>0.125</v>
      </c>
      <c r="S3" s="77">
        <v>1</v>
      </c>
      <c r="T3" s="77">
        <v>2</v>
      </c>
      <c r="U3" s="77">
        <v>4</v>
      </c>
      <c r="V3" s="77">
        <v>6</v>
      </c>
      <c r="W3" s="77">
        <v>8</v>
      </c>
      <c r="X3" s="77">
        <v>10</v>
      </c>
      <c r="Y3" s="77">
        <v>14</v>
      </c>
      <c r="Z3" s="77" t="e">
        <v>#N/A</v>
      </c>
      <c r="AA3" s="77" t="e">
        <v>#N/A</v>
      </c>
    </row>
    <row r="4" spans="1:27">
      <c r="A4" s="11" t="s">
        <v>20</v>
      </c>
      <c r="B4" s="11" t="s">
        <v>14</v>
      </c>
      <c r="C4" s="11" t="s">
        <v>1</v>
      </c>
      <c r="D4" s="74">
        <v>25000</v>
      </c>
      <c r="E4" s="75">
        <v>50000</v>
      </c>
      <c r="F4" s="75">
        <v>90000</v>
      </c>
      <c r="G4" s="75">
        <v>270000</v>
      </c>
      <c r="H4" s="75">
        <v>500000</v>
      </c>
      <c r="I4" s="75">
        <v>1000000</v>
      </c>
      <c r="J4" s="75">
        <v>2500000</v>
      </c>
      <c r="K4" s="75">
        <v>4000000</v>
      </c>
      <c r="L4" s="75" t="e">
        <v>#N/A</v>
      </c>
      <c r="M4" s="75" t="e">
        <v>#N/A</v>
      </c>
      <c r="N4" s="75" t="e">
        <v>#N/A</v>
      </c>
      <c r="O4" s="75" t="e">
        <v>#N/A</v>
      </c>
      <c r="P4" s="76">
        <v>2.0833333333333332E-2</v>
      </c>
      <c r="Q4" s="77">
        <v>0.20833333333333334</v>
      </c>
      <c r="R4" s="77">
        <v>0.5</v>
      </c>
      <c r="S4" s="77">
        <v>1</v>
      </c>
      <c r="T4" s="77">
        <v>2</v>
      </c>
      <c r="U4" s="77">
        <v>4</v>
      </c>
      <c r="V4" s="77">
        <v>5</v>
      </c>
      <c r="W4" s="77">
        <v>6</v>
      </c>
      <c r="X4" s="77" t="e">
        <v>#N/A</v>
      </c>
      <c r="Y4" s="77" t="e">
        <v>#N/A</v>
      </c>
      <c r="Z4" s="77" t="e">
        <v>#N/A</v>
      </c>
      <c r="AA4" s="77" t="e">
        <v>#N/A</v>
      </c>
    </row>
    <row r="5" spans="1:27">
      <c r="A5" s="11" t="s">
        <v>15</v>
      </c>
      <c r="B5" s="11" t="s">
        <v>14</v>
      </c>
      <c r="C5" s="11" t="s">
        <v>1</v>
      </c>
      <c r="D5" s="74">
        <v>150</v>
      </c>
      <c r="E5" s="75">
        <v>300</v>
      </c>
      <c r="F5" s="75">
        <v>700</v>
      </c>
      <c r="G5" s="75">
        <v>1400</v>
      </c>
      <c r="H5" s="75">
        <v>3000</v>
      </c>
      <c r="I5" s="75">
        <v>7000</v>
      </c>
      <c r="J5" s="75">
        <v>14000</v>
      </c>
      <c r="K5" s="75">
        <v>28000</v>
      </c>
      <c r="L5" s="75">
        <v>56000</v>
      </c>
      <c r="M5" s="75">
        <v>84000</v>
      </c>
      <c r="N5" s="75">
        <v>168000</v>
      </c>
      <c r="O5" s="75" t="e">
        <v>#N/A</v>
      </c>
      <c r="P5" s="76">
        <v>6.9444444444444436E-4</v>
      </c>
      <c r="Q5" s="77">
        <v>3.472222222222222E-3</v>
      </c>
      <c r="R5" s="77">
        <v>1.0416666666666666E-2</v>
      </c>
      <c r="S5" s="77">
        <v>4.1666666666666664E-2</v>
      </c>
      <c r="T5" s="77">
        <v>8.3333333333333329E-2</v>
      </c>
      <c r="U5" s="77">
        <v>0.25</v>
      </c>
      <c r="V5" s="77">
        <v>0.5</v>
      </c>
      <c r="W5" s="77">
        <v>1</v>
      </c>
      <c r="X5" s="77">
        <v>2</v>
      </c>
      <c r="Y5" s="77">
        <v>3</v>
      </c>
      <c r="Z5" s="77">
        <v>4</v>
      </c>
      <c r="AA5" s="77" t="e">
        <v>#N/A</v>
      </c>
    </row>
    <row r="6" spans="1:27">
      <c r="A6" s="11" t="s">
        <v>16</v>
      </c>
      <c r="B6" s="11" t="s">
        <v>14</v>
      </c>
      <c r="C6" s="11" t="s">
        <v>29</v>
      </c>
      <c r="D6" s="74">
        <v>150</v>
      </c>
      <c r="E6" s="75">
        <v>300</v>
      </c>
      <c r="F6" s="75">
        <v>700</v>
      </c>
      <c r="G6" s="75">
        <v>1400</v>
      </c>
      <c r="H6" s="75">
        <v>3000</v>
      </c>
      <c r="I6" s="75">
        <v>7000</v>
      </c>
      <c r="J6" s="75">
        <v>14000</v>
      </c>
      <c r="K6" s="75">
        <v>28000</v>
      </c>
      <c r="L6" s="75">
        <v>56000</v>
      </c>
      <c r="M6" s="75">
        <v>84000</v>
      </c>
      <c r="N6" s="75">
        <v>168000</v>
      </c>
      <c r="O6" s="75" t="e">
        <v>#N/A</v>
      </c>
      <c r="P6" s="76">
        <v>6.9444444444444436E-4</v>
      </c>
      <c r="Q6" s="77">
        <v>3.472222222222222E-3</v>
      </c>
      <c r="R6" s="77">
        <v>1.0416666666666666E-2</v>
      </c>
      <c r="S6" s="77">
        <v>4.1666666666666664E-2</v>
      </c>
      <c r="T6" s="77">
        <v>8.3333333333333329E-2</v>
      </c>
      <c r="U6" s="77">
        <v>0.25</v>
      </c>
      <c r="V6" s="77">
        <v>0.5</v>
      </c>
      <c r="W6" s="77">
        <v>1</v>
      </c>
      <c r="X6" s="77">
        <v>2</v>
      </c>
      <c r="Y6" s="77">
        <v>3</v>
      </c>
      <c r="Z6" s="77">
        <v>4</v>
      </c>
      <c r="AA6" s="77" t="e">
        <v>#N/A</v>
      </c>
    </row>
    <row r="7" spans="1:27">
      <c r="A7" s="11" t="s">
        <v>17</v>
      </c>
      <c r="B7" s="11" t="s">
        <v>14</v>
      </c>
      <c r="C7" s="11" t="s">
        <v>1</v>
      </c>
      <c r="D7" s="74">
        <v>1000000</v>
      </c>
      <c r="E7" s="75">
        <v>1500000</v>
      </c>
      <c r="F7" s="75">
        <v>2000000</v>
      </c>
      <c r="G7" s="75">
        <v>3000000</v>
      </c>
      <c r="H7" s="75">
        <v>4000000</v>
      </c>
      <c r="I7" s="75">
        <v>5000000</v>
      </c>
      <c r="J7" s="75" t="e">
        <v>#N/A</v>
      </c>
      <c r="K7" s="75" t="e">
        <v>#N/A</v>
      </c>
      <c r="L7" s="75" t="e">
        <v>#N/A</v>
      </c>
      <c r="M7" s="75" t="e">
        <v>#N/A</v>
      </c>
      <c r="N7" s="75" t="e">
        <v>#N/A</v>
      </c>
      <c r="O7" s="75" t="e">
        <v>#N/A</v>
      </c>
      <c r="P7" s="76">
        <v>1</v>
      </c>
      <c r="Q7" s="77">
        <v>2</v>
      </c>
      <c r="R7" s="77">
        <v>3</v>
      </c>
      <c r="S7" s="77">
        <v>4</v>
      </c>
      <c r="T7" s="77">
        <v>6</v>
      </c>
      <c r="U7" s="77">
        <v>8</v>
      </c>
      <c r="V7" s="77" t="e">
        <v>#N/A</v>
      </c>
      <c r="W7" s="77" t="e">
        <v>#N/A</v>
      </c>
      <c r="X7" s="77" t="e">
        <v>#N/A</v>
      </c>
      <c r="Y7" s="77" t="e">
        <v>#N/A</v>
      </c>
      <c r="Z7" s="77" t="e">
        <v>#N/A</v>
      </c>
      <c r="AA7" s="77" t="e">
        <v>#N/A</v>
      </c>
    </row>
    <row r="8" spans="1:27">
      <c r="A8" s="11" t="s">
        <v>3</v>
      </c>
      <c r="B8" s="11" t="s">
        <v>14</v>
      </c>
      <c r="C8" s="11" t="s">
        <v>1</v>
      </c>
      <c r="D8" s="74">
        <v>300</v>
      </c>
      <c r="E8" s="75">
        <v>750</v>
      </c>
      <c r="F8" s="75">
        <v>1500</v>
      </c>
      <c r="G8" s="75">
        <v>3000</v>
      </c>
      <c r="H8" s="75">
        <v>6000</v>
      </c>
      <c r="I8" s="75">
        <v>12000</v>
      </c>
      <c r="J8" s="75">
        <v>25000</v>
      </c>
      <c r="K8" s="75">
        <v>50000</v>
      </c>
      <c r="L8" s="75">
        <v>100000</v>
      </c>
      <c r="M8" s="75">
        <v>250000</v>
      </c>
      <c r="N8" s="75">
        <v>500000</v>
      </c>
      <c r="O8" s="75" t="e">
        <v>#N/A</v>
      </c>
      <c r="P8" s="76">
        <v>6.9444444444444436E-4</v>
      </c>
      <c r="Q8" s="77">
        <v>2.0833333333333332E-2</v>
      </c>
      <c r="R8" s="77">
        <v>4.1666666666666664E-2</v>
      </c>
      <c r="S8" s="77">
        <v>8.3333333333333329E-2</v>
      </c>
      <c r="T8" s="77">
        <v>0.125</v>
      </c>
      <c r="U8" s="77">
        <v>0.16666666666666666</v>
      </c>
      <c r="V8" s="77">
        <v>0.25</v>
      </c>
      <c r="W8" s="77">
        <v>0.33333333333333331</v>
      </c>
      <c r="X8" s="77">
        <v>0.5</v>
      </c>
      <c r="Y8" s="77">
        <v>1</v>
      </c>
      <c r="Z8" s="77">
        <v>2</v>
      </c>
      <c r="AA8" s="77" t="e">
        <v>#N/A</v>
      </c>
    </row>
    <row r="9" spans="1:27">
      <c r="A9" s="11" t="s">
        <v>4</v>
      </c>
      <c r="B9" s="11" t="s">
        <v>14</v>
      </c>
      <c r="C9" s="11" t="s">
        <v>29</v>
      </c>
      <c r="D9" s="74">
        <v>300</v>
      </c>
      <c r="E9" s="75">
        <v>750</v>
      </c>
      <c r="F9" s="75">
        <v>1500</v>
      </c>
      <c r="G9" s="75">
        <v>3000</v>
      </c>
      <c r="H9" s="75">
        <v>6000</v>
      </c>
      <c r="I9" s="75">
        <v>12000</v>
      </c>
      <c r="J9" s="75">
        <v>25000</v>
      </c>
      <c r="K9" s="75">
        <v>50000</v>
      </c>
      <c r="L9" s="75">
        <v>100000</v>
      </c>
      <c r="M9" s="75">
        <v>250000</v>
      </c>
      <c r="N9" s="75">
        <v>500000</v>
      </c>
      <c r="O9" s="75" t="e">
        <v>#N/A</v>
      </c>
      <c r="P9" s="76">
        <v>6.9444444444444436E-4</v>
      </c>
      <c r="Q9" s="77">
        <v>2.0833333333333332E-2</v>
      </c>
      <c r="R9" s="77">
        <v>4.1666666666666664E-2</v>
      </c>
      <c r="S9" s="77">
        <v>8.3333333333333329E-2</v>
      </c>
      <c r="T9" s="77">
        <v>0.125</v>
      </c>
      <c r="U9" s="77">
        <v>0.16666666666666666</v>
      </c>
      <c r="V9" s="77">
        <v>0.25</v>
      </c>
      <c r="W9" s="77">
        <v>0.33333333333333331</v>
      </c>
      <c r="X9" s="77">
        <v>0.5</v>
      </c>
      <c r="Y9" s="77">
        <v>1</v>
      </c>
      <c r="Z9" s="77">
        <v>2</v>
      </c>
      <c r="AA9" s="77" t="e">
        <v>#N/A</v>
      </c>
    </row>
    <row r="10" spans="1:27">
      <c r="A10" s="11" t="s">
        <v>18</v>
      </c>
      <c r="B10" s="11" t="s">
        <v>14</v>
      </c>
      <c r="C10" s="11" t="s">
        <v>1</v>
      </c>
      <c r="D10" s="74">
        <v>600000</v>
      </c>
      <c r="E10" s="75">
        <v>1200000</v>
      </c>
      <c r="F10" s="75">
        <v>1800000</v>
      </c>
      <c r="G10" s="75">
        <v>2400000</v>
      </c>
      <c r="H10" s="75">
        <v>3000000</v>
      </c>
      <c r="I10" s="75">
        <v>36000000</v>
      </c>
      <c r="J10" s="75" t="e">
        <v>#N/A</v>
      </c>
      <c r="K10" s="75" t="e">
        <v>#N/A</v>
      </c>
      <c r="L10" s="75" t="e">
        <v>#N/A</v>
      </c>
      <c r="M10" s="75" t="e">
        <v>#N/A</v>
      </c>
      <c r="N10" s="75" t="e">
        <v>#N/A</v>
      </c>
      <c r="O10" s="75" t="e">
        <v>#N/A</v>
      </c>
      <c r="P10" s="76">
        <v>1</v>
      </c>
      <c r="Q10" s="77">
        <v>2</v>
      </c>
      <c r="R10" s="77">
        <v>3</v>
      </c>
      <c r="S10" s="77">
        <v>4</v>
      </c>
      <c r="T10" s="77">
        <v>5</v>
      </c>
      <c r="U10" s="77">
        <v>6</v>
      </c>
      <c r="V10" s="77" t="e">
        <v>#N/A</v>
      </c>
      <c r="W10" s="77" t="e">
        <v>#N/A</v>
      </c>
      <c r="X10" s="77" t="e">
        <v>#N/A</v>
      </c>
      <c r="Y10" s="77" t="e">
        <v>#N/A</v>
      </c>
      <c r="Z10" s="77" t="e">
        <v>#N/A</v>
      </c>
      <c r="AA10" s="77" t="e">
        <v>#N/A</v>
      </c>
    </row>
    <row r="11" spans="1:27">
      <c r="A11" s="11" t="s">
        <v>19</v>
      </c>
      <c r="B11" s="11" t="s">
        <v>14</v>
      </c>
      <c r="C11" s="11" t="s">
        <v>1</v>
      </c>
      <c r="D11" s="74">
        <v>750000</v>
      </c>
      <c r="E11" s="75">
        <v>1250000</v>
      </c>
      <c r="F11" s="75">
        <v>1750000</v>
      </c>
      <c r="G11" s="75">
        <v>2250000</v>
      </c>
      <c r="H11" s="75">
        <v>2750000</v>
      </c>
      <c r="I11" s="75" t="e">
        <v>#N/A</v>
      </c>
      <c r="J11" s="75" t="e">
        <v>#N/A</v>
      </c>
      <c r="K11" s="75" t="e">
        <v>#N/A</v>
      </c>
      <c r="L11" s="75" t="e">
        <v>#N/A</v>
      </c>
      <c r="M11" s="75" t="e">
        <v>#N/A</v>
      </c>
      <c r="N11" s="75" t="e">
        <v>#N/A</v>
      </c>
      <c r="O11" s="75" t="e">
        <v>#N/A</v>
      </c>
      <c r="P11" s="76">
        <v>3</v>
      </c>
      <c r="Q11" s="77">
        <v>5</v>
      </c>
      <c r="R11" s="77">
        <v>6</v>
      </c>
      <c r="S11" s="77">
        <v>7</v>
      </c>
      <c r="T11" s="77">
        <v>8</v>
      </c>
      <c r="U11" s="77" t="e">
        <v>#N/A</v>
      </c>
      <c r="V11" s="77" t="e">
        <v>#N/A</v>
      </c>
      <c r="W11" s="77" t="e">
        <v>#N/A</v>
      </c>
      <c r="X11" s="77" t="e">
        <v>#N/A</v>
      </c>
      <c r="Y11" s="77" t="e">
        <v>#N/A</v>
      </c>
      <c r="Z11" s="77" t="e">
        <v>#N/A</v>
      </c>
      <c r="AA11" s="77" t="e">
        <v>#N/A</v>
      </c>
    </row>
    <row r="12" spans="1:27">
      <c r="A12" s="11" t="s">
        <v>2</v>
      </c>
      <c r="B12" s="11" t="s">
        <v>14</v>
      </c>
      <c r="C12" s="11" t="s">
        <v>1</v>
      </c>
      <c r="D12" s="74">
        <v>200</v>
      </c>
      <c r="E12" s="75">
        <v>1000</v>
      </c>
      <c r="F12" s="75">
        <v>2500</v>
      </c>
      <c r="G12" s="75">
        <v>5000</v>
      </c>
      <c r="H12" s="75">
        <v>10000</v>
      </c>
      <c r="I12" s="75">
        <v>80000</v>
      </c>
      <c r="J12" s="75">
        <v>240000</v>
      </c>
      <c r="K12" s="75">
        <v>700000</v>
      </c>
      <c r="L12" s="75">
        <v>1500000</v>
      </c>
      <c r="M12" s="75">
        <v>2000000</v>
      </c>
      <c r="N12" s="75" t="e">
        <v>#N/A</v>
      </c>
      <c r="O12" s="75" t="e">
        <v>#N/A</v>
      </c>
      <c r="P12" s="76">
        <v>6.9444444444444436E-4</v>
      </c>
      <c r="Q12" s="77">
        <v>1.0416666666666666E-2</v>
      </c>
      <c r="R12" s="77">
        <v>8.3333333333333329E-2</v>
      </c>
      <c r="S12" s="77">
        <v>0.16666666666666666</v>
      </c>
      <c r="T12" s="77">
        <v>0.41666666666666669</v>
      </c>
      <c r="U12" s="77">
        <v>0.66666666666666663</v>
      </c>
      <c r="V12" s="77">
        <v>1</v>
      </c>
      <c r="W12" s="77">
        <v>2</v>
      </c>
      <c r="X12" s="77">
        <v>4</v>
      </c>
      <c r="Y12" s="77">
        <v>6</v>
      </c>
      <c r="Z12" s="77" t="e">
        <v>#N/A</v>
      </c>
      <c r="AA12" s="77" t="e">
        <v>#N/A</v>
      </c>
    </row>
    <row r="13" spans="1:27">
      <c r="A13" s="11" t="s">
        <v>260</v>
      </c>
      <c r="B13" s="11" t="s">
        <v>14</v>
      </c>
      <c r="C13" s="11" t="s">
        <v>1</v>
      </c>
      <c r="D13" s="74">
        <v>250</v>
      </c>
      <c r="E13" s="75">
        <v>2500</v>
      </c>
      <c r="F13" s="75">
        <v>10000</v>
      </c>
      <c r="G13" s="75">
        <v>100000</v>
      </c>
      <c r="H13" s="75">
        <v>250000</v>
      </c>
      <c r="I13" s="75">
        <v>750000</v>
      </c>
      <c r="J13" s="75">
        <v>2250000</v>
      </c>
      <c r="K13" s="75">
        <v>6750000</v>
      </c>
      <c r="L13" s="75" t="e">
        <v>#N/A</v>
      </c>
      <c r="M13" s="75" t="e">
        <v>#N/A</v>
      </c>
      <c r="N13" s="75" t="e">
        <v>#N/A</v>
      </c>
      <c r="O13" s="75" t="e">
        <v>#N/A</v>
      </c>
      <c r="P13" s="76">
        <v>3.472222222222222E-3</v>
      </c>
      <c r="Q13" s="77">
        <v>4.1666666666666664E-2</v>
      </c>
      <c r="R13" s="77">
        <v>0.125</v>
      </c>
      <c r="S13" s="77">
        <v>0.33333333333333331</v>
      </c>
      <c r="T13" s="77">
        <v>1</v>
      </c>
      <c r="U13" s="77">
        <v>3</v>
      </c>
      <c r="V13" s="77">
        <v>5</v>
      </c>
      <c r="W13" s="77">
        <v>10</v>
      </c>
      <c r="X13" s="77" t="e">
        <v>#N/A</v>
      </c>
      <c r="Y13" s="77" t="e">
        <v>#N/A</v>
      </c>
      <c r="Z13" s="77" t="e">
        <v>#N/A</v>
      </c>
      <c r="AA13" s="77" t="e">
        <v>#N/A</v>
      </c>
    </row>
    <row r="14" spans="1:27">
      <c r="A14" s="11" t="s">
        <v>21</v>
      </c>
      <c r="B14" s="11" t="s">
        <v>14</v>
      </c>
      <c r="C14" s="11" t="s">
        <v>1</v>
      </c>
      <c r="D14" s="74">
        <v>200000</v>
      </c>
      <c r="E14" s="75">
        <v>400000</v>
      </c>
      <c r="F14" s="75">
        <v>800000</v>
      </c>
      <c r="G14" s="75">
        <v>1600000</v>
      </c>
      <c r="H14" s="75">
        <v>3200000</v>
      </c>
      <c r="I14" s="75" t="e">
        <v>#N/A</v>
      </c>
      <c r="J14" s="75" t="e">
        <v>#N/A</v>
      </c>
      <c r="K14" s="75" t="e">
        <v>#N/A</v>
      </c>
      <c r="L14" s="75" t="e">
        <v>#N/A</v>
      </c>
      <c r="M14" s="75" t="e">
        <v>#N/A</v>
      </c>
      <c r="N14" s="75" t="e">
        <v>#N/A</v>
      </c>
      <c r="O14" s="75" t="e">
        <v>#N/A</v>
      </c>
      <c r="P14" s="76">
        <v>1</v>
      </c>
      <c r="Q14" s="77">
        <v>2</v>
      </c>
      <c r="R14" s="77">
        <v>4</v>
      </c>
      <c r="S14" s="77">
        <v>5</v>
      </c>
      <c r="T14" s="77">
        <v>6</v>
      </c>
      <c r="U14" s="77" t="e">
        <v>#N/A</v>
      </c>
      <c r="V14" s="77" t="e">
        <v>#N/A</v>
      </c>
      <c r="W14" s="77" t="e">
        <v>#N/A</v>
      </c>
      <c r="X14" s="77" t="e">
        <v>#N/A</v>
      </c>
      <c r="Y14" s="77" t="e">
        <v>#N/A</v>
      </c>
      <c r="Z14" s="77" t="e">
        <v>#N/A</v>
      </c>
      <c r="AA14" s="77" t="e">
        <v>#N/A</v>
      </c>
    </row>
    <row r="15" spans="1:27">
      <c r="A15" s="11" t="s">
        <v>5</v>
      </c>
      <c r="B15" s="11" t="s">
        <v>14</v>
      </c>
      <c r="C15" s="11" t="s">
        <v>29</v>
      </c>
      <c r="D15" s="74">
        <v>40000</v>
      </c>
      <c r="E15" s="75">
        <v>100000</v>
      </c>
      <c r="F15" s="75">
        <v>800000</v>
      </c>
      <c r="G15" s="75">
        <v>1800000</v>
      </c>
      <c r="H15" s="75">
        <v>5000000</v>
      </c>
      <c r="I15" s="75">
        <v>7000000</v>
      </c>
      <c r="J15" s="75" t="e">
        <v>#N/A</v>
      </c>
      <c r="K15" s="75" t="e">
        <v>#N/A</v>
      </c>
      <c r="L15" s="75" t="e">
        <v>#N/A</v>
      </c>
      <c r="M15" s="75" t="e">
        <v>#N/A</v>
      </c>
      <c r="N15" s="75" t="e">
        <v>#N/A</v>
      </c>
      <c r="O15" s="75" t="e">
        <v>#N/A</v>
      </c>
      <c r="P15" s="76">
        <v>0</v>
      </c>
      <c r="Q15" s="77">
        <v>0.25</v>
      </c>
      <c r="R15" s="77">
        <v>1</v>
      </c>
      <c r="S15" s="77">
        <v>2</v>
      </c>
      <c r="T15" s="77">
        <v>7</v>
      </c>
      <c r="U15" s="77">
        <v>14</v>
      </c>
      <c r="V15" s="77" t="e">
        <v>#N/A</v>
      </c>
      <c r="W15" s="77" t="e">
        <v>#N/A</v>
      </c>
      <c r="X15" s="77" t="e">
        <v>#N/A</v>
      </c>
      <c r="Y15" s="77" t="e">
        <v>#N/A</v>
      </c>
      <c r="Z15" s="77" t="e">
        <v>#N/A</v>
      </c>
      <c r="AA15" s="77" t="e">
        <v>#N/A</v>
      </c>
    </row>
    <row r="16" spans="1:27">
      <c r="A16" s="11" t="s">
        <v>6</v>
      </c>
      <c r="B16" s="11" t="s">
        <v>14</v>
      </c>
      <c r="C16" s="11" t="s">
        <v>29</v>
      </c>
      <c r="D16" s="74">
        <v>250</v>
      </c>
      <c r="E16" s="75">
        <v>1000</v>
      </c>
      <c r="F16" s="75">
        <v>4000</v>
      </c>
      <c r="G16" s="75">
        <v>16000</v>
      </c>
      <c r="H16" s="75">
        <v>50000</v>
      </c>
      <c r="I16" s="75">
        <v>100000</v>
      </c>
      <c r="J16" s="75">
        <v>200000</v>
      </c>
      <c r="K16" s="75">
        <v>400000</v>
      </c>
      <c r="L16" s="75">
        <v>800000</v>
      </c>
      <c r="M16" s="75">
        <v>1600000</v>
      </c>
      <c r="N16" s="75">
        <v>3200000</v>
      </c>
      <c r="O16" s="75">
        <v>6400000</v>
      </c>
      <c r="P16" s="76">
        <v>6.9444444444444436E-4</v>
      </c>
      <c r="Q16" s="77">
        <v>1.0416666666666666E-2</v>
      </c>
      <c r="R16" s="77">
        <v>3.125E-2</v>
      </c>
      <c r="S16" s="77">
        <v>8.3333333333333329E-2</v>
      </c>
      <c r="T16" s="77">
        <v>0.25</v>
      </c>
      <c r="U16" s="77">
        <v>0.5</v>
      </c>
      <c r="V16" s="77">
        <v>1</v>
      </c>
      <c r="W16" s="77">
        <v>2</v>
      </c>
      <c r="X16" s="77">
        <v>3</v>
      </c>
      <c r="Y16" s="77">
        <v>4</v>
      </c>
      <c r="Z16" s="77">
        <v>5</v>
      </c>
      <c r="AA16" s="77">
        <v>6</v>
      </c>
    </row>
    <row r="17" spans="1:27">
      <c r="A17" s="11" t="s">
        <v>22</v>
      </c>
      <c r="B17" s="11" t="s">
        <v>14</v>
      </c>
      <c r="C17" s="11" t="s">
        <v>29</v>
      </c>
      <c r="D17" s="74">
        <v>1000</v>
      </c>
      <c r="E17" s="75">
        <v>2000</v>
      </c>
      <c r="F17" s="75">
        <v>5000</v>
      </c>
      <c r="G17" s="75">
        <v>20000</v>
      </c>
      <c r="H17" s="75">
        <v>80000</v>
      </c>
      <c r="I17" s="75">
        <v>180000</v>
      </c>
      <c r="J17" s="75">
        <v>360000</v>
      </c>
      <c r="K17" s="75">
        <v>720000</v>
      </c>
      <c r="L17" s="75">
        <v>1500000</v>
      </c>
      <c r="M17" s="75">
        <v>2500000</v>
      </c>
      <c r="N17" s="75">
        <v>5000000</v>
      </c>
      <c r="O17" s="75">
        <v>7500000</v>
      </c>
      <c r="P17" s="76">
        <v>1.0416666666666666E-2</v>
      </c>
      <c r="Q17" s="77">
        <v>2.0833333333333332E-2</v>
      </c>
      <c r="R17" s="77">
        <v>3.125E-2</v>
      </c>
      <c r="S17" s="77">
        <v>0.16666666666666666</v>
      </c>
      <c r="T17" s="77">
        <v>0.5</v>
      </c>
      <c r="U17" s="77">
        <v>1</v>
      </c>
      <c r="V17" s="77">
        <v>2</v>
      </c>
      <c r="W17" s="77">
        <v>3</v>
      </c>
      <c r="X17" s="77">
        <v>4</v>
      </c>
      <c r="Y17" s="77">
        <v>5</v>
      </c>
      <c r="Z17" s="77">
        <v>6</v>
      </c>
      <c r="AA17" s="77">
        <v>7</v>
      </c>
    </row>
    <row r="18" spans="1:27" ht="16" customHeight="1">
      <c r="A18" s="11" t="s">
        <v>23</v>
      </c>
      <c r="B18" s="11" t="s">
        <v>23</v>
      </c>
      <c r="C18" s="11" t="s">
        <v>29</v>
      </c>
      <c r="D18" s="74">
        <v>200</v>
      </c>
      <c r="E18" s="75">
        <v>1000</v>
      </c>
      <c r="F18" s="75">
        <v>5000</v>
      </c>
      <c r="G18" s="75">
        <v>10000</v>
      </c>
      <c r="H18" s="75">
        <v>30000</v>
      </c>
      <c r="I18" s="75">
        <v>75000</v>
      </c>
      <c r="J18" s="75">
        <v>200000</v>
      </c>
      <c r="K18" s="75">
        <v>500000</v>
      </c>
      <c r="L18" s="75">
        <v>1000000</v>
      </c>
      <c r="M18" s="75">
        <v>3000000</v>
      </c>
      <c r="N18" s="75">
        <v>4000000</v>
      </c>
      <c r="O18" s="75" t="e">
        <v>#N/A</v>
      </c>
      <c r="P18" s="76">
        <v>0</v>
      </c>
      <c r="Q18" s="77">
        <v>0</v>
      </c>
      <c r="R18" s="77">
        <v>0</v>
      </c>
      <c r="S18" s="77">
        <v>0</v>
      </c>
      <c r="T18" s="77">
        <v>0</v>
      </c>
      <c r="U18" s="77">
        <v>0</v>
      </c>
      <c r="V18" s="77">
        <v>0</v>
      </c>
      <c r="W18" s="77">
        <v>0</v>
      </c>
      <c r="X18" s="77">
        <v>0</v>
      </c>
      <c r="Y18" s="77">
        <v>0</v>
      </c>
      <c r="Z18" s="77">
        <v>0</v>
      </c>
      <c r="AA18" s="77" t="e">
        <v>#N/A</v>
      </c>
    </row>
    <row r="19" spans="1:27" ht="16" customHeight="1">
      <c r="A19" s="11" t="s">
        <v>7</v>
      </c>
      <c r="B19" s="11" t="s">
        <v>14</v>
      </c>
      <c r="C19" s="11" t="s">
        <v>29</v>
      </c>
      <c r="D19" s="74">
        <v>8000</v>
      </c>
      <c r="E19" s="75">
        <v>32000</v>
      </c>
      <c r="F19" s="75">
        <v>120000</v>
      </c>
      <c r="G19" s="75">
        <v>400000</v>
      </c>
      <c r="H19" s="75">
        <v>800000</v>
      </c>
      <c r="I19" s="75">
        <v>1600000</v>
      </c>
      <c r="J19" s="75">
        <v>3200000</v>
      </c>
      <c r="K19" s="75">
        <v>6400000</v>
      </c>
      <c r="L19" s="75" t="e">
        <v>#N/A</v>
      </c>
      <c r="M19" s="75" t="e">
        <v>#N/A</v>
      </c>
      <c r="N19" s="75" t="e">
        <v>#N/A</v>
      </c>
      <c r="O19" s="75" t="e">
        <v>#N/A</v>
      </c>
      <c r="P19" s="76">
        <v>0.33333333333333331</v>
      </c>
      <c r="Q19" s="77">
        <v>0.5</v>
      </c>
      <c r="R19" s="77">
        <v>1</v>
      </c>
      <c r="S19" s="77">
        <v>2</v>
      </c>
      <c r="T19" s="77">
        <v>4</v>
      </c>
      <c r="U19" s="77">
        <v>5</v>
      </c>
      <c r="V19" s="77">
        <v>7</v>
      </c>
      <c r="W19" s="77">
        <v>10</v>
      </c>
      <c r="X19" s="77" t="e">
        <v>#N/A</v>
      </c>
      <c r="Y19" s="77" t="e">
        <v>#N/A</v>
      </c>
      <c r="Z19" s="77" t="e">
        <v>#N/A</v>
      </c>
      <c r="AA19" s="77" t="e">
        <v>#N/A</v>
      </c>
    </row>
    <row r="20" spans="1:27">
      <c r="A20" s="11" t="s">
        <v>8</v>
      </c>
      <c r="B20" s="11" t="s">
        <v>14</v>
      </c>
      <c r="C20" s="11" t="s">
        <v>29</v>
      </c>
      <c r="D20" s="74">
        <v>400</v>
      </c>
      <c r="E20" s="75">
        <v>1000</v>
      </c>
      <c r="F20" s="75">
        <v>10000</v>
      </c>
      <c r="G20" s="75">
        <v>100000</v>
      </c>
      <c r="H20" s="75">
        <v>1000000</v>
      </c>
      <c r="I20" s="75">
        <v>1500000</v>
      </c>
      <c r="J20" s="75" t="e">
        <v>#N/A</v>
      </c>
      <c r="K20" s="75" t="e">
        <v>#N/A</v>
      </c>
      <c r="L20" s="75" t="e">
        <v>#N/A</v>
      </c>
      <c r="M20" s="75" t="e">
        <v>#N/A</v>
      </c>
      <c r="N20" s="75" t="e">
        <v>#N/A</v>
      </c>
      <c r="O20" s="75" t="e">
        <v>#N/A</v>
      </c>
      <c r="P20" s="76">
        <v>0</v>
      </c>
      <c r="Q20" s="77">
        <v>1.0416666666666666E-2</v>
      </c>
      <c r="R20" s="77">
        <v>8.3333333333333329E-2</v>
      </c>
      <c r="S20" s="77">
        <v>0.33333333333333331</v>
      </c>
      <c r="T20" s="77">
        <v>1</v>
      </c>
      <c r="U20" s="77">
        <v>2</v>
      </c>
      <c r="V20" s="77" t="e">
        <v>#N/A</v>
      </c>
      <c r="W20" s="77" t="e">
        <v>#N/A</v>
      </c>
      <c r="X20" s="77" t="e">
        <v>#N/A</v>
      </c>
      <c r="Y20" s="77" t="e">
        <v>#N/A</v>
      </c>
      <c r="Z20" s="77" t="e">
        <v>#N/A</v>
      </c>
      <c r="AA20" s="77" t="e">
        <v>#N/A</v>
      </c>
    </row>
    <row r="21" spans="1:27">
      <c r="A21" s="11" t="s">
        <v>24</v>
      </c>
      <c r="B21" s="11" t="s">
        <v>14</v>
      </c>
      <c r="C21" s="11" t="s">
        <v>29</v>
      </c>
      <c r="D21" s="74">
        <v>22500</v>
      </c>
      <c r="E21" s="75">
        <v>90000</v>
      </c>
      <c r="F21" s="75">
        <v>270000</v>
      </c>
      <c r="G21" s="75">
        <v>540000</v>
      </c>
      <c r="H21" s="75">
        <v>1080000</v>
      </c>
      <c r="I21" s="75">
        <v>2160000</v>
      </c>
      <c r="J21" s="75">
        <v>4320000</v>
      </c>
      <c r="K21" s="75">
        <v>7560000</v>
      </c>
      <c r="L21" s="75" t="e">
        <v>#N/A</v>
      </c>
      <c r="M21" s="75" t="e">
        <v>#N/A</v>
      </c>
      <c r="N21" s="75" t="e">
        <v>#N/A</v>
      </c>
      <c r="O21" s="75" t="e">
        <v>#N/A</v>
      </c>
      <c r="P21" s="76">
        <v>0.20833333333333334</v>
      </c>
      <c r="Q21" s="77">
        <v>1</v>
      </c>
      <c r="R21" s="77">
        <v>3</v>
      </c>
      <c r="S21" s="77">
        <v>5</v>
      </c>
      <c r="T21" s="77">
        <v>6</v>
      </c>
      <c r="U21" s="77">
        <v>8</v>
      </c>
      <c r="V21" s="77">
        <v>10</v>
      </c>
      <c r="W21" s="77">
        <v>12</v>
      </c>
      <c r="X21" s="77" t="e">
        <v>#N/A</v>
      </c>
      <c r="Y21" s="77" t="e">
        <v>#N/A</v>
      </c>
      <c r="Z21" s="77" t="e">
        <v>#N/A</v>
      </c>
      <c r="AA21" s="77" t="e">
        <v>#N/A</v>
      </c>
    </row>
    <row r="22" spans="1:27">
      <c r="A22" s="11" t="s">
        <v>25</v>
      </c>
      <c r="B22" s="11" t="s">
        <v>14</v>
      </c>
      <c r="C22" s="11" t="s">
        <v>29</v>
      </c>
      <c r="D22" s="74">
        <v>2000</v>
      </c>
      <c r="E22" s="75" t="e">
        <v>#N/A</v>
      </c>
      <c r="F22" s="75" t="e">
        <v>#N/A</v>
      </c>
      <c r="G22" s="75" t="e">
        <v>#N/A</v>
      </c>
      <c r="H22" s="75" t="e">
        <v>#N/A</v>
      </c>
      <c r="I22" s="75" t="e">
        <v>#N/A</v>
      </c>
      <c r="J22" s="75" t="e">
        <v>#N/A</v>
      </c>
      <c r="K22" s="75" t="e">
        <v>#N/A</v>
      </c>
      <c r="L22" s="75" t="e">
        <v>#N/A</v>
      </c>
      <c r="M22" s="75" t="e">
        <v>#N/A</v>
      </c>
      <c r="N22" s="75" t="e">
        <v>#N/A</v>
      </c>
      <c r="O22" s="75" t="e">
        <v>#N/A</v>
      </c>
      <c r="P22" s="76">
        <v>0</v>
      </c>
      <c r="Q22" s="77" t="e">
        <v>#N/A</v>
      </c>
      <c r="R22" s="77" t="e">
        <v>#N/A</v>
      </c>
      <c r="S22" s="77" t="e">
        <v>#N/A</v>
      </c>
      <c r="T22" s="77" t="e">
        <v>#N/A</v>
      </c>
      <c r="U22" s="77" t="e">
        <v>#N/A</v>
      </c>
      <c r="V22" s="77" t="e">
        <v>#N/A</v>
      </c>
      <c r="W22" s="77" t="e">
        <v>#N/A</v>
      </c>
      <c r="X22" s="77" t="e">
        <v>#N/A</v>
      </c>
      <c r="Y22" s="77" t="e">
        <v>#N/A</v>
      </c>
      <c r="Z22" s="77" t="e">
        <v>#N/A</v>
      </c>
      <c r="AA22" s="77" t="e">
        <v>#N/A</v>
      </c>
    </row>
    <row r="23" spans="1:27">
      <c r="A23" s="11" t="s">
        <v>26</v>
      </c>
      <c r="B23" s="11" t="s">
        <v>14</v>
      </c>
      <c r="C23" s="11" t="s">
        <v>29</v>
      </c>
      <c r="D23" s="74">
        <v>180000</v>
      </c>
      <c r="E23" s="75">
        <v>360000</v>
      </c>
      <c r="F23" s="75">
        <v>720000</v>
      </c>
      <c r="G23" s="75">
        <v>1280000</v>
      </c>
      <c r="H23" s="75">
        <v>1960000</v>
      </c>
      <c r="I23" s="75">
        <v>2680000</v>
      </c>
      <c r="J23" s="75">
        <v>5360000</v>
      </c>
      <c r="K23" s="75">
        <v>6480000</v>
      </c>
      <c r="L23" s="75" t="e">
        <v>#N/A</v>
      </c>
      <c r="M23" s="75" t="e">
        <v>#N/A</v>
      </c>
      <c r="N23" s="75" t="e">
        <v>#N/A</v>
      </c>
      <c r="O23" s="75" t="e">
        <v>#N/A</v>
      </c>
      <c r="P23" s="76">
        <v>0.5</v>
      </c>
      <c r="Q23" s="77">
        <v>1</v>
      </c>
      <c r="R23" s="77">
        <v>2</v>
      </c>
      <c r="S23" s="77">
        <v>3</v>
      </c>
      <c r="T23" s="77">
        <v>4</v>
      </c>
      <c r="U23" s="77">
        <v>5</v>
      </c>
      <c r="V23" s="77">
        <v>7</v>
      </c>
      <c r="W23" s="77">
        <v>10</v>
      </c>
      <c r="X23" s="77" t="e">
        <v>#N/A</v>
      </c>
      <c r="Y23" s="77" t="e">
        <v>#N/A</v>
      </c>
      <c r="Z23" s="77" t="e">
        <v>#N/A</v>
      </c>
      <c r="AA23" s="77" t="e">
        <v>#N/A</v>
      </c>
    </row>
    <row r="24" spans="1:27">
      <c r="A24" s="11" t="s">
        <v>9</v>
      </c>
      <c r="B24" s="11" t="s">
        <v>14</v>
      </c>
      <c r="C24" s="11" t="s">
        <v>29</v>
      </c>
      <c r="D24" s="74">
        <v>12500</v>
      </c>
      <c r="E24" s="75">
        <v>75000</v>
      </c>
      <c r="F24" s="75">
        <v>750000</v>
      </c>
      <c r="G24" s="75">
        <v>2500000</v>
      </c>
      <c r="H24" s="75" t="e">
        <v>#N/A</v>
      </c>
      <c r="I24" s="75" t="e">
        <v>#N/A</v>
      </c>
      <c r="J24" s="75" t="e">
        <v>#N/A</v>
      </c>
      <c r="K24" s="75" t="e">
        <v>#N/A</v>
      </c>
      <c r="L24" s="75" t="e">
        <v>#N/A</v>
      </c>
      <c r="M24" s="75" t="e">
        <v>#N/A</v>
      </c>
      <c r="N24" s="75" t="e">
        <v>#N/A</v>
      </c>
      <c r="O24" s="75" t="e">
        <v>#N/A</v>
      </c>
      <c r="P24" s="76">
        <v>0</v>
      </c>
      <c r="Q24" s="77">
        <v>0.25</v>
      </c>
      <c r="R24" s="77">
        <v>1</v>
      </c>
      <c r="S24" s="77">
        <v>3</v>
      </c>
      <c r="T24" s="77" t="e">
        <v>#N/A</v>
      </c>
      <c r="U24" s="77" t="e">
        <v>#N/A</v>
      </c>
      <c r="V24" s="77" t="e">
        <v>#N/A</v>
      </c>
      <c r="W24" s="77" t="e">
        <v>#N/A</v>
      </c>
      <c r="X24" s="77" t="e">
        <v>#N/A</v>
      </c>
      <c r="Y24" s="77" t="e">
        <v>#N/A</v>
      </c>
      <c r="Z24" s="77" t="e">
        <v>#N/A</v>
      </c>
      <c r="AA24" s="77" t="e">
        <v>#N/A</v>
      </c>
    </row>
    <row r="25" spans="1:27">
      <c r="A25" s="11" t="s">
        <v>10</v>
      </c>
      <c r="B25" s="11" t="s">
        <v>14</v>
      </c>
      <c r="C25" s="11" t="s">
        <v>29</v>
      </c>
      <c r="D25" s="74">
        <v>4000</v>
      </c>
      <c r="E25" s="75">
        <v>20000</v>
      </c>
      <c r="F25" s="75">
        <v>200000</v>
      </c>
      <c r="G25" s="75">
        <v>1500000</v>
      </c>
      <c r="H25" s="75" t="e">
        <v>#N/A</v>
      </c>
      <c r="I25" s="75" t="e">
        <v>#N/A</v>
      </c>
      <c r="J25" s="75" t="e">
        <v>#N/A</v>
      </c>
      <c r="K25" s="75" t="e">
        <v>#N/A</v>
      </c>
      <c r="L25" s="75" t="e">
        <v>#N/A</v>
      </c>
      <c r="M25" s="75" t="e">
        <v>#N/A</v>
      </c>
      <c r="N25" s="75" t="e">
        <v>#N/A</v>
      </c>
      <c r="O25" s="75" t="e">
        <v>#N/A</v>
      </c>
      <c r="P25" s="76">
        <v>0</v>
      </c>
      <c r="Q25" s="77">
        <v>0.16666666666666666</v>
      </c>
      <c r="R25" s="77">
        <v>0.5</v>
      </c>
      <c r="S25" s="77">
        <v>1</v>
      </c>
      <c r="T25" s="77" t="e">
        <v>#N/A</v>
      </c>
      <c r="U25" s="77" t="e">
        <v>#N/A</v>
      </c>
      <c r="V25" s="77" t="e">
        <v>#N/A</v>
      </c>
      <c r="W25" s="77" t="e">
        <v>#N/A</v>
      </c>
      <c r="X25" s="77" t="e">
        <v>#N/A</v>
      </c>
      <c r="Y25" s="77" t="e">
        <v>#N/A</v>
      </c>
      <c r="Z25" s="77" t="e">
        <v>#N/A</v>
      </c>
      <c r="AA25" s="77" t="e">
        <v>#N/A</v>
      </c>
    </row>
    <row r="26" spans="1:27">
      <c r="A26" s="11" t="s">
        <v>27</v>
      </c>
      <c r="B26" s="11" t="s">
        <v>14</v>
      </c>
      <c r="C26" s="11" t="s">
        <v>29</v>
      </c>
      <c r="D26" s="74">
        <v>15000</v>
      </c>
      <c r="E26" s="75">
        <v>2000000</v>
      </c>
      <c r="F26" s="75">
        <v>4000000</v>
      </c>
      <c r="G26" s="75" t="e">
        <v>#N/A</v>
      </c>
      <c r="H26" s="75" t="e">
        <v>#N/A</v>
      </c>
      <c r="I26" s="75" t="e">
        <v>#N/A</v>
      </c>
      <c r="J26" s="75" t="e">
        <v>#N/A</v>
      </c>
      <c r="K26" s="75" t="e">
        <v>#N/A</v>
      </c>
      <c r="L26" s="75" t="e">
        <v>#N/A</v>
      </c>
      <c r="M26" s="75" t="e">
        <v>#N/A</v>
      </c>
      <c r="N26" s="75" t="e">
        <v>#N/A</v>
      </c>
      <c r="O26" s="75" t="e">
        <v>#N/A</v>
      </c>
      <c r="P26" s="76">
        <v>0</v>
      </c>
      <c r="Q26" s="77">
        <v>1</v>
      </c>
      <c r="R26" s="77">
        <v>3</v>
      </c>
      <c r="S26" s="77" t="e">
        <v>#N/A</v>
      </c>
      <c r="T26" s="77" t="e">
        <v>#N/A</v>
      </c>
      <c r="U26" s="77" t="e">
        <v>#N/A</v>
      </c>
      <c r="V26" s="77" t="e">
        <v>#N/A</v>
      </c>
      <c r="W26" s="77" t="e">
        <v>#N/A</v>
      </c>
      <c r="X26" s="77" t="e">
        <v>#N/A</v>
      </c>
      <c r="Y26" s="77" t="e">
        <v>#N/A</v>
      </c>
      <c r="Z26" s="77" t="e">
        <v>#N/A</v>
      </c>
      <c r="AA26" s="77" t="e">
        <v>#N/A</v>
      </c>
    </row>
    <row r="27" spans="1:27">
      <c r="A27" s="11" t="s">
        <v>11</v>
      </c>
      <c r="B27" s="11" t="s">
        <v>14</v>
      </c>
      <c r="C27" s="11" t="s">
        <v>29</v>
      </c>
      <c r="D27" s="74">
        <v>1000000</v>
      </c>
      <c r="E27" s="75">
        <v>1250000</v>
      </c>
      <c r="F27" s="75">
        <v>1500000</v>
      </c>
      <c r="G27" s="75">
        <v>2000000</v>
      </c>
      <c r="H27" s="75">
        <v>2500000</v>
      </c>
      <c r="I27" s="75">
        <v>3000000</v>
      </c>
      <c r="J27" s="75">
        <v>3500000</v>
      </c>
      <c r="K27" s="75">
        <v>5000000</v>
      </c>
      <c r="L27" s="75" t="e">
        <v>#N/A</v>
      </c>
      <c r="M27" s="75" t="e">
        <v>#N/A</v>
      </c>
      <c r="N27" s="75" t="e">
        <v>#N/A</v>
      </c>
      <c r="O27" s="75" t="e">
        <v>#N/A</v>
      </c>
      <c r="P27" s="76">
        <v>1</v>
      </c>
      <c r="Q27" s="77">
        <v>3</v>
      </c>
      <c r="R27" s="77">
        <v>5</v>
      </c>
      <c r="S27" s="77">
        <v>6</v>
      </c>
      <c r="T27" s="77">
        <v>8</v>
      </c>
      <c r="U27" s="77">
        <v>10</v>
      </c>
      <c r="V27" s="77">
        <v>12</v>
      </c>
      <c r="W27" s="77">
        <v>14</v>
      </c>
      <c r="X27" s="77" t="e">
        <v>#N/A</v>
      </c>
      <c r="Y27" s="77" t="e">
        <v>#N/A</v>
      </c>
      <c r="Z27" s="77" t="e">
        <v>#N/A</v>
      </c>
      <c r="AA27" s="77" t="e">
        <v>#N/A</v>
      </c>
    </row>
    <row r="28" spans="1:27">
      <c r="A28" s="11" t="s">
        <v>12</v>
      </c>
      <c r="B28" s="11" t="s">
        <v>14</v>
      </c>
      <c r="C28" s="11" t="s">
        <v>29</v>
      </c>
      <c r="D28" s="74">
        <v>3000000</v>
      </c>
      <c r="E28" s="75">
        <v>5000000</v>
      </c>
      <c r="F28" s="75">
        <v>7000000</v>
      </c>
      <c r="G28" s="75">
        <v>8000000</v>
      </c>
      <c r="H28" s="75" t="e">
        <v>#N/A</v>
      </c>
      <c r="I28" s="75" t="e">
        <v>#N/A</v>
      </c>
      <c r="J28" s="75" t="e">
        <v>#N/A</v>
      </c>
      <c r="K28" s="75" t="e">
        <v>#N/A</v>
      </c>
      <c r="L28" s="75" t="e">
        <v>#N/A</v>
      </c>
      <c r="M28" s="75" t="e">
        <v>#N/A</v>
      </c>
      <c r="N28" s="75" t="e">
        <v>#N/A</v>
      </c>
      <c r="O28" s="75" t="e">
        <v>#N/A</v>
      </c>
      <c r="P28" s="76">
        <v>7</v>
      </c>
      <c r="Q28" s="77">
        <v>10</v>
      </c>
      <c r="R28" s="77">
        <v>14</v>
      </c>
      <c r="S28" s="77">
        <v>14</v>
      </c>
      <c r="T28" s="77" t="e">
        <v>#N/A</v>
      </c>
      <c r="U28" s="77" t="e">
        <v>#N/A</v>
      </c>
      <c r="V28" s="77" t="e">
        <v>#N/A</v>
      </c>
      <c r="W28" s="77" t="e">
        <v>#N/A</v>
      </c>
      <c r="X28" s="77" t="e">
        <v>#N/A</v>
      </c>
      <c r="Y28" s="77" t="e">
        <v>#N/A</v>
      </c>
      <c r="Z28" s="77" t="e">
        <v>#N/A</v>
      </c>
      <c r="AA28" s="77" t="e">
        <v>#N/A</v>
      </c>
    </row>
    <row r="29" spans="1:27">
      <c r="A29" s="11" t="s">
        <v>28</v>
      </c>
      <c r="B29" s="11" t="s">
        <v>14</v>
      </c>
      <c r="C29" s="11" t="s">
        <v>29</v>
      </c>
      <c r="D29" s="74">
        <v>5000000</v>
      </c>
      <c r="E29" s="75">
        <v>6500000</v>
      </c>
      <c r="F29" s="75">
        <v>8000000</v>
      </c>
      <c r="G29" s="75" t="e">
        <v>#N/A</v>
      </c>
      <c r="H29" s="75" t="e">
        <v>#N/A</v>
      </c>
      <c r="I29" s="75" t="e">
        <v>#N/A</v>
      </c>
      <c r="J29" s="75" t="e">
        <v>#N/A</v>
      </c>
      <c r="K29" s="75" t="e">
        <v>#N/A</v>
      </c>
      <c r="L29" s="75" t="e">
        <v>#N/A</v>
      </c>
      <c r="M29" s="75" t="e">
        <v>#N/A</v>
      </c>
      <c r="N29" s="75" t="e">
        <v>#N/A</v>
      </c>
      <c r="O29" s="75" t="e">
        <v>#N/A</v>
      </c>
      <c r="P29" s="76">
        <v>7</v>
      </c>
      <c r="Q29" s="77">
        <v>10</v>
      </c>
      <c r="R29" s="77">
        <v>14</v>
      </c>
      <c r="S29" s="77" t="e">
        <v>#N/A</v>
      </c>
      <c r="T29" s="77" t="e">
        <v>#N/A</v>
      </c>
      <c r="U29" s="77" t="e">
        <v>#N/A</v>
      </c>
      <c r="V29" s="77" t="e">
        <v>#N/A</v>
      </c>
      <c r="W29" s="77" t="e">
        <v>#N/A</v>
      </c>
      <c r="X29" s="77" t="e">
        <v>#N/A</v>
      </c>
      <c r="Y29" s="77" t="e">
        <v>#N/A</v>
      </c>
      <c r="Z29" s="77" t="e">
        <v>#N/A</v>
      </c>
      <c r="AA29" s="77" t="e">
        <v>#N/A</v>
      </c>
    </row>
    <row r="30" spans="1:27">
      <c r="A30" s="11" t="s">
        <v>105</v>
      </c>
      <c r="B30" s="11" t="s">
        <v>14</v>
      </c>
      <c r="C30" s="11" t="s">
        <v>102</v>
      </c>
      <c r="D30" s="74">
        <v>10000</v>
      </c>
      <c r="E30" s="75" t="e">
        <v>#N/A</v>
      </c>
      <c r="F30" s="75" t="e">
        <v>#N/A</v>
      </c>
      <c r="G30" s="75" t="e">
        <v>#N/A</v>
      </c>
      <c r="H30" s="75" t="e">
        <v>#N/A</v>
      </c>
      <c r="I30" s="75" t="e">
        <v>#N/A</v>
      </c>
      <c r="J30" s="75" t="e">
        <v>#N/A</v>
      </c>
      <c r="K30" s="75" t="e">
        <v>#N/A</v>
      </c>
      <c r="L30" s="75" t="e">
        <v>#N/A</v>
      </c>
      <c r="M30" s="75" t="e">
        <v>#N/A</v>
      </c>
      <c r="N30" s="75" t="e">
        <v>#N/A</v>
      </c>
      <c r="O30" s="75" t="e">
        <v>#N/A</v>
      </c>
      <c r="P30" s="76">
        <v>0</v>
      </c>
      <c r="Q30" s="77" t="e">
        <v>#N/A</v>
      </c>
      <c r="R30" s="77" t="e">
        <v>#N/A</v>
      </c>
      <c r="S30" s="77" t="e">
        <v>#N/A</v>
      </c>
      <c r="T30" s="77" t="e">
        <v>#N/A</v>
      </c>
      <c r="U30" s="77" t="e">
        <v>#N/A</v>
      </c>
      <c r="V30" s="77" t="e">
        <v>#N/A</v>
      </c>
      <c r="W30" s="77" t="e">
        <v>#N/A</v>
      </c>
      <c r="X30" s="77" t="e">
        <v>#N/A</v>
      </c>
      <c r="Y30" s="77" t="e">
        <v>#N/A</v>
      </c>
      <c r="Z30" s="77" t="e">
        <v>#N/A</v>
      </c>
      <c r="AA30" s="77" t="e">
        <v>#N/A</v>
      </c>
    </row>
    <row r="31" spans="1:27">
      <c r="A31" s="11" t="s">
        <v>106</v>
      </c>
      <c r="B31" s="11" t="s">
        <v>14</v>
      </c>
      <c r="C31" s="11" t="s">
        <v>102</v>
      </c>
      <c r="D31" s="74">
        <v>40000</v>
      </c>
      <c r="E31" s="75" t="e">
        <v>#N/A</v>
      </c>
      <c r="F31" s="75" t="e">
        <v>#N/A</v>
      </c>
      <c r="G31" s="75" t="e">
        <v>#N/A</v>
      </c>
      <c r="H31" s="75" t="e">
        <v>#N/A</v>
      </c>
      <c r="I31" s="75" t="e">
        <v>#N/A</v>
      </c>
      <c r="J31" s="75" t="e">
        <v>#N/A</v>
      </c>
      <c r="K31" s="75" t="e">
        <v>#N/A</v>
      </c>
      <c r="L31" s="75" t="e">
        <v>#N/A</v>
      </c>
      <c r="M31" s="75" t="e">
        <v>#N/A</v>
      </c>
      <c r="N31" s="75" t="e">
        <v>#N/A</v>
      </c>
      <c r="O31" s="75" t="e">
        <v>#N/A</v>
      </c>
      <c r="P31" s="76">
        <v>0</v>
      </c>
      <c r="Q31" s="77" t="e">
        <v>#N/A</v>
      </c>
      <c r="R31" s="77" t="e">
        <v>#N/A</v>
      </c>
      <c r="S31" s="77" t="e">
        <v>#N/A</v>
      </c>
      <c r="T31" s="77" t="e">
        <v>#N/A</v>
      </c>
      <c r="U31" s="77" t="e">
        <v>#N/A</v>
      </c>
      <c r="V31" s="77" t="e">
        <v>#N/A</v>
      </c>
      <c r="W31" s="77" t="e">
        <v>#N/A</v>
      </c>
      <c r="X31" s="77" t="e">
        <v>#N/A</v>
      </c>
      <c r="Y31" s="77" t="e">
        <v>#N/A</v>
      </c>
      <c r="Z31" s="77" t="e">
        <v>#N/A</v>
      </c>
      <c r="AA31" s="77" t="e">
        <v>#N/A</v>
      </c>
    </row>
    <row r="32" spans="1:27">
      <c r="A32" s="57" t="s">
        <v>82</v>
      </c>
      <c r="B32" s="57" t="s">
        <v>71</v>
      </c>
      <c r="C32" s="57" t="s">
        <v>1</v>
      </c>
      <c r="D32" s="74" t="e">
        <v>#N/A</v>
      </c>
      <c r="E32" s="75">
        <v>50000</v>
      </c>
      <c r="F32" s="75">
        <v>150000</v>
      </c>
      <c r="G32" s="75">
        <v>500000</v>
      </c>
      <c r="H32" s="75">
        <v>1500000</v>
      </c>
      <c r="I32" s="75">
        <v>4500000</v>
      </c>
      <c r="J32" s="75" t="e">
        <v>#N/A</v>
      </c>
      <c r="K32" s="75" t="e">
        <v>#N/A</v>
      </c>
      <c r="L32" s="75" t="e">
        <v>#N/A</v>
      </c>
      <c r="M32" s="75" t="e">
        <v>#N/A</v>
      </c>
      <c r="N32" s="75" t="e">
        <v>#N/A</v>
      </c>
      <c r="O32" s="75" t="e">
        <v>#N/A</v>
      </c>
      <c r="P32" s="78" t="e">
        <v>#N/A</v>
      </c>
      <c r="Q32" s="77">
        <v>0.25</v>
      </c>
      <c r="R32" s="77">
        <v>1</v>
      </c>
      <c r="S32" s="77">
        <v>3</v>
      </c>
      <c r="T32" s="77">
        <v>5</v>
      </c>
      <c r="U32" s="77">
        <v>10</v>
      </c>
      <c r="V32" s="77" t="e">
        <v>#N/A</v>
      </c>
      <c r="W32" s="77" t="e">
        <v>#N/A</v>
      </c>
      <c r="X32" s="77" t="e">
        <v>#N/A</v>
      </c>
      <c r="Y32" s="77" t="e">
        <v>#N/A</v>
      </c>
      <c r="Z32" s="77" t="e">
        <v>#N/A</v>
      </c>
      <c r="AA32" s="77" t="e">
        <v>#N/A</v>
      </c>
    </row>
    <row r="33" spans="1:27">
      <c r="A33" s="57" t="s">
        <v>83</v>
      </c>
      <c r="B33" s="57" t="s">
        <v>71</v>
      </c>
      <c r="C33" s="57" t="s">
        <v>1</v>
      </c>
      <c r="D33" s="74" t="e">
        <v>#N/A</v>
      </c>
      <c r="E33" s="75">
        <v>50000</v>
      </c>
      <c r="F33" s="75">
        <v>250000</v>
      </c>
      <c r="G33" s="75">
        <v>750000</v>
      </c>
      <c r="H33" s="75">
        <v>2250000</v>
      </c>
      <c r="I33" s="75">
        <v>7500000</v>
      </c>
      <c r="J33" s="75" t="e">
        <v>#N/A</v>
      </c>
      <c r="K33" s="75" t="e">
        <v>#N/A</v>
      </c>
      <c r="L33" s="75" t="e">
        <v>#N/A</v>
      </c>
      <c r="M33" s="75" t="e">
        <v>#N/A</v>
      </c>
      <c r="N33" s="75" t="e">
        <v>#N/A</v>
      </c>
      <c r="O33" s="75" t="e">
        <v>#N/A</v>
      </c>
      <c r="P33" s="76" t="e">
        <v>#N/A</v>
      </c>
      <c r="Q33" s="77">
        <v>0.5</v>
      </c>
      <c r="R33" s="77">
        <v>2</v>
      </c>
      <c r="S33" s="77">
        <v>3</v>
      </c>
      <c r="T33" s="77">
        <v>5</v>
      </c>
      <c r="U33" s="77">
        <v>14</v>
      </c>
      <c r="V33" s="77" t="e">
        <v>#N/A</v>
      </c>
      <c r="W33" s="77" t="e">
        <v>#N/A</v>
      </c>
      <c r="X33" s="77" t="e">
        <v>#N/A</v>
      </c>
      <c r="Y33" s="77" t="e">
        <v>#N/A</v>
      </c>
      <c r="Z33" s="77" t="e">
        <v>#N/A</v>
      </c>
      <c r="AA33" s="77" t="e">
        <v>#N/A</v>
      </c>
    </row>
    <row r="34" spans="1:27">
      <c r="A34" s="57" t="s">
        <v>84</v>
      </c>
      <c r="B34" s="57" t="s">
        <v>71</v>
      </c>
      <c r="C34" s="57" t="s">
        <v>1</v>
      </c>
      <c r="D34" s="74" t="e">
        <v>#N/A</v>
      </c>
      <c r="E34" s="75">
        <v>50000</v>
      </c>
      <c r="F34" s="75">
        <v>250000</v>
      </c>
      <c r="G34" s="75">
        <v>750000</v>
      </c>
      <c r="H34" s="75">
        <v>2250000</v>
      </c>
      <c r="I34" s="75">
        <v>4500000</v>
      </c>
      <c r="J34" s="75" t="e">
        <v>#N/A</v>
      </c>
      <c r="K34" s="75" t="e">
        <v>#N/A</v>
      </c>
      <c r="L34" s="75" t="e">
        <v>#N/A</v>
      </c>
      <c r="M34" s="75" t="e">
        <v>#N/A</v>
      </c>
      <c r="N34" s="75" t="e">
        <v>#N/A</v>
      </c>
      <c r="O34" s="75" t="e">
        <v>#N/A</v>
      </c>
      <c r="P34" s="76" t="e">
        <v>#N/A</v>
      </c>
      <c r="Q34" s="77">
        <v>0.5</v>
      </c>
      <c r="R34" s="77">
        <v>2</v>
      </c>
      <c r="S34" s="77">
        <v>3</v>
      </c>
      <c r="T34" s="77">
        <v>5</v>
      </c>
      <c r="U34" s="77">
        <v>10</v>
      </c>
      <c r="V34" s="77" t="e">
        <v>#N/A</v>
      </c>
      <c r="W34" s="77" t="e">
        <v>#N/A</v>
      </c>
      <c r="X34" s="77" t="e">
        <v>#N/A</v>
      </c>
      <c r="Y34" s="77" t="e">
        <v>#N/A</v>
      </c>
      <c r="Z34" s="77" t="e">
        <v>#N/A</v>
      </c>
      <c r="AA34" s="77" t="e">
        <v>#N/A</v>
      </c>
    </row>
    <row r="35" spans="1:27">
      <c r="A35" s="57" t="s">
        <v>85</v>
      </c>
      <c r="B35" s="57" t="s">
        <v>71</v>
      </c>
      <c r="C35" s="57" t="s">
        <v>1</v>
      </c>
      <c r="D35" s="74" t="e">
        <v>#N/A</v>
      </c>
      <c r="E35" s="75">
        <v>100000</v>
      </c>
      <c r="F35" s="75">
        <v>250000</v>
      </c>
      <c r="G35" s="75">
        <v>750000</v>
      </c>
      <c r="H35" s="75">
        <v>2250000</v>
      </c>
      <c r="I35" s="75">
        <v>6000000</v>
      </c>
      <c r="J35" s="75" t="e">
        <v>#N/A</v>
      </c>
      <c r="K35" s="75" t="e">
        <v>#N/A</v>
      </c>
      <c r="L35" s="75" t="e">
        <v>#N/A</v>
      </c>
      <c r="M35" s="75" t="e">
        <v>#N/A</v>
      </c>
      <c r="N35" s="75" t="e">
        <v>#N/A</v>
      </c>
      <c r="O35" s="75" t="e">
        <v>#N/A</v>
      </c>
      <c r="P35" s="76" t="e">
        <v>#N/A</v>
      </c>
      <c r="Q35" s="77">
        <v>1</v>
      </c>
      <c r="R35" s="77">
        <v>2</v>
      </c>
      <c r="S35" s="77">
        <v>3</v>
      </c>
      <c r="T35" s="77">
        <v>5</v>
      </c>
      <c r="U35" s="77">
        <v>10</v>
      </c>
      <c r="V35" s="77" t="e">
        <v>#N/A</v>
      </c>
      <c r="W35" s="77" t="e">
        <v>#N/A</v>
      </c>
      <c r="X35" s="77" t="e">
        <v>#N/A</v>
      </c>
      <c r="Y35" s="77" t="e">
        <v>#N/A</v>
      </c>
      <c r="Z35" s="77" t="e">
        <v>#N/A</v>
      </c>
      <c r="AA35" s="77" t="e">
        <v>#N/A</v>
      </c>
    </row>
    <row r="36" spans="1:27">
      <c r="A36" s="57" t="s">
        <v>86</v>
      </c>
      <c r="B36" s="57" t="s">
        <v>71</v>
      </c>
      <c r="C36" s="57" t="s">
        <v>1</v>
      </c>
      <c r="D36" s="74" t="e">
        <v>#N/A</v>
      </c>
      <c r="E36" s="75">
        <v>100000</v>
      </c>
      <c r="F36" s="75">
        <v>250000</v>
      </c>
      <c r="G36" s="75">
        <v>750000</v>
      </c>
      <c r="H36" s="75">
        <v>2250000</v>
      </c>
      <c r="I36" s="75">
        <v>6750000</v>
      </c>
      <c r="J36" s="75" t="e">
        <v>#N/A</v>
      </c>
      <c r="K36" s="75" t="e">
        <v>#N/A</v>
      </c>
      <c r="L36" s="75" t="e">
        <v>#N/A</v>
      </c>
      <c r="M36" s="75" t="e">
        <v>#N/A</v>
      </c>
      <c r="N36" s="75" t="e">
        <v>#N/A</v>
      </c>
      <c r="O36" s="75" t="e">
        <v>#N/A</v>
      </c>
      <c r="P36" s="76" t="e">
        <v>#N/A</v>
      </c>
      <c r="Q36" s="77">
        <v>1</v>
      </c>
      <c r="R36" s="77">
        <v>2</v>
      </c>
      <c r="S36" s="77">
        <v>3</v>
      </c>
      <c r="T36" s="77">
        <v>5</v>
      </c>
      <c r="U36" s="77">
        <v>10</v>
      </c>
      <c r="V36" s="77" t="e">
        <v>#N/A</v>
      </c>
      <c r="W36" s="77" t="e">
        <v>#N/A</v>
      </c>
      <c r="X36" s="77" t="e">
        <v>#N/A</v>
      </c>
      <c r="Y36" s="77" t="e">
        <v>#N/A</v>
      </c>
      <c r="Z36" s="77" t="e">
        <v>#N/A</v>
      </c>
      <c r="AA36" s="77" t="e">
        <v>#N/A</v>
      </c>
    </row>
    <row r="37" spans="1:27">
      <c r="A37" s="57" t="s">
        <v>87</v>
      </c>
      <c r="B37" s="57" t="s">
        <v>71</v>
      </c>
      <c r="C37" s="57" t="s">
        <v>1</v>
      </c>
      <c r="D37" s="74" t="e">
        <v>#N/A</v>
      </c>
      <c r="E37" s="75">
        <v>150000</v>
      </c>
      <c r="F37" s="75">
        <v>450000</v>
      </c>
      <c r="G37" s="75">
        <v>1350000</v>
      </c>
      <c r="H37" s="75">
        <v>2500000</v>
      </c>
      <c r="I37" s="75">
        <v>6000000</v>
      </c>
      <c r="J37" s="75" t="e">
        <v>#N/A</v>
      </c>
      <c r="K37" s="75" t="e">
        <v>#N/A</v>
      </c>
      <c r="L37" s="75" t="e">
        <v>#N/A</v>
      </c>
      <c r="M37" s="75" t="e">
        <v>#N/A</v>
      </c>
      <c r="N37" s="75" t="e">
        <v>#N/A</v>
      </c>
      <c r="O37" s="75" t="e">
        <v>#N/A</v>
      </c>
      <c r="P37" s="76" t="e">
        <v>#N/A</v>
      </c>
      <c r="Q37" s="77">
        <v>1</v>
      </c>
      <c r="R37" s="77">
        <v>2</v>
      </c>
      <c r="S37" s="77">
        <v>3</v>
      </c>
      <c r="T37" s="77">
        <v>5</v>
      </c>
      <c r="U37" s="77">
        <v>10</v>
      </c>
      <c r="V37" s="77" t="e">
        <v>#N/A</v>
      </c>
      <c r="W37" s="77" t="e">
        <v>#N/A</v>
      </c>
      <c r="X37" s="77" t="e">
        <v>#N/A</v>
      </c>
      <c r="Y37" s="77" t="e">
        <v>#N/A</v>
      </c>
      <c r="Z37" s="77" t="e">
        <v>#N/A</v>
      </c>
      <c r="AA37" s="77" t="e">
        <v>#N/A</v>
      </c>
    </row>
    <row r="38" spans="1:27">
      <c r="A38" s="57" t="s">
        <v>88</v>
      </c>
      <c r="B38" s="57" t="s">
        <v>71</v>
      </c>
      <c r="C38" s="57" t="s">
        <v>1</v>
      </c>
      <c r="D38" s="74" t="e">
        <v>#N/A</v>
      </c>
      <c r="E38" s="75">
        <v>150000</v>
      </c>
      <c r="F38" s="75">
        <v>450000</v>
      </c>
      <c r="G38" s="75">
        <v>1350000</v>
      </c>
      <c r="H38" s="75">
        <v>2500000</v>
      </c>
      <c r="I38" s="75">
        <v>7500000</v>
      </c>
      <c r="J38" s="75" t="e">
        <v>#N/A</v>
      </c>
      <c r="K38" s="75" t="e">
        <v>#N/A</v>
      </c>
      <c r="L38" s="75" t="e">
        <v>#N/A</v>
      </c>
      <c r="M38" s="75" t="e">
        <v>#N/A</v>
      </c>
      <c r="N38" s="75" t="e">
        <v>#N/A</v>
      </c>
      <c r="O38" s="75" t="e">
        <v>#N/A</v>
      </c>
      <c r="P38" s="76" t="e">
        <v>#N/A</v>
      </c>
      <c r="Q38" s="77">
        <v>1</v>
      </c>
      <c r="R38" s="77">
        <v>2</v>
      </c>
      <c r="S38" s="77">
        <v>3</v>
      </c>
      <c r="T38" s="77">
        <v>5</v>
      </c>
      <c r="U38" s="77">
        <v>14</v>
      </c>
      <c r="V38" s="77" t="e">
        <v>#N/A</v>
      </c>
      <c r="W38" s="77" t="e">
        <v>#N/A</v>
      </c>
      <c r="X38" s="77" t="e">
        <v>#N/A</v>
      </c>
      <c r="Y38" s="77" t="e">
        <v>#N/A</v>
      </c>
      <c r="Z38" s="77" t="e">
        <v>#N/A</v>
      </c>
      <c r="AA38" s="77" t="e">
        <v>#N/A</v>
      </c>
    </row>
    <row r="39" spans="1:27">
      <c r="A39" s="57" t="s">
        <v>89</v>
      </c>
      <c r="B39" s="57" t="s">
        <v>71</v>
      </c>
      <c r="C39" s="57" t="s">
        <v>1</v>
      </c>
      <c r="D39" s="74" t="e">
        <v>#N/A</v>
      </c>
      <c r="E39" s="75">
        <v>750000</v>
      </c>
      <c r="F39" s="75">
        <v>1500000</v>
      </c>
      <c r="G39" s="75">
        <v>3000000</v>
      </c>
      <c r="H39" s="75" t="e">
        <v>#N/A</v>
      </c>
      <c r="I39" s="75" t="e">
        <v>#N/A</v>
      </c>
      <c r="J39" s="75" t="e">
        <v>#N/A</v>
      </c>
      <c r="K39" s="75" t="e">
        <v>#N/A</v>
      </c>
      <c r="L39" s="75" t="e">
        <v>#N/A</v>
      </c>
      <c r="M39" s="75" t="e">
        <v>#N/A</v>
      </c>
      <c r="N39" s="75" t="e">
        <v>#N/A</v>
      </c>
      <c r="O39" s="75" t="e">
        <v>#N/A</v>
      </c>
      <c r="P39" s="76" t="e">
        <v>#N/A</v>
      </c>
      <c r="Q39" s="77">
        <v>3</v>
      </c>
      <c r="R39" s="77">
        <v>5</v>
      </c>
      <c r="S39" s="77">
        <v>7</v>
      </c>
      <c r="T39" s="77" t="e">
        <v>#N/A</v>
      </c>
      <c r="U39" s="77" t="e">
        <v>#N/A</v>
      </c>
      <c r="V39" s="77" t="e">
        <v>#N/A</v>
      </c>
      <c r="W39" s="77" t="e">
        <v>#N/A</v>
      </c>
      <c r="X39" s="77" t="e">
        <v>#N/A</v>
      </c>
      <c r="Y39" s="77" t="e">
        <v>#N/A</v>
      </c>
      <c r="Z39" s="77" t="e">
        <v>#N/A</v>
      </c>
      <c r="AA39" s="77" t="e">
        <v>#N/A</v>
      </c>
    </row>
    <row r="40" spans="1:27">
      <c r="A40" s="57" t="s">
        <v>90</v>
      </c>
      <c r="B40" s="57" t="s">
        <v>71</v>
      </c>
      <c r="C40" s="57" t="s">
        <v>1</v>
      </c>
      <c r="D40" s="74" t="e">
        <v>#N/A</v>
      </c>
      <c r="E40" s="75">
        <v>2000000</v>
      </c>
      <c r="F40" s="75">
        <v>3000000</v>
      </c>
      <c r="G40" s="75">
        <v>8000000</v>
      </c>
      <c r="H40" s="75" t="e">
        <v>#N/A</v>
      </c>
      <c r="I40" s="75" t="e">
        <v>#N/A</v>
      </c>
      <c r="J40" s="75" t="e">
        <v>#N/A</v>
      </c>
      <c r="K40" s="75" t="e">
        <v>#N/A</v>
      </c>
      <c r="L40" s="75" t="e">
        <v>#N/A</v>
      </c>
      <c r="M40" s="75" t="e">
        <v>#N/A</v>
      </c>
      <c r="N40" s="75" t="e">
        <v>#N/A</v>
      </c>
      <c r="O40" s="75" t="e">
        <v>#N/A</v>
      </c>
      <c r="P40" s="76" t="e">
        <v>#N/A</v>
      </c>
      <c r="Q40" s="77">
        <v>7</v>
      </c>
      <c r="R40" s="77">
        <v>10</v>
      </c>
      <c r="S40" s="77">
        <v>14</v>
      </c>
      <c r="T40" s="77" t="e">
        <v>#N/A</v>
      </c>
      <c r="U40" s="77" t="e">
        <v>#N/A</v>
      </c>
      <c r="V40" s="77" t="e">
        <v>#N/A</v>
      </c>
      <c r="W40" s="77" t="e">
        <v>#N/A</v>
      </c>
      <c r="X40" s="77" t="e">
        <v>#N/A</v>
      </c>
      <c r="Y40" s="77" t="e">
        <v>#N/A</v>
      </c>
      <c r="Z40" s="77" t="e">
        <v>#N/A</v>
      </c>
      <c r="AA40" s="77" t="e">
        <v>#N/A</v>
      </c>
    </row>
    <row r="41" spans="1:27">
      <c r="A41" s="57" t="s">
        <v>91</v>
      </c>
      <c r="B41" s="57" t="s">
        <v>71</v>
      </c>
      <c r="C41" s="57" t="s">
        <v>1</v>
      </c>
      <c r="D41" s="74" t="e">
        <v>#N/A</v>
      </c>
      <c r="E41" s="75">
        <v>3000000</v>
      </c>
      <c r="F41" s="75">
        <v>6000000</v>
      </c>
      <c r="G41" s="75">
        <v>7000000</v>
      </c>
      <c r="H41" s="75">
        <v>8000000</v>
      </c>
      <c r="I41" s="75" t="e">
        <v>#N/A</v>
      </c>
      <c r="J41" s="75" t="e">
        <v>#N/A</v>
      </c>
      <c r="K41" s="75" t="e">
        <v>#N/A</v>
      </c>
      <c r="L41" s="75" t="e">
        <v>#N/A</v>
      </c>
      <c r="M41" s="75" t="e">
        <v>#N/A</v>
      </c>
      <c r="N41" s="75" t="e">
        <v>#N/A</v>
      </c>
      <c r="O41" s="75" t="e">
        <v>#N/A</v>
      </c>
      <c r="P41" s="76" t="e">
        <v>#N/A</v>
      </c>
      <c r="Q41" s="77">
        <v>10</v>
      </c>
      <c r="R41" s="77">
        <v>12</v>
      </c>
      <c r="S41" s="77">
        <v>14</v>
      </c>
      <c r="T41" s="77">
        <v>14</v>
      </c>
      <c r="U41" s="77" t="e">
        <v>#N/A</v>
      </c>
      <c r="V41" s="77" t="e">
        <v>#N/A</v>
      </c>
      <c r="W41" s="77" t="e">
        <v>#N/A</v>
      </c>
      <c r="X41" s="77" t="e">
        <v>#N/A</v>
      </c>
      <c r="Y41" s="77" t="e">
        <v>#N/A</v>
      </c>
      <c r="Z41" s="77" t="e">
        <v>#N/A</v>
      </c>
      <c r="AA41" s="77" t="e">
        <v>#N/A</v>
      </c>
    </row>
    <row r="42" spans="1:27">
      <c r="A42" s="57" t="s">
        <v>92</v>
      </c>
      <c r="B42" s="57" t="s">
        <v>71</v>
      </c>
      <c r="C42" s="57" t="s">
        <v>1</v>
      </c>
      <c r="D42" s="74" t="e">
        <v>#N/A</v>
      </c>
      <c r="E42" s="75">
        <v>200000</v>
      </c>
      <c r="F42" s="75">
        <v>500000</v>
      </c>
      <c r="G42" s="75">
        <v>1000000</v>
      </c>
      <c r="H42" s="75">
        <v>2000000</v>
      </c>
      <c r="I42" s="75">
        <v>8000000</v>
      </c>
      <c r="J42" s="75" t="e">
        <v>#N/A</v>
      </c>
      <c r="K42" s="75" t="e">
        <v>#N/A</v>
      </c>
      <c r="L42" s="75" t="e">
        <v>#N/A</v>
      </c>
      <c r="M42" s="75" t="e">
        <v>#N/A</v>
      </c>
      <c r="N42" s="75" t="e">
        <v>#N/A</v>
      </c>
      <c r="O42" s="75" t="e">
        <v>#N/A</v>
      </c>
      <c r="P42" s="76" t="e">
        <v>#N/A</v>
      </c>
      <c r="Q42" s="77">
        <v>1</v>
      </c>
      <c r="R42" s="77">
        <v>2</v>
      </c>
      <c r="S42" s="77">
        <v>3</v>
      </c>
      <c r="T42" s="77">
        <v>4</v>
      </c>
      <c r="U42" s="77">
        <v>14</v>
      </c>
      <c r="V42" s="77" t="e">
        <v>#N/A</v>
      </c>
      <c r="W42" s="77" t="e">
        <v>#N/A</v>
      </c>
      <c r="X42" s="77" t="e">
        <v>#N/A</v>
      </c>
      <c r="Y42" s="77" t="e">
        <v>#N/A</v>
      </c>
      <c r="Z42" s="77" t="e">
        <v>#N/A</v>
      </c>
      <c r="AA42" s="77" t="e">
        <v>#N/A</v>
      </c>
    </row>
    <row r="43" spans="1:27">
      <c r="A43" s="57" t="s">
        <v>93</v>
      </c>
      <c r="B43" s="57" t="s">
        <v>71</v>
      </c>
      <c r="C43" s="57" t="s">
        <v>1</v>
      </c>
      <c r="D43" s="74" t="e">
        <v>#N/A</v>
      </c>
      <c r="E43" s="75">
        <v>300000</v>
      </c>
      <c r="F43" s="75">
        <v>600000</v>
      </c>
      <c r="G43" s="75">
        <v>1200000</v>
      </c>
      <c r="H43" s="75">
        <v>2400000</v>
      </c>
      <c r="I43" s="75">
        <v>4800000</v>
      </c>
      <c r="J43" s="75" t="e">
        <v>#N/A</v>
      </c>
      <c r="K43" s="75" t="e">
        <v>#N/A</v>
      </c>
      <c r="L43" s="75" t="e">
        <v>#N/A</v>
      </c>
      <c r="M43" s="75" t="e">
        <v>#N/A</v>
      </c>
      <c r="N43" s="75" t="e">
        <v>#N/A</v>
      </c>
      <c r="O43" s="75" t="e">
        <v>#N/A</v>
      </c>
      <c r="P43" s="76" t="e">
        <v>#N/A</v>
      </c>
      <c r="Q43" s="77">
        <v>1</v>
      </c>
      <c r="R43" s="77">
        <v>2</v>
      </c>
      <c r="S43" s="77">
        <v>3</v>
      </c>
      <c r="T43" s="77">
        <v>5</v>
      </c>
      <c r="U43" s="77">
        <v>7</v>
      </c>
      <c r="V43" s="77" t="e">
        <v>#N/A</v>
      </c>
      <c r="W43" s="77" t="e">
        <v>#N/A</v>
      </c>
      <c r="X43" s="77" t="e">
        <v>#N/A</v>
      </c>
      <c r="Y43" s="77" t="e">
        <v>#N/A</v>
      </c>
      <c r="Z43" s="77" t="e">
        <v>#N/A</v>
      </c>
      <c r="AA43" s="77" t="e">
        <v>#N/A</v>
      </c>
    </row>
    <row r="44" spans="1:27">
      <c r="A44" s="57" t="s">
        <v>94</v>
      </c>
      <c r="B44" s="57" t="s">
        <v>71</v>
      </c>
      <c r="C44" s="57" t="s">
        <v>1</v>
      </c>
      <c r="D44" s="74" t="e">
        <v>#N/A</v>
      </c>
      <c r="E44" s="75">
        <v>450000</v>
      </c>
      <c r="F44" s="75">
        <v>900000</v>
      </c>
      <c r="G44" s="75">
        <v>1800000</v>
      </c>
      <c r="H44" s="75">
        <v>3000000</v>
      </c>
      <c r="I44" s="75" t="e">
        <v>#N/A</v>
      </c>
      <c r="J44" s="75" t="e">
        <v>#N/A</v>
      </c>
      <c r="K44" s="75" t="e">
        <v>#N/A</v>
      </c>
      <c r="L44" s="75" t="e">
        <v>#N/A</v>
      </c>
      <c r="M44" s="75" t="e">
        <v>#N/A</v>
      </c>
      <c r="N44" s="75" t="e">
        <v>#N/A</v>
      </c>
      <c r="O44" s="75" t="e">
        <v>#N/A</v>
      </c>
      <c r="P44" s="76" t="e">
        <v>#N/A</v>
      </c>
      <c r="Q44" s="77">
        <v>2</v>
      </c>
      <c r="R44" s="77">
        <v>3</v>
      </c>
      <c r="S44" s="77">
        <v>5</v>
      </c>
      <c r="T44" s="77">
        <v>7</v>
      </c>
      <c r="U44" s="77" t="e">
        <v>#N/A</v>
      </c>
      <c r="V44" s="77" t="e">
        <v>#N/A</v>
      </c>
      <c r="W44" s="77" t="e">
        <v>#N/A</v>
      </c>
      <c r="X44" s="77" t="e">
        <v>#N/A</v>
      </c>
      <c r="Y44" s="77" t="e">
        <v>#N/A</v>
      </c>
      <c r="Z44" s="77" t="e">
        <v>#N/A</v>
      </c>
      <c r="AA44" s="77" t="e">
        <v>#N/A</v>
      </c>
    </row>
    <row r="45" spans="1:27">
      <c r="A45" s="57" t="s">
        <v>95</v>
      </c>
      <c r="B45" s="57" t="s">
        <v>71</v>
      </c>
      <c r="C45" s="57" t="s">
        <v>1</v>
      </c>
      <c r="D45" s="74" t="e">
        <v>#N/A</v>
      </c>
      <c r="E45" s="75">
        <v>4000000</v>
      </c>
      <c r="F45" s="75">
        <v>6000000</v>
      </c>
      <c r="G45" s="75" t="e">
        <v>#N/A</v>
      </c>
      <c r="H45" s="75" t="e">
        <v>#N/A</v>
      </c>
      <c r="I45" s="75" t="e">
        <v>#N/A</v>
      </c>
      <c r="J45" s="75" t="e">
        <v>#N/A</v>
      </c>
      <c r="K45" s="75" t="e">
        <v>#N/A</v>
      </c>
      <c r="L45" s="75" t="e">
        <v>#N/A</v>
      </c>
      <c r="M45" s="75" t="e">
        <v>#N/A</v>
      </c>
      <c r="N45" s="75" t="e">
        <v>#N/A</v>
      </c>
      <c r="O45" s="75" t="e">
        <v>#N/A</v>
      </c>
      <c r="P45" s="76" t="e">
        <v>#N/A</v>
      </c>
      <c r="Q45" s="77">
        <v>5</v>
      </c>
      <c r="R45" s="77">
        <v>7</v>
      </c>
      <c r="S45" s="77" t="e">
        <v>#N/A</v>
      </c>
      <c r="T45" s="77" t="e">
        <v>#N/A</v>
      </c>
      <c r="U45" s="77" t="e">
        <v>#N/A</v>
      </c>
      <c r="V45" s="77" t="e">
        <v>#N/A</v>
      </c>
      <c r="W45" s="77" t="e">
        <v>#N/A</v>
      </c>
      <c r="X45" s="77" t="e">
        <v>#N/A</v>
      </c>
      <c r="Y45" s="77" t="e">
        <v>#N/A</v>
      </c>
      <c r="Z45" s="77" t="e">
        <v>#N/A</v>
      </c>
      <c r="AA45" s="77" t="e">
        <v>#N/A</v>
      </c>
    </row>
    <row r="46" spans="1:27">
      <c r="A46" s="57" t="s">
        <v>96</v>
      </c>
      <c r="B46" s="57" t="s">
        <v>71</v>
      </c>
      <c r="C46" s="57" t="s">
        <v>1</v>
      </c>
      <c r="D46" s="74" t="e">
        <v>#N/A</v>
      </c>
      <c r="E46" s="75">
        <v>4000000</v>
      </c>
      <c r="F46" s="75">
        <v>5000000</v>
      </c>
      <c r="G46" s="75">
        <v>6500000</v>
      </c>
      <c r="H46" s="75">
        <v>8000000</v>
      </c>
      <c r="I46" s="75" t="e">
        <v>#N/A</v>
      </c>
      <c r="J46" s="75" t="e">
        <v>#N/A</v>
      </c>
      <c r="K46" s="75" t="e">
        <v>#N/A</v>
      </c>
      <c r="L46" s="75" t="e">
        <v>#N/A</v>
      </c>
      <c r="M46" s="75" t="e">
        <v>#N/A</v>
      </c>
      <c r="N46" s="75" t="e">
        <v>#N/A</v>
      </c>
      <c r="O46" s="75" t="e">
        <v>#N/A</v>
      </c>
      <c r="P46" s="76" t="e">
        <v>#N/A</v>
      </c>
      <c r="Q46" s="77">
        <v>5</v>
      </c>
      <c r="R46" s="77">
        <v>7</v>
      </c>
      <c r="S46" s="77">
        <v>10</v>
      </c>
      <c r="T46" s="77">
        <v>14</v>
      </c>
      <c r="U46" s="77" t="e">
        <v>#N/A</v>
      </c>
      <c r="V46" s="77" t="e">
        <v>#N/A</v>
      </c>
      <c r="W46" s="77" t="e">
        <v>#N/A</v>
      </c>
      <c r="X46" s="77" t="e">
        <v>#N/A</v>
      </c>
      <c r="Y46" s="77" t="e">
        <v>#N/A</v>
      </c>
      <c r="Z46" s="77" t="e">
        <v>#N/A</v>
      </c>
      <c r="AA46" s="77" t="e">
        <v>#N/A</v>
      </c>
    </row>
    <row r="47" spans="1:27">
      <c r="A47" s="57" t="s">
        <v>97</v>
      </c>
      <c r="B47" s="57" t="s">
        <v>71</v>
      </c>
      <c r="C47" s="57" t="s">
        <v>102</v>
      </c>
      <c r="D47" s="74" t="e">
        <v>#N/A</v>
      </c>
      <c r="E47" s="75">
        <v>10000</v>
      </c>
      <c r="F47" s="75">
        <v>20000</v>
      </c>
      <c r="G47" s="75">
        <v>30000</v>
      </c>
      <c r="H47" s="75">
        <v>40000</v>
      </c>
      <c r="I47" s="75">
        <v>100000</v>
      </c>
      <c r="J47" s="75" t="e">
        <v>#N/A</v>
      </c>
      <c r="K47" s="75" t="e">
        <v>#N/A</v>
      </c>
      <c r="L47" s="75" t="e">
        <v>#N/A</v>
      </c>
      <c r="M47" s="75" t="e">
        <v>#N/A</v>
      </c>
      <c r="N47" s="75" t="e">
        <v>#N/A</v>
      </c>
      <c r="O47" s="75" t="e">
        <v>#N/A</v>
      </c>
      <c r="P47" s="76" t="e">
        <v>#N/A</v>
      </c>
      <c r="Q47" s="77">
        <v>5</v>
      </c>
      <c r="R47" s="77">
        <v>6</v>
      </c>
      <c r="S47" s="77">
        <v>7</v>
      </c>
      <c r="T47" s="77">
        <v>10</v>
      </c>
      <c r="U47" s="77">
        <v>14</v>
      </c>
      <c r="V47" s="77" t="e">
        <v>#N/A</v>
      </c>
      <c r="W47" s="77" t="e">
        <v>#N/A</v>
      </c>
      <c r="X47" s="77" t="e">
        <v>#N/A</v>
      </c>
      <c r="Y47" s="77" t="e">
        <v>#N/A</v>
      </c>
      <c r="Z47" s="77" t="e">
        <v>#N/A</v>
      </c>
      <c r="AA47" s="77" t="e">
        <v>#N/A</v>
      </c>
    </row>
    <row r="48" spans="1:27">
      <c r="A48" s="57" t="s">
        <v>98</v>
      </c>
      <c r="B48" s="57" t="s">
        <v>71</v>
      </c>
      <c r="C48" s="57" t="s">
        <v>102</v>
      </c>
      <c r="D48" s="74" t="e">
        <v>#N/A</v>
      </c>
      <c r="E48" s="75">
        <v>20000</v>
      </c>
      <c r="F48" s="75">
        <v>30000</v>
      </c>
      <c r="G48" s="75">
        <v>40000</v>
      </c>
      <c r="H48" s="75">
        <v>50000</v>
      </c>
      <c r="I48" s="75" t="e">
        <v>#N/A</v>
      </c>
      <c r="J48" s="75" t="e">
        <v>#N/A</v>
      </c>
      <c r="K48" s="75" t="e">
        <v>#N/A</v>
      </c>
      <c r="L48" s="75" t="e">
        <v>#N/A</v>
      </c>
      <c r="M48" s="75" t="e">
        <v>#N/A</v>
      </c>
      <c r="N48" s="75" t="e">
        <v>#N/A</v>
      </c>
      <c r="O48" s="75" t="e">
        <v>#N/A</v>
      </c>
      <c r="P48" s="76" t="e">
        <v>#N/A</v>
      </c>
      <c r="Q48" s="77">
        <v>8</v>
      </c>
      <c r="R48" s="77">
        <v>10</v>
      </c>
      <c r="S48" s="77">
        <v>12</v>
      </c>
      <c r="T48" s="77">
        <v>14</v>
      </c>
      <c r="U48" s="77" t="e">
        <v>#N/A</v>
      </c>
      <c r="V48" s="77" t="e">
        <v>#N/A</v>
      </c>
      <c r="W48" s="77" t="e">
        <v>#N/A</v>
      </c>
      <c r="X48" s="77" t="e">
        <v>#N/A</v>
      </c>
      <c r="Y48" s="77" t="e">
        <v>#N/A</v>
      </c>
      <c r="Z48" s="77" t="e">
        <v>#N/A</v>
      </c>
      <c r="AA48" s="77" t="e">
        <v>#N/A</v>
      </c>
    </row>
    <row r="49" spans="1:27">
      <c r="A49" s="57" t="s">
        <v>99</v>
      </c>
      <c r="B49" s="57" t="s">
        <v>71</v>
      </c>
      <c r="C49" s="57" t="s">
        <v>102</v>
      </c>
      <c r="D49" s="74" t="e">
        <v>#N/A</v>
      </c>
      <c r="E49" s="75">
        <v>50000</v>
      </c>
      <c r="F49" s="75">
        <v>60000</v>
      </c>
      <c r="G49" s="75">
        <v>70000</v>
      </c>
      <c r="H49" s="75" t="e">
        <v>#N/A</v>
      </c>
      <c r="I49" s="75" t="e">
        <v>#N/A</v>
      </c>
      <c r="J49" s="75" t="e">
        <v>#N/A</v>
      </c>
      <c r="K49" s="75" t="e">
        <v>#N/A</v>
      </c>
      <c r="L49" s="75" t="e">
        <v>#N/A</v>
      </c>
      <c r="M49" s="75" t="e">
        <v>#N/A</v>
      </c>
      <c r="N49" s="75" t="e">
        <v>#N/A</v>
      </c>
      <c r="O49" s="75" t="e">
        <v>#N/A</v>
      </c>
      <c r="P49" s="76" t="e">
        <v>#N/A</v>
      </c>
      <c r="Q49" s="77">
        <v>10</v>
      </c>
      <c r="R49" s="77">
        <v>12</v>
      </c>
      <c r="S49" s="77">
        <v>14</v>
      </c>
      <c r="T49" s="77" t="e">
        <v>#N/A</v>
      </c>
      <c r="U49" s="77" t="e">
        <v>#N/A</v>
      </c>
      <c r="V49" s="77" t="e">
        <v>#N/A</v>
      </c>
      <c r="W49" s="77" t="e">
        <v>#N/A</v>
      </c>
      <c r="X49" s="77" t="e">
        <v>#N/A</v>
      </c>
      <c r="Y49" s="77" t="e">
        <v>#N/A</v>
      </c>
      <c r="Z49" s="77" t="e">
        <v>#N/A</v>
      </c>
      <c r="AA49" s="77" t="e">
        <v>#N/A</v>
      </c>
    </row>
    <row r="50" spans="1:27">
      <c r="A50" s="57" t="s">
        <v>100</v>
      </c>
      <c r="B50" s="57" t="s">
        <v>71</v>
      </c>
      <c r="C50" s="57" t="s">
        <v>102</v>
      </c>
      <c r="D50" s="74" t="e">
        <v>#N/A</v>
      </c>
      <c r="E50" s="75">
        <v>60000</v>
      </c>
      <c r="F50" s="75">
        <v>70000</v>
      </c>
      <c r="G50" s="75">
        <v>80000</v>
      </c>
      <c r="H50" s="75">
        <v>90000</v>
      </c>
      <c r="I50" s="75" t="e">
        <v>#N/A</v>
      </c>
      <c r="J50" s="75" t="e">
        <v>#N/A</v>
      </c>
      <c r="K50" s="75" t="e">
        <v>#N/A</v>
      </c>
      <c r="L50" s="75" t="e">
        <v>#N/A</v>
      </c>
      <c r="M50" s="75" t="e">
        <v>#N/A</v>
      </c>
      <c r="N50" s="75" t="e">
        <v>#N/A</v>
      </c>
      <c r="O50" s="75" t="e">
        <v>#N/A</v>
      </c>
      <c r="P50" s="76" t="e">
        <v>#N/A</v>
      </c>
      <c r="Q50" s="77">
        <v>10</v>
      </c>
      <c r="R50" s="77">
        <v>12</v>
      </c>
      <c r="S50" s="77">
        <v>14</v>
      </c>
      <c r="T50" s="77">
        <v>14</v>
      </c>
      <c r="U50" s="77" t="e">
        <v>#N/A</v>
      </c>
      <c r="V50" s="77" t="e">
        <v>#N/A</v>
      </c>
      <c r="W50" s="77" t="e">
        <v>#N/A</v>
      </c>
      <c r="X50" s="77" t="e">
        <v>#N/A</v>
      </c>
      <c r="Y50" s="77" t="e">
        <v>#N/A</v>
      </c>
      <c r="Z50" s="77" t="e">
        <v>#N/A</v>
      </c>
      <c r="AA50" s="77" t="e">
        <v>#N/A</v>
      </c>
    </row>
    <row r="51" spans="1:27">
      <c r="A51" s="57" t="s">
        <v>101</v>
      </c>
      <c r="B51" s="57" t="s">
        <v>71</v>
      </c>
      <c r="C51" s="57" t="s">
        <v>102</v>
      </c>
      <c r="D51" s="74" t="e">
        <v>#N/A</v>
      </c>
      <c r="E51" s="75">
        <v>75000</v>
      </c>
      <c r="F51" s="75" t="e">
        <v>#N/A</v>
      </c>
      <c r="G51" s="75" t="e">
        <v>#N/A</v>
      </c>
      <c r="H51" s="75" t="e">
        <v>#N/A</v>
      </c>
      <c r="I51" s="75" t="e">
        <v>#N/A</v>
      </c>
      <c r="J51" s="75" t="e">
        <v>#N/A</v>
      </c>
      <c r="K51" s="75" t="e">
        <v>#N/A</v>
      </c>
      <c r="L51" s="75" t="e">
        <v>#N/A</v>
      </c>
      <c r="M51" s="75" t="e">
        <v>#N/A</v>
      </c>
      <c r="N51" s="75" t="e">
        <v>#N/A</v>
      </c>
      <c r="O51" s="75" t="e">
        <v>#N/A</v>
      </c>
      <c r="P51" s="76" t="e">
        <v>#N/A</v>
      </c>
      <c r="Q51" s="77">
        <v>10</v>
      </c>
      <c r="R51" s="77" t="e">
        <v>#N/A</v>
      </c>
      <c r="S51" s="77" t="e">
        <v>#N/A</v>
      </c>
      <c r="T51" s="77" t="e">
        <v>#N/A</v>
      </c>
      <c r="U51" s="77" t="e">
        <v>#N/A</v>
      </c>
      <c r="V51" s="77" t="e">
        <v>#N/A</v>
      </c>
      <c r="W51" s="77" t="e">
        <v>#N/A</v>
      </c>
      <c r="X51" s="77" t="e">
        <v>#N/A</v>
      </c>
      <c r="Y51" s="77" t="e">
        <v>#N/A</v>
      </c>
      <c r="Z51" s="77" t="e">
        <v>#N/A</v>
      </c>
      <c r="AA51" s="77" t="e">
        <v>#N/A</v>
      </c>
    </row>
    <row r="52" spans="1:27" ht="16" thickBot="1">
      <c r="A52" s="57"/>
      <c r="B52" s="57"/>
      <c r="C52" s="57"/>
      <c r="D52" s="75"/>
      <c r="E52" s="75"/>
      <c r="F52" s="75"/>
      <c r="G52" s="75"/>
      <c r="H52" s="75"/>
      <c r="I52" s="75"/>
      <c r="J52" s="75"/>
      <c r="K52" s="75"/>
      <c r="L52" s="75"/>
      <c r="M52" s="75"/>
      <c r="N52" s="75"/>
      <c r="O52" s="75"/>
      <c r="P52" s="144"/>
      <c r="Q52" s="77"/>
      <c r="R52" s="77"/>
      <c r="S52" s="77"/>
      <c r="T52" s="77"/>
      <c r="U52" s="77"/>
      <c r="V52" s="77"/>
      <c r="W52" s="77"/>
      <c r="X52" s="77"/>
      <c r="Y52" s="77"/>
      <c r="Z52" s="77"/>
      <c r="AA52" s="77"/>
    </row>
    <row r="53" spans="1:27" ht="32" thickTop="1" thickBot="1">
      <c r="A53" s="328" t="s">
        <v>208</v>
      </c>
      <c r="B53" s="329"/>
      <c r="C53" s="329"/>
      <c r="D53" s="329"/>
      <c r="E53" s="329"/>
      <c r="F53" s="329"/>
      <c r="G53" s="329"/>
      <c r="H53" s="329"/>
      <c r="I53" s="329"/>
      <c r="J53" s="329"/>
      <c r="K53" s="329"/>
      <c r="L53" s="329"/>
      <c r="M53" s="329"/>
      <c r="N53" s="329"/>
      <c r="O53" s="329"/>
      <c r="P53" s="329"/>
      <c r="Q53" s="329"/>
      <c r="R53" s="329"/>
      <c r="S53" s="329"/>
      <c r="T53" s="329"/>
      <c r="U53" s="329"/>
      <c r="V53" s="329"/>
      <c r="W53" s="329"/>
      <c r="X53" s="329"/>
      <c r="Y53" s="329"/>
      <c r="Z53" s="329"/>
      <c r="AA53" s="330"/>
    </row>
    <row r="54" spans="1:27" ht="17" thickTop="1" thickBot="1">
      <c r="A54" s="57"/>
      <c r="B54" s="57"/>
      <c r="C54" s="57"/>
      <c r="D54" s="75"/>
      <c r="E54" s="75"/>
      <c r="F54" s="75"/>
      <c r="G54" s="75"/>
      <c r="H54" s="75"/>
      <c r="I54" s="75"/>
      <c r="J54" s="75"/>
      <c r="K54" s="75"/>
      <c r="L54" s="75"/>
      <c r="M54" s="75"/>
      <c r="N54" s="75"/>
      <c r="O54" s="75"/>
      <c r="P54" s="144"/>
      <c r="Q54" s="77"/>
      <c r="R54" s="77"/>
      <c r="S54" s="77"/>
      <c r="T54" s="77"/>
      <c r="U54" s="77"/>
      <c r="V54" s="77"/>
      <c r="W54" s="77"/>
      <c r="X54" s="77"/>
      <c r="Y54" s="77"/>
      <c r="Z54" s="77"/>
      <c r="AA54" s="77"/>
    </row>
    <row r="55" spans="1:27" ht="19" thickTop="1">
      <c r="A55" s="334" t="s">
        <v>224</v>
      </c>
      <c r="B55" s="335"/>
      <c r="C55" s="335"/>
      <c r="D55" s="335"/>
      <c r="E55" s="336"/>
      <c r="H55" s="75"/>
      <c r="I55" s="75"/>
      <c r="J55" s="75"/>
      <c r="K55" s="75"/>
      <c r="L55" s="75"/>
      <c r="M55" s="144"/>
      <c r="N55" s="77"/>
      <c r="O55" s="77"/>
      <c r="P55" s="77"/>
      <c r="Q55" s="77"/>
      <c r="R55" s="77"/>
      <c r="S55" s="77"/>
      <c r="T55" s="77"/>
      <c r="U55" s="77"/>
      <c r="V55" s="77"/>
      <c r="W55" s="77"/>
      <c r="X55" s="77"/>
    </row>
    <row r="56" spans="1:27">
      <c r="A56" s="57" t="s">
        <v>147</v>
      </c>
      <c r="B56" s="57" t="s">
        <v>220</v>
      </c>
      <c r="C56" s="57" t="s">
        <v>221</v>
      </c>
      <c r="D56" s="75" t="s">
        <v>222</v>
      </c>
      <c r="E56" s="11" t="s">
        <v>223</v>
      </c>
      <c r="H56" s="75"/>
      <c r="I56" s="75"/>
      <c r="J56" s="75"/>
      <c r="K56" s="75"/>
      <c r="L56" s="75"/>
      <c r="M56" s="144"/>
      <c r="N56" s="77"/>
      <c r="O56" s="77"/>
      <c r="P56" s="77"/>
      <c r="Q56" s="77"/>
      <c r="R56" s="77"/>
      <c r="S56" s="77"/>
      <c r="T56" s="77"/>
      <c r="U56" s="77"/>
      <c r="V56" s="77"/>
      <c r="W56" s="77"/>
      <c r="X56" s="77"/>
    </row>
    <row r="57" spans="1:27">
      <c r="A57" s="57">
        <v>1</v>
      </c>
      <c r="B57" s="59">
        <v>10000</v>
      </c>
      <c r="C57" s="145">
        <v>0</v>
      </c>
      <c r="D57" s="75">
        <v>40000</v>
      </c>
      <c r="E57" s="11">
        <v>0</v>
      </c>
      <c r="H57" s="75"/>
      <c r="I57" s="75"/>
      <c r="J57" s="75"/>
      <c r="K57" s="75"/>
      <c r="L57" s="75"/>
      <c r="M57" s="144"/>
      <c r="N57" s="77"/>
      <c r="O57" s="77"/>
      <c r="P57" s="77"/>
      <c r="Q57" s="77"/>
      <c r="R57" s="77"/>
      <c r="S57" s="77"/>
      <c r="T57" s="77"/>
      <c r="U57" s="77"/>
      <c r="V57" s="77"/>
      <c r="W57" s="77"/>
      <c r="X57" s="77"/>
    </row>
    <row r="58" spans="1:27">
      <c r="A58" s="57">
        <v>2</v>
      </c>
      <c r="B58" s="59">
        <v>12500</v>
      </c>
      <c r="C58" s="145">
        <v>0.5</v>
      </c>
      <c r="D58" s="75">
        <v>22500</v>
      </c>
      <c r="E58" s="11">
        <v>0.5</v>
      </c>
      <c r="H58" s="75"/>
      <c r="I58" s="75"/>
      <c r="J58" s="75"/>
      <c r="K58" s="75"/>
      <c r="L58" s="75"/>
      <c r="M58" s="144"/>
      <c r="N58" s="77"/>
      <c r="O58" s="77"/>
      <c r="P58" s="77"/>
      <c r="Q58" s="77"/>
      <c r="R58" s="77"/>
      <c r="S58" s="77"/>
      <c r="T58" s="77"/>
      <c r="U58" s="77"/>
      <c r="V58" s="77"/>
      <c r="W58" s="77"/>
      <c r="X58" s="77"/>
    </row>
    <row r="59" spans="1:27">
      <c r="A59" s="57">
        <v>3</v>
      </c>
      <c r="B59" s="59">
        <v>15000</v>
      </c>
      <c r="C59" s="145">
        <v>1</v>
      </c>
      <c r="D59" s="75">
        <v>25000</v>
      </c>
      <c r="E59" s="11">
        <v>1</v>
      </c>
      <c r="H59" s="75"/>
      <c r="I59" s="75"/>
      <c r="J59" s="75"/>
      <c r="K59" s="75"/>
      <c r="L59" s="75"/>
      <c r="M59" s="144"/>
      <c r="N59" s="77"/>
      <c r="O59" s="77"/>
      <c r="P59" s="77"/>
      <c r="Q59" s="77"/>
      <c r="R59" s="77"/>
      <c r="S59" s="77"/>
      <c r="T59" s="77"/>
      <c r="U59" s="77"/>
      <c r="V59" s="77"/>
      <c r="W59" s="77"/>
      <c r="X59" s="77"/>
    </row>
    <row r="60" spans="1:27">
      <c r="A60" s="57">
        <v>4</v>
      </c>
      <c r="B60" s="59">
        <v>17500</v>
      </c>
      <c r="C60" s="145">
        <v>1.5</v>
      </c>
      <c r="D60" s="75">
        <v>27500</v>
      </c>
      <c r="E60" s="11">
        <v>1.5</v>
      </c>
      <c r="H60" s="75"/>
      <c r="I60" s="75"/>
      <c r="J60" s="75"/>
      <c r="K60" s="75"/>
      <c r="L60" s="75"/>
      <c r="M60" s="144"/>
      <c r="N60" s="77"/>
      <c r="O60" s="77"/>
      <c r="P60" s="77"/>
      <c r="Q60" s="77"/>
      <c r="R60" s="77"/>
      <c r="S60" s="77"/>
      <c r="T60" s="77"/>
      <c r="U60" s="77"/>
      <c r="V60" s="77"/>
      <c r="W60" s="77"/>
      <c r="X60" s="77"/>
    </row>
    <row r="61" spans="1:27">
      <c r="A61" s="57">
        <v>5</v>
      </c>
      <c r="B61" s="59">
        <v>20000</v>
      </c>
      <c r="C61" s="145">
        <v>2</v>
      </c>
      <c r="D61" s="75">
        <v>30000</v>
      </c>
      <c r="E61" s="11">
        <v>2</v>
      </c>
      <c r="H61" s="75"/>
      <c r="I61" s="75"/>
      <c r="J61" s="75"/>
      <c r="K61" s="75"/>
      <c r="L61" s="75"/>
      <c r="M61" s="144"/>
      <c r="N61" s="77"/>
      <c r="O61" s="77"/>
      <c r="P61" s="77"/>
      <c r="Q61" s="77"/>
      <c r="R61" s="77"/>
      <c r="S61" s="77"/>
      <c r="T61" s="77"/>
      <c r="U61" s="77"/>
      <c r="V61" s="77"/>
      <c r="W61" s="77"/>
      <c r="X61" s="77"/>
    </row>
    <row r="62" spans="1:27">
      <c r="A62" s="57">
        <v>6</v>
      </c>
      <c r="B62" s="59">
        <v>22500</v>
      </c>
      <c r="C62" s="145">
        <v>2.5</v>
      </c>
      <c r="D62" s="75">
        <v>32500</v>
      </c>
      <c r="E62" s="11">
        <v>2.5</v>
      </c>
      <c r="H62" s="75"/>
      <c r="I62" s="75"/>
      <c r="J62" s="75"/>
      <c r="K62" s="75"/>
      <c r="L62" s="75"/>
      <c r="M62" s="144"/>
      <c r="N62" s="77"/>
      <c r="O62" s="77"/>
      <c r="P62" s="77"/>
      <c r="Q62" s="77"/>
      <c r="R62" s="77"/>
      <c r="S62" s="77"/>
      <c r="T62" s="77"/>
      <c r="U62" s="77"/>
      <c r="V62" s="77"/>
      <c r="W62" s="77"/>
      <c r="X62" s="77"/>
    </row>
    <row r="63" spans="1:27">
      <c r="A63" s="57">
        <v>7</v>
      </c>
      <c r="B63" s="59">
        <v>25000</v>
      </c>
      <c r="C63" s="145">
        <v>3</v>
      </c>
      <c r="D63" s="75">
        <v>35000</v>
      </c>
      <c r="E63" s="11">
        <v>3</v>
      </c>
      <c r="H63" s="75"/>
      <c r="I63" s="75"/>
      <c r="J63" s="75"/>
      <c r="K63" s="75"/>
      <c r="L63" s="75"/>
      <c r="M63" s="144"/>
      <c r="N63" s="77"/>
      <c r="O63" s="77"/>
      <c r="P63" s="77"/>
      <c r="Q63" s="77"/>
      <c r="R63" s="77"/>
      <c r="S63" s="77"/>
      <c r="T63" s="77"/>
      <c r="U63" s="77"/>
      <c r="V63" s="77"/>
      <c r="W63" s="77"/>
      <c r="X63" s="77"/>
    </row>
    <row r="64" spans="1:27">
      <c r="A64" s="57">
        <v>8</v>
      </c>
      <c r="B64" s="59">
        <v>30000</v>
      </c>
      <c r="C64" s="145">
        <v>3.5</v>
      </c>
      <c r="D64" s="75">
        <v>40000</v>
      </c>
      <c r="E64" s="11">
        <v>3.5</v>
      </c>
      <c r="H64" s="75"/>
      <c r="I64" s="75"/>
      <c r="J64" s="75"/>
      <c r="K64" s="75"/>
      <c r="L64" s="75"/>
      <c r="M64" s="144"/>
      <c r="N64" s="77"/>
      <c r="O64" s="77"/>
      <c r="P64" s="77"/>
      <c r="Q64" s="77"/>
      <c r="R64" s="77"/>
      <c r="S64" s="77"/>
      <c r="T64" s="77"/>
      <c r="U64" s="77"/>
      <c r="V64" s="77"/>
      <c r="W64" s="77"/>
      <c r="X64" s="77"/>
    </row>
    <row r="65" spans="1:20">
      <c r="A65" s="57">
        <v>9</v>
      </c>
      <c r="B65" s="59">
        <v>35000</v>
      </c>
      <c r="C65" s="145">
        <v>4</v>
      </c>
      <c r="D65" s="75">
        <v>45000</v>
      </c>
      <c r="E65" s="11">
        <v>4</v>
      </c>
      <c r="H65" s="75"/>
      <c r="I65" s="75"/>
      <c r="J65" s="77"/>
      <c r="K65" s="77"/>
      <c r="L65" s="77"/>
      <c r="M65" s="77"/>
      <c r="N65" s="77"/>
      <c r="O65" s="77"/>
      <c r="P65" s="77"/>
      <c r="Q65" s="77"/>
      <c r="R65" s="77"/>
      <c r="S65" s="77"/>
      <c r="T65" s="77"/>
    </row>
    <row r="66" spans="1:20">
      <c r="A66" s="57">
        <v>10</v>
      </c>
      <c r="B66" s="59">
        <v>40000</v>
      </c>
      <c r="C66" s="145">
        <v>4.5</v>
      </c>
      <c r="D66" s="75">
        <v>50000</v>
      </c>
      <c r="E66" s="11">
        <v>4.5</v>
      </c>
      <c r="H66" s="75"/>
      <c r="I66" s="75"/>
      <c r="J66" s="77"/>
      <c r="K66" s="77"/>
      <c r="L66" s="77"/>
      <c r="M66" s="77"/>
      <c r="N66" s="77"/>
      <c r="O66" s="77"/>
      <c r="P66" s="77"/>
      <c r="Q66" s="77"/>
      <c r="R66" s="77"/>
      <c r="S66" s="77"/>
      <c r="T66" s="77"/>
    </row>
    <row r="67" spans="1:20">
      <c r="A67" s="57">
        <v>11</v>
      </c>
      <c r="B67" s="59">
        <v>45000</v>
      </c>
      <c r="C67" s="145">
        <v>5</v>
      </c>
      <c r="D67" s="75">
        <v>55000</v>
      </c>
      <c r="E67" s="11">
        <v>5</v>
      </c>
      <c r="H67" s="75"/>
      <c r="I67" s="75"/>
      <c r="J67" s="77"/>
      <c r="K67" s="77"/>
      <c r="L67" s="77"/>
      <c r="M67" s="77"/>
      <c r="N67" s="77"/>
      <c r="O67" s="77"/>
      <c r="P67" s="77"/>
      <c r="Q67" s="77"/>
      <c r="R67" s="77"/>
      <c r="S67" s="77"/>
      <c r="T67" s="77"/>
    </row>
    <row r="68" spans="1:20">
      <c r="A68" s="57">
        <v>12</v>
      </c>
      <c r="B68" s="59">
        <v>50000</v>
      </c>
      <c r="C68" s="145">
        <v>5.5</v>
      </c>
      <c r="D68" s="75">
        <v>60000</v>
      </c>
      <c r="E68" s="11">
        <v>5.5</v>
      </c>
      <c r="H68" s="75"/>
      <c r="I68" s="75"/>
      <c r="J68" s="77"/>
      <c r="K68" s="77"/>
      <c r="L68" s="77"/>
      <c r="M68" s="77"/>
      <c r="N68" s="77"/>
      <c r="O68" s="77"/>
      <c r="P68" s="77"/>
      <c r="Q68" s="77"/>
      <c r="R68" s="77"/>
      <c r="S68" s="77"/>
      <c r="T68" s="77"/>
    </row>
    <row r="69" spans="1:20">
      <c r="A69" s="57">
        <v>13</v>
      </c>
      <c r="B69" s="59">
        <v>55000</v>
      </c>
      <c r="C69" s="145">
        <v>6</v>
      </c>
      <c r="D69" s="75">
        <v>65000</v>
      </c>
      <c r="E69" s="11">
        <v>6</v>
      </c>
      <c r="H69" s="75"/>
      <c r="I69" s="75"/>
      <c r="J69" s="77"/>
      <c r="K69" s="77"/>
      <c r="L69" s="77"/>
      <c r="M69" s="77"/>
      <c r="N69" s="77"/>
      <c r="O69" s="77"/>
      <c r="P69" s="77"/>
      <c r="Q69" s="77"/>
      <c r="R69" s="77"/>
      <c r="S69" s="77"/>
      <c r="T69" s="77"/>
    </row>
    <row r="70" spans="1:20">
      <c r="A70" s="57">
        <v>14</v>
      </c>
      <c r="B70" s="59">
        <v>60000</v>
      </c>
      <c r="C70" s="145">
        <v>6.5</v>
      </c>
      <c r="D70" s="75">
        <v>70000</v>
      </c>
      <c r="E70" s="11">
        <v>6.5</v>
      </c>
      <c r="H70" s="75"/>
      <c r="I70" s="75"/>
      <c r="J70" s="77"/>
      <c r="K70" s="77"/>
      <c r="L70" s="77"/>
      <c r="M70" s="77"/>
      <c r="N70" s="77"/>
      <c r="O70" s="77"/>
      <c r="P70" s="77"/>
      <c r="Q70" s="77"/>
      <c r="R70" s="77"/>
      <c r="S70" s="77"/>
      <c r="T70" s="77"/>
    </row>
    <row r="71" spans="1:20">
      <c r="A71" s="57">
        <v>15</v>
      </c>
      <c r="B71" s="59">
        <v>65000</v>
      </c>
      <c r="C71" s="145">
        <v>7</v>
      </c>
      <c r="D71" s="75">
        <v>75000</v>
      </c>
      <c r="E71" s="11">
        <v>7</v>
      </c>
      <c r="H71" s="75"/>
      <c r="I71" s="75"/>
      <c r="J71" s="77"/>
      <c r="K71" s="77"/>
      <c r="L71" s="77"/>
      <c r="M71" s="77"/>
      <c r="N71" s="77"/>
      <c r="O71" s="77"/>
      <c r="P71" s="77"/>
      <c r="Q71" s="77"/>
      <c r="R71" s="77"/>
      <c r="S71" s="77"/>
      <c r="T71" s="77"/>
    </row>
    <row r="72" spans="1:20">
      <c r="A72" s="57">
        <v>16</v>
      </c>
      <c r="B72" s="59">
        <v>70000</v>
      </c>
      <c r="C72" s="145">
        <v>7</v>
      </c>
      <c r="D72" s="75">
        <v>80000</v>
      </c>
      <c r="E72" s="11">
        <v>7</v>
      </c>
      <c r="H72" s="75"/>
      <c r="I72" s="75"/>
      <c r="J72" s="77"/>
      <c r="K72" s="77"/>
      <c r="L72" s="77"/>
      <c r="M72" s="77"/>
      <c r="N72" s="77"/>
      <c r="O72" s="77"/>
      <c r="P72" s="77"/>
      <c r="Q72" s="77"/>
      <c r="R72" s="77"/>
      <c r="S72" s="77"/>
      <c r="T72" s="77"/>
    </row>
    <row r="73" spans="1:20">
      <c r="A73" s="57">
        <v>17</v>
      </c>
      <c r="B73" s="59">
        <v>75000</v>
      </c>
      <c r="C73" s="145">
        <v>7</v>
      </c>
      <c r="D73" s="75">
        <v>85000</v>
      </c>
      <c r="E73" s="11">
        <v>7</v>
      </c>
      <c r="H73" s="75"/>
      <c r="I73" s="75"/>
      <c r="J73" s="77"/>
      <c r="K73" s="77"/>
      <c r="L73" s="77"/>
      <c r="M73" s="77"/>
      <c r="N73" s="77"/>
      <c r="O73" s="77"/>
      <c r="P73" s="77"/>
      <c r="Q73" s="77"/>
      <c r="R73" s="77"/>
      <c r="S73" s="77"/>
      <c r="T73" s="77"/>
    </row>
    <row r="74" spans="1:20">
      <c r="A74" s="57">
        <v>18</v>
      </c>
      <c r="B74" s="59">
        <v>80000</v>
      </c>
      <c r="C74" s="145">
        <v>7</v>
      </c>
      <c r="D74" s="75">
        <v>90000</v>
      </c>
      <c r="E74" s="11">
        <v>7</v>
      </c>
      <c r="H74" s="75"/>
      <c r="I74" s="75"/>
      <c r="J74" s="77"/>
      <c r="K74" s="77"/>
      <c r="L74" s="77"/>
      <c r="M74" s="77"/>
      <c r="N74" s="77"/>
      <c r="O74" s="77"/>
      <c r="P74" s="77"/>
      <c r="Q74" s="77"/>
      <c r="R74" s="77"/>
      <c r="S74" s="77"/>
      <c r="T74" s="77"/>
    </row>
    <row r="75" spans="1:20">
      <c r="A75" s="57">
        <v>19</v>
      </c>
      <c r="B75" s="59">
        <v>85000</v>
      </c>
      <c r="C75" s="145">
        <v>7</v>
      </c>
      <c r="D75" s="75">
        <v>95000</v>
      </c>
      <c r="E75" s="11">
        <v>7</v>
      </c>
      <c r="H75" s="75"/>
      <c r="I75" s="75"/>
      <c r="J75" s="77"/>
      <c r="K75" s="77"/>
      <c r="L75" s="77"/>
      <c r="M75" s="77"/>
      <c r="N75" s="77"/>
      <c r="O75" s="77"/>
      <c r="P75" s="77"/>
      <c r="Q75" s="77"/>
      <c r="R75" s="77"/>
      <c r="S75" s="77"/>
      <c r="T75" s="77"/>
    </row>
    <row r="76" spans="1:20">
      <c r="A76" s="57">
        <v>20</v>
      </c>
      <c r="B76" s="59">
        <v>90000</v>
      </c>
      <c r="C76" s="145">
        <v>7</v>
      </c>
      <c r="D76" s="75">
        <v>100000</v>
      </c>
      <c r="E76" s="11">
        <v>7</v>
      </c>
      <c r="H76" s="75"/>
      <c r="I76" s="75"/>
      <c r="J76" s="77"/>
      <c r="K76" s="77"/>
      <c r="L76" s="77"/>
      <c r="M76" s="77"/>
      <c r="N76" s="77"/>
      <c r="O76" s="77"/>
      <c r="P76" s="77"/>
      <c r="Q76" s="77"/>
      <c r="R76" s="77"/>
      <c r="S76" s="77"/>
      <c r="T76" s="77"/>
    </row>
    <row r="77" spans="1:20">
      <c r="A77" s="57">
        <v>21</v>
      </c>
      <c r="B77" s="59">
        <v>95000</v>
      </c>
      <c r="C77" s="145">
        <v>7</v>
      </c>
      <c r="D77" s="75">
        <v>105000</v>
      </c>
      <c r="E77" s="11">
        <v>7</v>
      </c>
      <c r="H77" s="75"/>
      <c r="I77" s="75"/>
      <c r="J77" s="77"/>
      <c r="K77" s="77"/>
      <c r="L77" s="77"/>
      <c r="M77" s="77"/>
      <c r="N77" s="77"/>
      <c r="O77" s="77"/>
      <c r="P77" s="77"/>
      <c r="Q77" s="77"/>
      <c r="R77" s="77"/>
      <c r="S77" s="77"/>
      <c r="T77" s="77"/>
    </row>
    <row r="78" spans="1:20">
      <c r="A78" s="57">
        <v>22</v>
      </c>
      <c r="B78" s="59">
        <v>100000</v>
      </c>
      <c r="C78" s="145">
        <v>7</v>
      </c>
      <c r="D78" s="75">
        <v>110000</v>
      </c>
      <c r="E78" s="11">
        <v>7</v>
      </c>
      <c r="H78" s="75"/>
      <c r="I78" s="75"/>
      <c r="J78" s="77"/>
      <c r="K78" s="77"/>
      <c r="L78" s="77"/>
      <c r="M78" s="77"/>
      <c r="N78" s="77"/>
      <c r="O78" s="77"/>
      <c r="P78" s="77"/>
      <c r="Q78" s="77"/>
      <c r="R78" s="77"/>
      <c r="S78" s="77"/>
      <c r="T78" s="77"/>
    </row>
    <row r="79" spans="1:20">
      <c r="A79" s="57">
        <v>23</v>
      </c>
      <c r="B79" s="59">
        <v>105000</v>
      </c>
      <c r="C79" s="145">
        <v>7</v>
      </c>
      <c r="D79" s="75">
        <v>115000</v>
      </c>
      <c r="E79" s="11">
        <v>7</v>
      </c>
      <c r="H79" s="75"/>
      <c r="I79" s="75"/>
      <c r="J79" s="77"/>
      <c r="K79" s="77"/>
      <c r="L79" s="77"/>
      <c r="M79" s="77"/>
      <c r="N79" s="77"/>
      <c r="O79" s="77"/>
      <c r="P79" s="77"/>
      <c r="Q79" s="77"/>
      <c r="R79" s="77"/>
      <c r="S79" s="77"/>
      <c r="T79" s="77"/>
    </row>
    <row r="80" spans="1:20">
      <c r="A80" s="57">
        <v>24</v>
      </c>
      <c r="B80" s="59">
        <v>110000</v>
      </c>
      <c r="C80" s="145">
        <v>7</v>
      </c>
      <c r="D80" s="75">
        <v>120000</v>
      </c>
      <c r="E80" s="11">
        <v>7</v>
      </c>
      <c r="H80" s="75"/>
      <c r="I80" s="75"/>
      <c r="J80" s="77"/>
      <c r="K80" s="77"/>
      <c r="L80" s="77"/>
      <c r="M80" s="77"/>
      <c r="N80" s="77"/>
      <c r="O80" s="77"/>
      <c r="P80" s="77"/>
      <c r="Q80" s="77"/>
      <c r="R80" s="77"/>
      <c r="S80" s="77"/>
      <c r="T80" s="77"/>
    </row>
    <row r="81" spans="1:20">
      <c r="A81" s="57">
        <v>25</v>
      </c>
      <c r="B81" s="59">
        <v>115000</v>
      </c>
      <c r="C81" s="145">
        <v>7</v>
      </c>
      <c r="D81" s="75">
        <v>125000</v>
      </c>
      <c r="E81" s="11">
        <v>7</v>
      </c>
      <c r="H81" s="75"/>
      <c r="I81" s="75"/>
      <c r="J81" s="77"/>
      <c r="K81" s="77"/>
      <c r="L81" s="77"/>
      <c r="M81" s="77"/>
      <c r="N81" s="77"/>
      <c r="O81" s="77"/>
      <c r="P81" s="77"/>
      <c r="Q81" s="77"/>
      <c r="R81" s="77"/>
      <c r="S81" s="77"/>
      <c r="T81" s="77"/>
    </row>
    <row r="82" spans="1:20">
      <c r="A82" s="57">
        <v>26</v>
      </c>
      <c r="B82" s="59">
        <v>120000</v>
      </c>
      <c r="C82" s="145">
        <v>7</v>
      </c>
      <c r="D82" s="75">
        <v>130000</v>
      </c>
      <c r="E82" s="11">
        <v>7</v>
      </c>
      <c r="H82" s="75"/>
      <c r="I82" s="75"/>
      <c r="J82" s="77"/>
      <c r="K82" s="77"/>
      <c r="L82" s="77"/>
      <c r="M82" s="77"/>
      <c r="N82" s="77"/>
      <c r="O82" s="77"/>
      <c r="P82" s="77"/>
      <c r="Q82" s="77"/>
      <c r="R82" s="77"/>
      <c r="S82" s="77"/>
      <c r="T82" s="77"/>
    </row>
    <row r="83" spans="1:20">
      <c r="A83" s="57">
        <v>27</v>
      </c>
      <c r="B83" s="59">
        <v>125000</v>
      </c>
      <c r="C83" s="145">
        <v>7</v>
      </c>
      <c r="D83" s="75">
        <v>135000</v>
      </c>
      <c r="E83" s="11">
        <v>7</v>
      </c>
      <c r="H83" s="75"/>
      <c r="I83" s="75"/>
      <c r="J83" s="77"/>
      <c r="K83" s="77"/>
      <c r="L83" s="77"/>
      <c r="M83" s="77"/>
      <c r="N83" s="77"/>
      <c r="O83" s="77"/>
      <c r="P83" s="77"/>
      <c r="Q83" s="77"/>
      <c r="R83" s="77"/>
      <c r="S83" s="77"/>
      <c r="T83" s="77"/>
    </row>
    <row r="84" spans="1:20">
      <c r="A84" s="57">
        <v>28</v>
      </c>
      <c r="B84" s="59">
        <v>130000</v>
      </c>
      <c r="C84" s="145">
        <v>7</v>
      </c>
      <c r="D84" s="75">
        <v>140000</v>
      </c>
      <c r="E84" s="11">
        <v>7</v>
      </c>
      <c r="H84" s="75"/>
      <c r="I84" s="75"/>
      <c r="J84" s="77"/>
      <c r="K84" s="77"/>
      <c r="L84" s="77"/>
      <c r="M84" s="77"/>
      <c r="N84" s="77"/>
      <c r="O84" s="77"/>
      <c r="P84" s="77"/>
      <c r="Q84" s="77"/>
      <c r="R84" s="77"/>
      <c r="S84" s="77"/>
      <c r="T84" s="77"/>
    </row>
    <row r="85" spans="1:20">
      <c r="A85" s="57">
        <v>29</v>
      </c>
      <c r="B85" s="59">
        <v>135000</v>
      </c>
      <c r="C85" s="145">
        <v>7</v>
      </c>
      <c r="D85" s="75">
        <v>145000</v>
      </c>
      <c r="E85" s="11">
        <v>7</v>
      </c>
      <c r="H85" s="75"/>
      <c r="I85" s="75"/>
      <c r="J85" s="77"/>
      <c r="K85" s="77"/>
      <c r="L85" s="77"/>
      <c r="M85" s="77"/>
      <c r="N85" s="77"/>
      <c r="O85" s="77"/>
      <c r="P85" s="77"/>
      <c r="Q85" s="77"/>
      <c r="R85" s="77"/>
      <c r="S85" s="77"/>
      <c r="T85" s="77"/>
    </row>
    <row r="86" spans="1:20">
      <c r="A86" s="57">
        <v>30</v>
      </c>
      <c r="B86" s="59">
        <v>140000</v>
      </c>
      <c r="C86" s="145">
        <v>7</v>
      </c>
      <c r="D86" s="75">
        <v>150000</v>
      </c>
      <c r="E86" s="11">
        <v>7</v>
      </c>
      <c r="H86" s="75"/>
      <c r="I86" s="75"/>
      <c r="J86" s="77"/>
      <c r="K86" s="77"/>
      <c r="L86" s="77"/>
      <c r="M86" s="77"/>
      <c r="N86" s="77"/>
      <c r="O86" s="77"/>
      <c r="P86" s="77"/>
      <c r="Q86" s="77"/>
      <c r="R86" s="77"/>
      <c r="S86" s="77"/>
      <c r="T86" s="77"/>
    </row>
    <row r="87" spans="1:20">
      <c r="A87" s="57">
        <v>31</v>
      </c>
      <c r="B87" s="59">
        <v>145000</v>
      </c>
      <c r="C87" s="145">
        <v>7</v>
      </c>
      <c r="D87" s="75">
        <v>155000</v>
      </c>
      <c r="E87" s="11">
        <v>7</v>
      </c>
      <c r="H87" s="75"/>
      <c r="I87" s="75"/>
      <c r="J87" s="77"/>
      <c r="K87" s="77"/>
      <c r="L87" s="77"/>
      <c r="M87" s="77"/>
      <c r="N87" s="77"/>
      <c r="O87" s="77"/>
      <c r="P87" s="77"/>
      <c r="Q87" s="77"/>
      <c r="R87" s="77"/>
      <c r="S87" s="77"/>
      <c r="T87" s="77"/>
    </row>
    <row r="88" spans="1:20">
      <c r="A88" s="57">
        <v>32</v>
      </c>
      <c r="B88" s="59">
        <v>150000</v>
      </c>
      <c r="C88" s="145">
        <v>7</v>
      </c>
      <c r="D88" s="75">
        <v>160000</v>
      </c>
      <c r="E88" s="11">
        <v>7</v>
      </c>
      <c r="H88" s="75"/>
      <c r="I88" s="75"/>
      <c r="J88" s="77"/>
      <c r="K88" s="77"/>
      <c r="L88" s="77"/>
      <c r="M88" s="77"/>
      <c r="N88" s="77"/>
      <c r="O88" s="77"/>
      <c r="P88" s="77"/>
      <c r="Q88" s="77"/>
      <c r="R88" s="77"/>
      <c r="S88" s="77"/>
      <c r="T88" s="77"/>
    </row>
    <row r="89" spans="1:20">
      <c r="A89" s="57">
        <v>33</v>
      </c>
      <c r="B89" s="59">
        <v>155000</v>
      </c>
      <c r="C89" s="145">
        <v>7</v>
      </c>
      <c r="D89" s="75">
        <v>165000</v>
      </c>
      <c r="E89" s="11">
        <v>7</v>
      </c>
      <c r="H89" s="75"/>
      <c r="I89" s="75"/>
      <c r="J89" s="77"/>
      <c r="K89" s="77"/>
      <c r="L89" s="77"/>
      <c r="M89" s="77"/>
      <c r="N89" s="77"/>
      <c r="O89" s="77"/>
      <c r="P89" s="77"/>
      <c r="Q89" s="77"/>
      <c r="R89" s="77"/>
      <c r="S89" s="77"/>
      <c r="T89" s="77"/>
    </row>
    <row r="90" spans="1:20">
      <c r="A90" s="57">
        <v>34</v>
      </c>
      <c r="B90" s="59">
        <v>160000</v>
      </c>
      <c r="C90" s="145">
        <v>7</v>
      </c>
      <c r="D90" s="75">
        <v>170000</v>
      </c>
      <c r="E90" s="11">
        <v>7</v>
      </c>
      <c r="H90" s="75"/>
      <c r="I90" s="75"/>
      <c r="J90" s="77"/>
      <c r="K90" s="77"/>
      <c r="L90" s="77"/>
      <c r="M90" s="77"/>
      <c r="N90" s="77"/>
      <c r="O90" s="77"/>
      <c r="P90" s="77"/>
      <c r="Q90" s="77"/>
      <c r="R90" s="77"/>
      <c r="S90" s="77"/>
      <c r="T90" s="77"/>
    </row>
    <row r="91" spans="1:20">
      <c r="A91" s="57">
        <v>35</v>
      </c>
      <c r="B91" s="59">
        <v>165000</v>
      </c>
      <c r="C91" s="145">
        <v>7</v>
      </c>
      <c r="D91" s="75">
        <v>175000</v>
      </c>
      <c r="E91" s="11">
        <v>7</v>
      </c>
      <c r="H91" s="75"/>
      <c r="I91" s="75"/>
      <c r="J91" s="77"/>
      <c r="K91" s="77"/>
      <c r="L91" s="77"/>
      <c r="M91" s="77"/>
      <c r="N91" s="77"/>
      <c r="O91" s="77"/>
      <c r="P91" s="77"/>
      <c r="Q91" s="77"/>
      <c r="R91" s="77"/>
      <c r="S91" s="77"/>
      <c r="T91" s="77"/>
    </row>
    <row r="92" spans="1:20">
      <c r="A92" s="57">
        <v>36</v>
      </c>
      <c r="B92" s="59">
        <v>170000</v>
      </c>
      <c r="C92" s="145">
        <v>7</v>
      </c>
      <c r="D92" s="75">
        <v>180000</v>
      </c>
      <c r="E92" s="11">
        <v>7</v>
      </c>
      <c r="H92" s="75"/>
      <c r="I92" s="75"/>
      <c r="J92" s="77"/>
      <c r="K92" s="77"/>
      <c r="L92" s="77"/>
      <c r="M92" s="77"/>
      <c r="N92" s="77"/>
      <c r="O92" s="77"/>
      <c r="P92" s="77"/>
      <c r="Q92" s="77"/>
      <c r="R92" s="77"/>
      <c r="S92" s="77"/>
      <c r="T92" s="77"/>
    </row>
    <row r="93" spans="1:20">
      <c r="A93" s="57">
        <v>37</v>
      </c>
      <c r="B93" s="59">
        <v>175000</v>
      </c>
      <c r="C93" s="145">
        <v>7</v>
      </c>
      <c r="D93" s="75">
        <v>185000</v>
      </c>
      <c r="E93" s="11">
        <v>7</v>
      </c>
      <c r="H93" s="75"/>
      <c r="I93" s="75"/>
      <c r="J93" s="77"/>
      <c r="K93" s="77"/>
      <c r="L93" s="77"/>
      <c r="M93" s="77"/>
      <c r="N93" s="77"/>
      <c r="O93" s="77"/>
      <c r="P93" s="77"/>
      <c r="Q93" s="77"/>
      <c r="R93" s="77"/>
      <c r="S93" s="77"/>
      <c r="T93" s="77"/>
    </row>
    <row r="94" spans="1:20">
      <c r="A94" s="57">
        <v>38</v>
      </c>
      <c r="B94" s="59">
        <v>180000</v>
      </c>
      <c r="C94" s="145">
        <v>7</v>
      </c>
      <c r="D94" s="75">
        <v>190000</v>
      </c>
      <c r="E94" s="11">
        <v>7</v>
      </c>
      <c r="H94" s="75"/>
      <c r="I94" s="75"/>
      <c r="J94" s="77"/>
      <c r="K94" s="77"/>
      <c r="L94" s="77"/>
      <c r="M94" s="77"/>
      <c r="N94" s="77"/>
      <c r="O94" s="77"/>
      <c r="P94" s="77"/>
      <c r="Q94" s="77"/>
      <c r="R94" s="77"/>
      <c r="S94" s="77"/>
      <c r="T94" s="77"/>
    </row>
    <row r="95" spans="1:20">
      <c r="A95" s="57">
        <v>39</v>
      </c>
      <c r="B95" s="59">
        <v>185000</v>
      </c>
      <c r="C95" s="145">
        <v>7</v>
      </c>
      <c r="D95" s="75">
        <v>195000</v>
      </c>
      <c r="E95" s="11">
        <v>7</v>
      </c>
      <c r="H95" s="75"/>
      <c r="I95" s="75"/>
      <c r="J95" s="77"/>
      <c r="K95" s="77"/>
      <c r="L95" s="77"/>
      <c r="M95" s="77"/>
      <c r="N95" s="77"/>
      <c r="O95" s="77"/>
      <c r="P95" s="77"/>
      <c r="Q95" s="77"/>
      <c r="R95" s="77"/>
      <c r="S95" s="77"/>
      <c r="T95" s="77"/>
    </row>
    <row r="96" spans="1:20">
      <c r="A96" s="57">
        <v>40</v>
      </c>
      <c r="B96" s="59">
        <v>190000</v>
      </c>
      <c r="C96" s="145">
        <v>7</v>
      </c>
      <c r="D96" s="75">
        <v>200000</v>
      </c>
      <c r="E96" s="11">
        <v>7</v>
      </c>
      <c r="H96" s="75"/>
      <c r="I96" s="75"/>
      <c r="J96" s="77"/>
      <c r="K96" s="77"/>
      <c r="L96" s="77"/>
      <c r="M96" s="77"/>
      <c r="N96" s="77"/>
      <c r="O96" s="77"/>
      <c r="P96" s="77"/>
      <c r="Q96" s="77"/>
      <c r="R96" s="77"/>
      <c r="S96" s="77"/>
      <c r="T96" s="77"/>
    </row>
    <row r="97" spans="1:27" ht="16" thickBot="1"/>
    <row r="98" spans="1:27" ht="32" thickTop="1" thickBot="1">
      <c r="A98" s="328" t="s">
        <v>156</v>
      </c>
      <c r="B98" s="329"/>
      <c r="C98" s="329"/>
      <c r="D98" s="329"/>
      <c r="E98" s="329"/>
      <c r="F98" s="329"/>
      <c r="G98" s="329"/>
      <c r="H98" s="329"/>
      <c r="I98" s="329"/>
      <c r="J98" s="329"/>
      <c r="K98" s="329"/>
      <c r="L98" s="329"/>
      <c r="M98" s="329"/>
      <c r="N98" s="329"/>
      <c r="O98" s="329"/>
      <c r="P98" s="329"/>
      <c r="Q98" s="329"/>
      <c r="R98" s="329"/>
      <c r="S98" s="329"/>
      <c r="T98" s="329"/>
      <c r="U98" s="329"/>
      <c r="V98" s="329"/>
      <c r="W98" s="329"/>
      <c r="X98" s="329"/>
      <c r="Y98" s="329"/>
      <c r="Z98" s="329"/>
      <c r="AA98" s="330"/>
    </row>
    <row r="99" spans="1:27" ht="16" thickTop="1"/>
    <row r="100" spans="1:27">
      <c r="A100" s="11" t="s">
        <v>147</v>
      </c>
      <c r="B100" s="11" t="s">
        <v>158</v>
      </c>
    </row>
    <row r="101" spans="1:27">
      <c r="A101" s="11">
        <v>1</v>
      </c>
      <c r="B101" s="11">
        <v>20</v>
      </c>
    </row>
    <row r="102" spans="1:27">
      <c r="A102" s="11">
        <v>2</v>
      </c>
      <c r="B102" s="11">
        <v>30</v>
      </c>
    </row>
    <row r="103" spans="1:27">
      <c r="A103" s="11">
        <v>3</v>
      </c>
      <c r="B103" s="11">
        <v>35</v>
      </c>
    </row>
    <row r="104" spans="1:27">
      <c r="A104" s="11">
        <v>4</v>
      </c>
      <c r="B104" s="11">
        <v>40</v>
      </c>
    </row>
    <row r="105" spans="1:27">
      <c r="A105" s="11">
        <v>5</v>
      </c>
      <c r="B105" s="11">
        <v>45</v>
      </c>
    </row>
    <row r="106" spans="1:27">
      <c r="A106" s="11">
        <v>6</v>
      </c>
      <c r="B106" s="11">
        <v>50</v>
      </c>
    </row>
    <row r="107" spans="1:27">
      <c r="A107" s="11">
        <v>7</v>
      </c>
      <c r="B107" s="11">
        <v>55</v>
      </c>
    </row>
    <row r="108" spans="1:27">
      <c r="A108" s="11">
        <v>8</v>
      </c>
      <c r="B108" s="11">
        <v>60</v>
      </c>
    </row>
    <row r="109" spans="1:27" ht="16" thickBot="1"/>
    <row r="110" spans="1:27" ht="32" thickTop="1" thickBot="1">
      <c r="A110" s="331" t="s">
        <v>155</v>
      </c>
      <c r="B110" s="332"/>
      <c r="C110" s="332"/>
      <c r="D110" s="332"/>
      <c r="E110" s="332"/>
      <c r="F110" s="332"/>
      <c r="G110" s="332"/>
      <c r="H110" s="332"/>
      <c r="I110" s="332"/>
      <c r="J110" s="332"/>
      <c r="K110" s="332"/>
      <c r="L110" s="332"/>
      <c r="M110" s="332"/>
      <c r="N110" s="332"/>
      <c r="O110" s="332"/>
      <c r="P110" s="332"/>
      <c r="Q110" s="332"/>
      <c r="R110" s="332"/>
      <c r="S110" s="332"/>
      <c r="T110" s="332"/>
      <c r="U110" s="332"/>
      <c r="V110" s="332"/>
      <c r="W110" s="332"/>
      <c r="X110" s="332"/>
      <c r="Y110" s="332"/>
      <c r="Z110" s="332"/>
      <c r="AA110" s="333"/>
    </row>
    <row r="111" spans="1:27" ht="16" thickTop="1">
      <c r="A111" s="11" t="s">
        <v>148</v>
      </c>
      <c r="B111" s="11" t="s">
        <v>138</v>
      </c>
      <c r="C111" s="11" t="s">
        <v>30</v>
      </c>
      <c r="D111" s="11" t="s">
        <v>150</v>
      </c>
      <c r="E111" s="11" t="s">
        <v>151</v>
      </c>
      <c r="F111" s="11" t="s">
        <v>32</v>
      </c>
      <c r="G111" s="11" t="s">
        <v>33</v>
      </c>
      <c r="H111" s="11" t="s">
        <v>34</v>
      </c>
      <c r="I111" s="11" t="s">
        <v>35</v>
      </c>
      <c r="J111" s="11" t="s">
        <v>36</v>
      </c>
      <c r="K111" s="11" t="s">
        <v>37</v>
      </c>
    </row>
    <row r="112" spans="1:27">
      <c r="A112" s="11" t="s">
        <v>82</v>
      </c>
      <c r="B112" s="11" t="s">
        <v>145</v>
      </c>
      <c r="C112" s="11" t="s">
        <v>1</v>
      </c>
      <c r="D112" s="79">
        <v>0.33333333333333331</v>
      </c>
      <c r="E112" s="11">
        <v>1</v>
      </c>
      <c r="F112" s="54">
        <v>25</v>
      </c>
      <c r="G112" s="54">
        <v>40</v>
      </c>
      <c r="H112" s="54">
        <v>60</v>
      </c>
      <c r="I112" s="54">
        <v>80</v>
      </c>
      <c r="J112" s="54">
        <v>100</v>
      </c>
      <c r="K112" s="54">
        <v>150</v>
      </c>
    </row>
    <row r="113" spans="1:11">
      <c r="A113" s="11" t="s">
        <v>83</v>
      </c>
      <c r="B113" s="11" t="s">
        <v>145</v>
      </c>
      <c r="C113" s="11" t="s">
        <v>1</v>
      </c>
      <c r="D113" s="79">
        <v>0.41666666666666669</v>
      </c>
      <c r="E113" s="11">
        <v>1</v>
      </c>
      <c r="F113" s="54">
        <v>50</v>
      </c>
      <c r="G113" s="54">
        <v>80</v>
      </c>
      <c r="H113" s="54">
        <v>120</v>
      </c>
      <c r="I113" s="54">
        <v>160</v>
      </c>
      <c r="J113" s="54">
        <v>200</v>
      </c>
      <c r="K113" s="54">
        <v>300</v>
      </c>
    </row>
    <row r="114" spans="1:11">
      <c r="A114" s="11" t="s">
        <v>84</v>
      </c>
      <c r="B114" s="11" t="s">
        <v>145</v>
      </c>
      <c r="C114" s="11" t="s">
        <v>1</v>
      </c>
      <c r="D114" s="79">
        <v>0.5</v>
      </c>
      <c r="E114" s="11">
        <v>1</v>
      </c>
      <c r="F114" s="54">
        <v>25</v>
      </c>
      <c r="G114" s="54">
        <v>40</v>
      </c>
      <c r="H114" s="54">
        <v>60</v>
      </c>
      <c r="I114" s="54">
        <v>80</v>
      </c>
      <c r="J114" s="54">
        <v>100</v>
      </c>
      <c r="K114" s="54">
        <v>150</v>
      </c>
    </row>
    <row r="115" spans="1:11">
      <c r="A115" s="11" t="s">
        <v>85</v>
      </c>
      <c r="B115" s="11" t="s">
        <v>145</v>
      </c>
      <c r="C115" s="11" t="s">
        <v>1</v>
      </c>
      <c r="D115" s="79">
        <v>2</v>
      </c>
      <c r="E115" s="11">
        <v>5</v>
      </c>
      <c r="F115" s="54">
        <v>500</v>
      </c>
      <c r="G115" s="54">
        <v>1000</v>
      </c>
      <c r="H115" s="54">
        <v>1500</v>
      </c>
      <c r="I115" s="54">
        <v>2000</v>
      </c>
      <c r="J115" s="54">
        <v>2500</v>
      </c>
      <c r="K115" s="54">
        <v>3000</v>
      </c>
    </row>
    <row r="116" spans="1:11">
      <c r="A116" s="11" t="s">
        <v>86</v>
      </c>
      <c r="B116" s="11" t="s">
        <v>145</v>
      </c>
      <c r="C116" s="11" t="s">
        <v>1</v>
      </c>
      <c r="D116" s="79">
        <v>2</v>
      </c>
      <c r="E116" s="11">
        <v>2</v>
      </c>
      <c r="F116" s="54">
        <v>1000</v>
      </c>
      <c r="G116" s="54">
        <v>1500</v>
      </c>
      <c r="H116" s="54">
        <v>2000</v>
      </c>
      <c r="I116" s="54">
        <v>2500</v>
      </c>
      <c r="J116" s="54">
        <v>3000</v>
      </c>
      <c r="K116" s="54">
        <v>3500</v>
      </c>
    </row>
    <row r="117" spans="1:11">
      <c r="A117" s="11" t="s">
        <v>87</v>
      </c>
      <c r="B117" s="11" t="s">
        <v>145</v>
      </c>
      <c r="C117" s="11" t="s">
        <v>1</v>
      </c>
      <c r="D117" s="79">
        <v>8</v>
      </c>
      <c r="E117" s="11">
        <v>5</v>
      </c>
      <c r="F117" s="54">
        <v>2000</v>
      </c>
      <c r="G117" s="54">
        <v>2500</v>
      </c>
      <c r="H117" s="54">
        <v>3000</v>
      </c>
      <c r="I117" s="54">
        <v>3500</v>
      </c>
      <c r="J117" s="54">
        <v>4000</v>
      </c>
      <c r="K117" s="54">
        <v>4500</v>
      </c>
    </row>
    <row r="118" spans="1:11">
      <c r="A118" s="11" t="s">
        <v>88</v>
      </c>
      <c r="B118" s="11" t="s">
        <v>145</v>
      </c>
      <c r="C118" s="11" t="s">
        <v>1</v>
      </c>
      <c r="D118" s="79">
        <v>8</v>
      </c>
      <c r="E118" s="11">
        <v>4</v>
      </c>
      <c r="F118" s="54">
        <v>1500</v>
      </c>
      <c r="G118" s="54">
        <v>2000</v>
      </c>
      <c r="H118" s="54">
        <v>2500</v>
      </c>
      <c r="I118" s="54">
        <v>3000</v>
      </c>
      <c r="J118" s="54">
        <v>3500</v>
      </c>
      <c r="K118" s="54">
        <v>4000</v>
      </c>
    </row>
    <row r="119" spans="1:11">
      <c r="A119" s="11" t="s">
        <v>89</v>
      </c>
      <c r="B119" s="11" t="s">
        <v>145</v>
      </c>
      <c r="C119" s="11" t="s">
        <v>1</v>
      </c>
      <c r="D119" s="79">
        <v>15</v>
      </c>
      <c r="E119" s="11">
        <v>14</v>
      </c>
      <c r="F119" s="54">
        <v>5000</v>
      </c>
      <c r="G119" s="54">
        <v>6000</v>
      </c>
      <c r="H119" s="54">
        <v>8000</v>
      </c>
      <c r="I119" s="54">
        <v>10000</v>
      </c>
      <c r="J119" s="75" t="e">
        <v>#N/A</v>
      </c>
      <c r="K119" s="75" t="e">
        <v>#N/A</v>
      </c>
    </row>
    <row r="120" spans="1:11">
      <c r="A120" s="11" t="s">
        <v>90</v>
      </c>
      <c r="B120" s="11" t="s">
        <v>145</v>
      </c>
      <c r="C120" s="11" t="s">
        <v>1</v>
      </c>
      <c r="D120" s="79">
        <v>30</v>
      </c>
      <c r="E120" s="11">
        <v>20</v>
      </c>
      <c r="F120" s="54">
        <v>25000</v>
      </c>
      <c r="G120" s="54">
        <v>30000</v>
      </c>
      <c r="H120" s="54">
        <v>36000</v>
      </c>
      <c r="I120" s="54">
        <v>42000</v>
      </c>
      <c r="J120" s="75" t="e">
        <v>#N/A</v>
      </c>
      <c r="K120" s="75" t="e">
        <v>#N/A</v>
      </c>
    </row>
    <row r="121" spans="1:11">
      <c r="A121" s="11" t="s">
        <v>91</v>
      </c>
      <c r="B121" s="11" t="s">
        <v>145</v>
      </c>
      <c r="C121" s="11" t="s">
        <v>1</v>
      </c>
      <c r="D121" s="79">
        <v>45</v>
      </c>
      <c r="E121" s="11">
        <v>25</v>
      </c>
      <c r="F121" s="54">
        <v>30000</v>
      </c>
      <c r="G121" s="54">
        <v>35000</v>
      </c>
      <c r="H121" s="54">
        <v>42000</v>
      </c>
      <c r="I121" s="54">
        <v>45000</v>
      </c>
      <c r="J121" s="75">
        <v>50000</v>
      </c>
      <c r="K121" s="75" t="e">
        <v>#N/A</v>
      </c>
    </row>
    <row r="122" spans="1:11">
      <c r="A122" s="11" t="s">
        <v>92</v>
      </c>
      <c r="B122" s="11" t="s">
        <v>146</v>
      </c>
      <c r="C122" s="11" t="s">
        <v>1</v>
      </c>
      <c r="D122" s="79">
        <v>30</v>
      </c>
      <c r="E122" s="11">
        <v>1</v>
      </c>
      <c r="F122" s="54">
        <v>15000</v>
      </c>
      <c r="G122" s="54">
        <v>16500</v>
      </c>
      <c r="H122" s="54">
        <v>18000</v>
      </c>
      <c r="I122" s="54">
        <v>20000</v>
      </c>
      <c r="J122" s="54">
        <v>22000</v>
      </c>
      <c r="K122" s="54">
        <v>24000</v>
      </c>
    </row>
    <row r="123" spans="1:11">
      <c r="A123" s="11" t="s">
        <v>93</v>
      </c>
      <c r="B123" s="11" t="s">
        <v>146</v>
      </c>
      <c r="C123" s="11" t="s">
        <v>1</v>
      </c>
      <c r="D123" s="79">
        <v>30</v>
      </c>
      <c r="E123" s="11">
        <v>1</v>
      </c>
      <c r="F123" s="54">
        <v>15000</v>
      </c>
      <c r="G123" s="54">
        <v>165000</v>
      </c>
      <c r="H123" s="54">
        <v>18000</v>
      </c>
      <c r="I123" s="54">
        <v>20000</v>
      </c>
      <c r="J123" s="54">
        <v>22000</v>
      </c>
      <c r="K123" s="54">
        <v>24000</v>
      </c>
    </row>
    <row r="124" spans="1:11">
      <c r="A124" s="11" t="s">
        <v>94</v>
      </c>
      <c r="B124" s="11" t="s">
        <v>146</v>
      </c>
      <c r="C124" s="11" t="s">
        <v>1</v>
      </c>
      <c r="D124" s="79">
        <v>45</v>
      </c>
      <c r="E124" s="11">
        <v>1</v>
      </c>
      <c r="F124" s="54">
        <v>23000</v>
      </c>
      <c r="G124" s="54">
        <v>25000</v>
      </c>
      <c r="H124" s="54">
        <v>27000</v>
      </c>
      <c r="I124" s="54">
        <v>30000</v>
      </c>
      <c r="J124" s="54">
        <v>33000</v>
      </c>
      <c r="K124" s="75" t="e">
        <v>#N/A</v>
      </c>
    </row>
    <row r="125" spans="1:11">
      <c r="A125" s="11" t="s">
        <v>95</v>
      </c>
      <c r="B125" s="11" t="s">
        <v>146</v>
      </c>
      <c r="C125" s="11" t="s">
        <v>1</v>
      </c>
      <c r="D125" s="79">
        <v>45</v>
      </c>
      <c r="E125" s="11">
        <v>1</v>
      </c>
      <c r="F125" s="54">
        <v>23000</v>
      </c>
      <c r="G125" s="54">
        <v>27000</v>
      </c>
      <c r="H125" s="75">
        <v>31000</v>
      </c>
      <c r="I125" s="75" t="e">
        <v>#N/A</v>
      </c>
      <c r="J125" s="75" t="e">
        <v>#N/A</v>
      </c>
      <c r="K125" s="75" t="e">
        <v>#N/A</v>
      </c>
    </row>
    <row r="126" spans="1:11">
      <c r="A126" s="11" t="s">
        <v>96</v>
      </c>
      <c r="B126" s="11" t="s">
        <v>146</v>
      </c>
      <c r="C126" s="11" t="s">
        <v>1</v>
      </c>
      <c r="D126" s="79">
        <v>45</v>
      </c>
      <c r="E126" s="11">
        <v>1</v>
      </c>
      <c r="F126" s="54">
        <v>26000</v>
      </c>
      <c r="G126" s="54">
        <v>29000</v>
      </c>
      <c r="H126" s="54">
        <v>31000</v>
      </c>
      <c r="I126" s="54">
        <v>33000</v>
      </c>
      <c r="J126" s="54">
        <v>35000</v>
      </c>
      <c r="K126" s="75" t="e">
        <v>#N/A</v>
      </c>
    </row>
    <row r="127" spans="1:11">
      <c r="A127" s="11" t="s">
        <v>97</v>
      </c>
      <c r="B127" s="11" t="s">
        <v>145</v>
      </c>
      <c r="C127" s="11" t="s">
        <v>102</v>
      </c>
      <c r="D127" s="79">
        <v>0.75</v>
      </c>
      <c r="E127" s="11">
        <v>2</v>
      </c>
      <c r="F127" s="54">
        <v>6</v>
      </c>
      <c r="G127" s="54">
        <v>7</v>
      </c>
      <c r="H127" s="54">
        <v>8</v>
      </c>
      <c r="I127" s="54">
        <v>9</v>
      </c>
      <c r="J127" s="54">
        <v>10</v>
      </c>
      <c r="K127" s="54">
        <v>11</v>
      </c>
    </row>
    <row r="128" spans="1:11">
      <c r="A128" s="11" t="s">
        <v>98</v>
      </c>
      <c r="B128" s="11" t="s">
        <v>145</v>
      </c>
      <c r="C128" s="11" t="s">
        <v>102</v>
      </c>
      <c r="D128" s="79">
        <v>2</v>
      </c>
      <c r="E128" s="11">
        <v>5</v>
      </c>
      <c r="F128" s="54">
        <v>40</v>
      </c>
      <c r="G128" s="54">
        <v>45</v>
      </c>
      <c r="H128" s="54">
        <v>52</v>
      </c>
      <c r="I128" s="54">
        <v>58</v>
      </c>
      <c r="J128" s="54">
        <v>65</v>
      </c>
      <c r="K128" s="75" t="e">
        <v>#N/A</v>
      </c>
    </row>
    <row r="129" spans="1:27">
      <c r="A129" s="11" t="s">
        <v>99</v>
      </c>
      <c r="B129" s="11" t="s">
        <v>145</v>
      </c>
      <c r="C129" s="11" t="s">
        <v>102</v>
      </c>
      <c r="D129" s="79">
        <v>15</v>
      </c>
      <c r="E129" s="11">
        <v>8</v>
      </c>
      <c r="F129" s="54">
        <v>70</v>
      </c>
      <c r="G129" s="54">
        <v>100</v>
      </c>
      <c r="H129" s="54">
        <v>130</v>
      </c>
      <c r="I129" s="54">
        <v>160</v>
      </c>
      <c r="J129" s="75" t="e">
        <v>#N/A</v>
      </c>
      <c r="K129" s="75" t="e">
        <v>#N/A</v>
      </c>
    </row>
    <row r="130" spans="1:27">
      <c r="A130" s="11" t="s">
        <v>100</v>
      </c>
      <c r="B130" s="11" t="s">
        <v>145</v>
      </c>
      <c r="C130" s="11" t="s">
        <v>102</v>
      </c>
      <c r="D130" s="79">
        <v>45</v>
      </c>
      <c r="E130" s="11">
        <v>30</v>
      </c>
      <c r="F130" s="54">
        <v>450</v>
      </c>
      <c r="G130" s="54">
        <v>525</v>
      </c>
      <c r="H130" s="54">
        <v>600</v>
      </c>
      <c r="I130" s="54">
        <v>675</v>
      </c>
      <c r="J130" s="54">
        <v>750</v>
      </c>
      <c r="K130" s="75" t="e">
        <v>#N/A</v>
      </c>
    </row>
    <row r="131" spans="1:27">
      <c r="A131" s="11" t="s">
        <v>101</v>
      </c>
      <c r="B131" s="11" t="s">
        <v>145</v>
      </c>
      <c r="C131" s="11" t="s">
        <v>102</v>
      </c>
      <c r="D131" s="79">
        <v>20</v>
      </c>
      <c r="E131" s="11">
        <v>12</v>
      </c>
      <c r="F131" s="54">
        <v>250</v>
      </c>
      <c r="G131" s="54">
        <v>350</v>
      </c>
      <c r="H131" s="75" t="e">
        <v>#N/A</v>
      </c>
      <c r="I131" s="75" t="e">
        <v>#N/A</v>
      </c>
      <c r="J131" s="75" t="e">
        <v>#N/A</v>
      </c>
      <c r="K131" s="75" t="e">
        <v>#N/A</v>
      </c>
    </row>
    <row r="133" spans="1:27" ht="16" thickBot="1"/>
    <row r="134" spans="1:27" ht="32" thickTop="1" thickBot="1">
      <c r="A134" s="328" t="s">
        <v>103</v>
      </c>
      <c r="B134" s="329"/>
      <c r="C134" s="329"/>
      <c r="D134" s="329"/>
      <c r="E134" s="329"/>
      <c r="F134" s="329"/>
      <c r="G134" s="329"/>
      <c r="H134" s="329"/>
      <c r="I134" s="329"/>
      <c r="J134" s="329"/>
      <c r="K134" s="329"/>
      <c r="L134" s="329"/>
      <c r="M134" s="329"/>
      <c r="N134" s="329"/>
      <c r="O134" s="329"/>
      <c r="P134" s="329"/>
      <c r="Q134" s="329"/>
      <c r="R134" s="329"/>
      <c r="S134" s="329"/>
      <c r="T134" s="329"/>
      <c r="U134" s="329"/>
      <c r="V134" s="329"/>
      <c r="W134" s="329"/>
      <c r="X134" s="329"/>
      <c r="Y134" s="329"/>
      <c r="Z134" s="329"/>
      <c r="AA134" s="330"/>
    </row>
    <row r="135" spans="1:27" ht="16" thickTop="1">
      <c r="A135" s="11" t="s">
        <v>103</v>
      </c>
      <c r="B135" s="11" t="s">
        <v>72</v>
      </c>
      <c r="C135" s="11" t="s">
        <v>73</v>
      </c>
      <c r="D135" s="11" t="s">
        <v>74</v>
      </c>
      <c r="E135" s="11" t="s">
        <v>75</v>
      </c>
      <c r="F135" s="11" t="s">
        <v>76</v>
      </c>
      <c r="G135" s="11" t="s">
        <v>77</v>
      </c>
      <c r="H135" s="11" t="s">
        <v>78</v>
      </c>
      <c r="I135" s="11" t="s">
        <v>79</v>
      </c>
      <c r="J135" s="11" t="s">
        <v>81</v>
      </c>
      <c r="K135" s="11" t="s">
        <v>80</v>
      </c>
    </row>
    <row r="136" spans="1:27">
      <c r="A136" s="11" t="s">
        <v>13</v>
      </c>
      <c r="B136" s="11">
        <v>1</v>
      </c>
      <c r="C136" s="11">
        <v>1</v>
      </c>
      <c r="D136" s="11">
        <v>1</v>
      </c>
      <c r="E136" s="11">
        <v>1</v>
      </c>
      <c r="F136" s="11">
        <v>1</v>
      </c>
      <c r="G136" s="11">
        <v>1</v>
      </c>
      <c r="H136" s="11">
        <v>1</v>
      </c>
      <c r="I136" s="11">
        <v>1</v>
      </c>
      <c r="J136" s="11">
        <v>1</v>
      </c>
      <c r="K136" s="11">
        <v>1</v>
      </c>
    </row>
    <row r="137" spans="1:27">
      <c r="A137" s="11" t="s">
        <v>20</v>
      </c>
      <c r="B137" s="11">
        <v>0</v>
      </c>
      <c r="C137" s="11">
        <v>0</v>
      </c>
      <c r="D137" s="11">
        <v>1</v>
      </c>
      <c r="E137" s="11">
        <v>1</v>
      </c>
      <c r="F137" s="11">
        <v>1</v>
      </c>
      <c r="G137" s="11">
        <v>1</v>
      </c>
      <c r="H137" s="11">
        <v>1</v>
      </c>
      <c r="I137" s="11">
        <v>1</v>
      </c>
      <c r="J137" s="11">
        <v>1</v>
      </c>
      <c r="K137" s="11">
        <v>1</v>
      </c>
    </row>
    <row r="138" spans="1:27">
      <c r="A138" s="11" t="s">
        <v>15</v>
      </c>
      <c r="B138" s="11">
        <v>1</v>
      </c>
      <c r="C138" s="11">
        <v>2</v>
      </c>
      <c r="D138" s="80">
        <v>3</v>
      </c>
      <c r="E138" s="11">
        <v>4</v>
      </c>
      <c r="F138" s="11">
        <v>5</v>
      </c>
      <c r="G138" s="11">
        <v>6</v>
      </c>
      <c r="H138" s="11">
        <v>6</v>
      </c>
      <c r="I138" s="11">
        <v>6</v>
      </c>
      <c r="J138" s="11">
        <v>6</v>
      </c>
      <c r="K138" s="11">
        <v>7</v>
      </c>
    </row>
    <row r="139" spans="1:27">
      <c r="A139" s="11" t="s">
        <v>16</v>
      </c>
      <c r="B139" s="11">
        <v>1</v>
      </c>
      <c r="C139" s="11">
        <v>2</v>
      </c>
      <c r="D139" s="11">
        <v>3</v>
      </c>
      <c r="E139" s="11">
        <v>4</v>
      </c>
      <c r="F139" s="11">
        <v>5</v>
      </c>
      <c r="G139" s="11">
        <v>6</v>
      </c>
      <c r="H139" s="11">
        <v>6</v>
      </c>
      <c r="I139" s="11">
        <v>6</v>
      </c>
      <c r="J139" s="11">
        <v>6</v>
      </c>
      <c r="K139" s="11">
        <v>7</v>
      </c>
    </row>
    <row r="140" spans="1:27">
      <c r="A140" s="11" t="s">
        <v>17</v>
      </c>
      <c r="B140" s="11">
        <v>0</v>
      </c>
      <c r="C140" s="11">
        <v>0</v>
      </c>
      <c r="D140" s="11">
        <v>0</v>
      </c>
      <c r="E140" s="11">
        <v>0</v>
      </c>
      <c r="F140" s="11">
        <v>0</v>
      </c>
      <c r="G140" s="11">
        <v>0</v>
      </c>
      <c r="H140" s="11">
        <v>0</v>
      </c>
      <c r="I140" s="11">
        <v>1</v>
      </c>
      <c r="J140" s="11">
        <v>2</v>
      </c>
      <c r="K140" s="11">
        <v>3</v>
      </c>
    </row>
    <row r="141" spans="1:27">
      <c r="A141" s="11" t="s">
        <v>3</v>
      </c>
      <c r="B141" s="11">
        <v>1</v>
      </c>
      <c r="C141" s="11">
        <v>1</v>
      </c>
      <c r="D141" s="11">
        <v>2</v>
      </c>
      <c r="E141" s="11">
        <v>2</v>
      </c>
      <c r="F141" s="11">
        <v>2</v>
      </c>
      <c r="G141" s="11">
        <v>2</v>
      </c>
      <c r="H141" s="11">
        <v>2</v>
      </c>
      <c r="I141" s="11">
        <v>3</v>
      </c>
      <c r="J141" s="11">
        <v>4</v>
      </c>
      <c r="K141" s="11">
        <v>4</v>
      </c>
    </row>
    <row r="142" spans="1:27">
      <c r="A142" s="11" t="s">
        <v>4</v>
      </c>
      <c r="B142" s="11">
        <v>1</v>
      </c>
      <c r="C142" s="11">
        <v>1</v>
      </c>
      <c r="D142" s="11">
        <v>2</v>
      </c>
      <c r="E142" s="11">
        <v>2</v>
      </c>
      <c r="F142" s="11">
        <v>2</v>
      </c>
      <c r="G142" s="11">
        <v>2</v>
      </c>
      <c r="H142" s="11">
        <v>2</v>
      </c>
      <c r="I142" s="11">
        <v>3</v>
      </c>
      <c r="J142" s="11">
        <v>4</v>
      </c>
      <c r="K142" s="11">
        <v>4</v>
      </c>
    </row>
    <row r="143" spans="1:27">
      <c r="A143" s="11" t="s">
        <v>18</v>
      </c>
      <c r="B143" s="11">
        <v>0</v>
      </c>
      <c r="C143" s="11">
        <v>0</v>
      </c>
      <c r="D143" s="11">
        <v>0</v>
      </c>
      <c r="E143" s="11">
        <v>0</v>
      </c>
      <c r="F143" s="11">
        <v>0</v>
      </c>
      <c r="G143" s="11">
        <v>0</v>
      </c>
      <c r="H143" s="11">
        <v>1</v>
      </c>
      <c r="I143" s="11">
        <v>1</v>
      </c>
      <c r="J143" s="11">
        <v>1</v>
      </c>
      <c r="K143" s="11">
        <v>1</v>
      </c>
    </row>
    <row r="144" spans="1:27">
      <c r="A144" s="11" t="s">
        <v>19</v>
      </c>
      <c r="B144" s="11">
        <v>0</v>
      </c>
      <c r="C144" s="11">
        <v>0</v>
      </c>
      <c r="D144" s="11">
        <v>0</v>
      </c>
      <c r="E144" s="11">
        <v>0</v>
      </c>
      <c r="F144" s="11">
        <v>0</v>
      </c>
      <c r="G144" s="11">
        <v>0</v>
      </c>
      <c r="H144" s="11">
        <v>1</v>
      </c>
      <c r="I144" s="11">
        <v>2</v>
      </c>
      <c r="J144" s="11">
        <v>2</v>
      </c>
      <c r="K144" s="11">
        <v>2</v>
      </c>
    </row>
    <row r="145" spans="1:11">
      <c r="A145" s="11" t="s">
        <v>2</v>
      </c>
      <c r="B145" s="11">
        <v>1</v>
      </c>
      <c r="C145" s="11">
        <v>2</v>
      </c>
      <c r="D145" s="11">
        <v>2</v>
      </c>
      <c r="E145" s="11">
        <v>3</v>
      </c>
      <c r="F145" s="11">
        <v>3</v>
      </c>
      <c r="G145" s="11">
        <v>3</v>
      </c>
      <c r="H145" s="11">
        <v>4</v>
      </c>
      <c r="I145" s="11">
        <v>4</v>
      </c>
      <c r="J145" s="11">
        <v>4</v>
      </c>
      <c r="K145" s="11">
        <v>4</v>
      </c>
    </row>
    <row r="146" spans="1:11">
      <c r="A146" s="11" t="s">
        <v>260</v>
      </c>
      <c r="B146" s="11">
        <v>1</v>
      </c>
      <c r="C146" s="11">
        <v>1</v>
      </c>
      <c r="D146" s="11">
        <v>2</v>
      </c>
      <c r="E146" s="11">
        <v>2</v>
      </c>
      <c r="F146" s="11">
        <v>3</v>
      </c>
      <c r="G146" s="11">
        <v>3</v>
      </c>
      <c r="H146" s="11">
        <v>4</v>
      </c>
      <c r="I146" s="11">
        <v>4</v>
      </c>
      <c r="J146" s="11">
        <v>4</v>
      </c>
      <c r="K146" s="11">
        <v>4</v>
      </c>
    </row>
    <row r="147" spans="1:11">
      <c r="A147" s="11" t="s">
        <v>5</v>
      </c>
      <c r="B147" s="11">
        <v>0</v>
      </c>
      <c r="C147" s="11">
        <v>0</v>
      </c>
      <c r="D147" s="11">
        <v>1</v>
      </c>
      <c r="E147" s="11">
        <v>1</v>
      </c>
      <c r="F147" s="11">
        <v>1</v>
      </c>
      <c r="G147" s="11">
        <v>1</v>
      </c>
      <c r="H147" s="11">
        <v>1</v>
      </c>
      <c r="I147" s="11">
        <v>1</v>
      </c>
      <c r="J147" s="11">
        <v>1</v>
      </c>
      <c r="K147" s="11">
        <v>1</v>
      </c>
    </row>
    <row r="148" spans="1:11">
      <c r="A148" s="11" t="s">
        <v>21</v>
      </c>
      <c r="B148" s="11">
        <v>0</v>
      </c>
      <c r="C148" s="11">
        <v>0</v>
      </c>
      <c r="D148" s="11">
        <v>0</v>
      </c>
      <c r="E148" s="11">
        <v>0</v>
      </c>
      <c r="F148" s="11">
        <v>1</v>
      </c>
      <c r="G148" s="11">
        <v>1</v>
      </c>
      <c r="H148" s="11">
        <v>1</v>
      </c>
      <c r="I148" s="11">
        <v>1</v>
      </c>
      <c r="J148" s="11">
        <v>1</v>
      </c>
      <c r="K148" s="11">
        <v>1</v>
      </c>
    </row>
    <row r="149" spans="1:11">
      <c r="A149" s="11" t="s">
        <v>6</v>
      </c>
      <c r="B149" s="11">
        <v>2</v>
      </c>
      <c r="C149" s="11">
        <v>2</v>
      </c>
      <c r="D149" s="11">
        <v>2</v>
      </c>
      <c r="E149" s="11">
        <v>2</v>
      </c>
      <c r="F149" s="11">
        <v>3</v>
      </c>
      <c r="G149" s="11">
        <v>3</v>
      </c>
      <c r="H149" s="11">
        <v>5</v>
      </c>
      <c r="I149" s="11">
        <v>5</v>
      </c>
      <c r="J149" s="11">
        <v>5</v>
      </c>
      <c r="K149" s="11">
        <v>6</v>
      </c>
    </row>
    <row r="150" spans="1:11">
      <c r="A150" s="11" t="s">
        <v>22</v>
      </c>
      <c r="B150" s="11">
        <v>0</v>
      </c>
      <c r="C150" s="11">
        <v>1</v>
      </c>
      <c r="D150" s="11">
        <v>1</v>
      </c>
      <c r="E150" s="11">
        <v>2</v>
      </c>
      <c r="F150" s="11">
        <v>3</v>
      </c>
      <c r="G150" s="11">
        <v>3</v>
      </c>
      <c r="H150" s="11">
        <v>4</v>
      </c>
      <c r="I150" s="11">
        <v>5</v>
      </c>
      <c r="J150" s="11">
        <v>6</v>
      </c>
      <c r="K150" s="11">
        <v>7</v>
      </c>
    </row>
    <row r="151" spans="1:11">
      <c r="A151" s="11" t="s">
        <v>23</v>
      </c>
      <c r="B151" s="11">
        <v>0</v>
      </c>
      <c r="C151" s="11">
        <v>25</v>
      </c>
      <c r="D151" s="11">
        <v>50</v>
      </c>
      <c r="E151" s="11">
        <v>75</v>
      </c>
      <c r="F151" s="11">
        <v>100</v>
      </c>
      <c r="G151" s="11">
        <v>125</v>
      </c>
      <c r="H151" s="11">
        <v>175</v>
      </c>
      <c r="I151" s="11">
        <v>225</v>
      </c>
      <c r="J151" s="11">
        <v>250</v>
      </c>
      <c r="K151" s="11">
        <v>250</v>
      </c>
    </row>
    <row r="152" spans="1:11">
      <c r="A152" s="11" t="s">
        <v>7</v>
      </c>
      <c r="B152" s="11">
        <v>0</v>
      </c>
      <c r="C152" s="11">
        <v>0</v>
      </c>
      <c r="D152" s="11">
        <v>1</v>
      </c>
      <c r="E152" s="11">
        <v>1</v>
      </c>
      <c r="F152" s="11">
        <v>1</v>
      </c>
      <c r="G152" s="11">
        <v>2</v>
      </c>
      <c r="H152" s="11">
        <v>3</v>
      </c>
      <c r="I152" s="11">
        <v>3</v>
      </c>
      <c r="J152" s="11">
        <v>3</v>
      </c>
      <c r="K152" s="11">
        <v>3</v>
      </c>
    </row>
    <row r="153" spans="1:11">
      <c r="A153" s="11" t="s">
        <v>8</v>
      </c>
      <c r="B153" s="11">
        <v>0</v>
      </c>
      <c r="C153" s="11">
        <v>0</v>
      </c>
      <c r="D153" s="11">
        <v>2</v>
      </c>
      <c r="E153" s="11">
        <v>2</v>
      </c>
      <c r="F153" s="11">
        <v>4</v>
      </c>
      <c r="G153" s="11">
        <v>4</v>
      </c>
      <c r="H153" s="11">
        <v>6</v>
      </c>
      <c r="I153" s="11">
        <v>6</v>
      </c>
      <c r="J153" s="11">
        <v>6</v>
      </c>
      <c r="K153" s="11">
        <v>6</v>
      </c>
    </row>
    <row r="154" spans="1:11">
      <c r="A154" s="11" t="s">
        <v>24</v>
      </c>
      <c r="B154" s="11">
        <v>0</v>
      </c>
      <c r="C154" s="11">
        <v>0</v>
      </c>
      <c r="D154" s="11">
        <v>0</v>
      </c>
      <c r="E154" s="11">
        <v>1</v>
      </c>
      <c r="F154" s="11">
        <v>1</v>
      </c>
      <c r="G154" s="11">
        <v>1</v>
      </c>
      <c r="H154" s="11">
        <v>2</v>
      </c>
      <c r="I154" s="11">
        <v>3</v>
      </c>
      <c r="J154" s="11">
        <v>4</v>
      </c>
      <c r="K154" s="11">
        <v>4</v>
      </c>
    </row>
    <row r="155" spans="1:11">
      <c r="A155" s="11" t="s">
        <v>25</v>
      </c>
      <c r="B155" s="11">
        <v>0</v>
      </c>
      <c r="C155" s="11">
        <v>0</v>
      </c>
      <c r="D155" s="11">
        <v>0</v>
      </c>
      <c r="E155" s="11">
        <v>2</v>
      </c>
      <c r="F155" s="11">
        <v>2</v>
      </c>
      <c r="G155" s="11">
        <v>4</v>
      </c>
      <c r="H155" s="11">
        <v>4</v>
      </c>
      <c r="I155" s="11">
        <v>6</v>
      </c>
      <c r="J155" s="11">
        <v>6</v>
      </c>
      <c r="K155" s="11">
        <v>6</v>
      </c>
    </row>
    <row r="156" spans="1:11">
      <c r="A156" s="11" t="s">
        <v>26</v>
      </c>
      <c r="B156" s="11">
        <v>0</v>
      </c>
      <c r="C156" s="11">
        <v>0</v>
      </c>
      <c r="D156" s="11">
        <v>0</v>
      </c>
      <c r="E156" s="11">
        <v>0</v>
      </c>
      <c r="F156" s="11">
        <v>1</v>
      </c>
      <c r="G156" s="11">
        <v>2</v>
      </c>
      <c r="H156" s="11">
        <v>2</v>
      </c>
      <c r="I156" s="11">
        <v>3</v>
      </c>
      <c r="J156" s="11">
        <v>4</v>
      </c>
      <c r="K156" s="11">
        <v>4</v>
      </c>
    </row>
    <row r="157" spans="1:11">
      <c r="A157" s="11" t="s">
        <v>9</v>
      </c>
      <c r="B157" s="11">
        <v>0</v>
      </c>
      <c r="C157" s="11">
        <v>0</v>
      </c>
      <c r="D157" s="11">
        <v>0</v>
      </c>
      <c r="E157" s="11">
        <v>0</v>
      </c>
      <c r="F157" s="11">
        <v>0</v>
      </c>
      <c r="G157" s="11">
        <v>1</v>
      </c>
      <c r="H157" s="11">
        <v>2</v>
      </c>
      <c r="I157" s="11">
        <v>3</v>
      </c>
      <c r="J157" s="11">
        <v>4</v>
      </c>
      <c r="K157" s="11">
        <v>5</v>
      </c>
    </row>
    <row r="158" spans="1:11">
      <c r="A158" s="11" t="s">
        <v>10</v>
      </c>
      <c r="B158" s="11">
        <v>0</v>
      </c>
      <c r="C158" s="11">
        <v>0</v>
      </c>
      <c r="D158" s="11">
        <v>0</v>
      </c>
      <c r="E158" s="11">
        <v>0</v>
      </c>
      <c r="F158" s="11">
        <v>2</v>
      </c>
      <c r="G158" s="11">
        <v>2</v>
      </c>
      <c r="H158" s="11">
        <v>2</v>
      </c>
      <c r="I158" s="11">
        <v>4</v>
      </c>
      <c r="J158" s="11">
        <v>4</v>
      </c>
      <c r="K158" s="11">
        <v>5</v>
      </c>
    </row>
    <row r="159" spans="1:11">
      <c r="A159" s="11" t="s">
        <v>27</v>
      </c>
      <c r="B159" s="11">
        <v>0</v>
      </c>
      <c r="C159" s="11">
        <v>0</v>
      </c>
      <c r="D159" s="11">
        <v>0</v>
      </c>
      <c r="E159" s="11">
        <v>0</v>
      </c>
      <c r="F159" s="11">
        <v>0</v>
      </c>
      <c r="G159" s="11">
        <v>0</v>
      </c>
      <c r="H159" s="11">
        <v>1</v>
      </c>
      <c r="I159" s="11">
        <v>2</v>
      </c>
      <c r="J159" s="11">
        <v>4</v>
      </c>
      <c r="K159" s="11">
        <v>5</v>
      </c>
    </row>
    <row r="160" spans="1:11">
      <c r="A160" s="11" t="s">
        <v>11</v>
      </c>
      <c r="B160" s="11">
        <v>0</v>
      </c>
      <c r="C160" s="11">
        <v>0</v>
      </c>
      <c r="D160" s="11">
        <v>0</v>
      </c>
      <c r="E160" s="11">
        <v>0</v>
      </c>
      <c r="F160" s="11">
        <v>0</v>
      </c>
      <c r="G160" s="11">
        <v>0</v>
      </c>
      <c r="H160" s="11">
        <v>2</v>
      </c>
      <c r="I160" s="11">
        <v>3</v>
      </c>
      <c r="J160" s="11">
        <v>4</v>
      </c>
      <c r="K160" s="11">
        <v>4</v>
      </c>
    </row>
    <row r="161" spans="1:11">
      <c r="A161" s="11" t="s">
        <v>12</v>
      </c>
      <c r="B161" s="11">
        <v>0</v>
      </c>
      <c r="C161" s="11">
        <v>0</v>
      </c>
      <c r="D161" s="11">
        <v>0</v>
      </c>
      <c r="E161" s="11">
        <v>0</v>
      </c>
      <c r="F161" s="11">
        <v>0</v>
      </c>
      <c r="G161" s="11">
        <v>0</v>
      </c>
      <c r="H161" s="11">
        <v>0</v>
      </c>
      <c r="I161" s="11">
        <v>0</v>
      </c>
      <c r="J161" s="11">
        <v>2</v>
      </c>
      <c r="K161" s="11">
        <v>3</v>
      </c>
    </row>
    <row r="162" spans="1:11">
      <c r="A162" s="11" t="s">
        <v>28</v>
      </c>
      <c r="B162" s="11">
        <v>0</v>
      </c>
      <c r="C162" s="11">
        <v>0</v>
      </c>
      <c r="D162" s="11">
        <v>0</v>
      </c>
      <c r="E162" s="11">
        <v>0</v>
      </c>
      <c r="F162" s="11">
        <v>0</v>
      </c>
      <c r="G162" s="11">
        <v>0</v>
      </c>
      <c r="H162" s="11">
        <v>0</v>
      </c>
      <c r="I162" s="11">
        <v>0</v>
      </c>
      <c r="J162" s="11">
        <v>0</v>
      </c>
      <c r="K162" s="11">
        <v>2</v>
      </c>
    </row>
    <row r="163" spans="1:11">
      <c r="A163" s="11" t="s">
        <v>105</v>
      </c>
      <c r="B163" s="11">
        <v>0</v>
      </c>
      <c r="C163" s="11">
        <v>0</v>
      </c>
      <c r="D163" s="11">
        <v>0</v>
      </c>
      <c r="E163" s="11">
        <v>0</v>
      </c>
      <c r="F163" s="11">
        <v>0</v>
      </c>
      <c r="G163" s="11">
        <v>0</v>
      </c>
      <c r="H163" s="11">
        <v>1</v>
      </c>
      <c r="I163" s="11">
        <v>1</v>
      </c>
      <c r="J163" s="11">
        <v>1</v>
      </c>
      <c r="K163" s="11">
        <v>1</v>
      </c>
    </row>
    <row r="164" spans="1:11">
      <c r="A164" s="11" t="s">
        <v>106</v>
      </c>
      <c r="B164" s="11">
        <v>0</v>
      </c>
      <c r="C164" s="11">
        <v>0</v>
      </c>
      <c r="D164" s="11">
        <v>0</v>
      </c>
      <c r="E164" s="11">
        <v>0</v>
      </c>
      <c r="F164" s="11">
        <v>0</v>
      </c>
      <c r="G164" s="11">
        <v>0</v>
      </c>
      <c r="H164" s="11">
        <v>0</v>
      </c>
      <c r="I164" s="11">
        <v>0</v>
      </c>
      <c r="J164" s="11">
        <v>1</v>
      </c>
      <c r="K164" s="11">
        <v>1</v>
      </c>
    </row>
    <row r="165" spans="1:11">
      <c r="A165" s="11" t="s">
        <v>205</v>
      </c>
      <c r="B165" s="11">
        <v>0</v>
      </c>
      <c r="C165" s="11">
        <v>0</v>
      </c>
      <c r="D165" s="11">
        <v>0</v>
      </c>
      <c r="E165" s="11">
        <v>0</v>
      </c>
      <c r="F165" s="11">
        <v>0</v>
      </c>
      <c r="G165" s="11">
        <v>0</v>
      </c>
      <c r="H165" s="11">
        <v>1</v>
      </c>
      <c r="I165" s="11">
        <v>1</v>
      </c>
      <c r="J165" s="11">
        <v>1</v>
      </c>
      <c r="K165" s="11">
        <v>1</v>
      </c>
    </row>
    <row r="166" spans="1:11">
      <c r="A166" s="11" t="s">
        <v>209</v>
      </c>
      <c r="B166" s="11">
        <v>0</v>
      </c>
      <c r="C166" s="11">
        <v>0</v>
      </c>
      <c r="D166" s="11">
        <v>0</v>
      </c>
      <c r="E166" s="11">
        <v>0</v>
      </c>
      <c r="F166" s="11">
        <v>0</v>
      </c>
      <c r="G166" s="11">
        <v>0</v>
      </c>
      <c r="H166" s="11">
        <v>0</v>
      </c>
      <c r="I166" s="11">
        <v>0</v>
      </c>
      <c r="J166" s="11">
        <v>1</v>
      </c>
      <c r="K166" s="11">
        <v>1</v>
      </c>
    </row>
    <row r="167" spans="1:11">
      <c r="A167" s="11" t="s">
        <v>82</v>
      </c>
      <c r="B167" s="11">
        <v>1</v>
      </c>
      <c r="C167" s="11">
        <v>1</v>
      </c>
      <c r="D167" s="11">
        <v>1</v>
      </c>
      <c r="E167" s="11">
        <v>1</v>
      </c>
      <c r="F167" s="11">
        <v>1</v>
      </c>
      <c r="G167" s="11">
        <v>1</v>
      </c>
      <c r="H167" s="11">
        <v>1</v>
      </c>
      <c r="I167" s="11">
        <v>1</v>
      </c>
      <c r="J167" s="11">
        <v>0</v>
      </c>
      <c r="K167" s="11">
        <v>0</v>
      </c>
    </row>
    <row r="168" spans="1:11">
      <c r="A168" s="11" t="s">
        <v>83</v>
      </c>
      <c r="B168" s="11">
        <v>1</v>
      </c>
      <c r="C168" s="11">
        <v>1</v>
      </c>
      <c r="D168" s="11">
        <v>1</v>
      </c>
      <c r="E168" s="11">
        <v>1</v>
      </c>
      <c r="F168" s="11">
        <v>1</v>
      </c>
      <c r="G168" s="11">
        <v>1</v>
      </c>
      <c r="H168" s="11">
        <v>1</v>
      </c>
      <c r="I168" s="11">
        <v>1</v>
      </c>
      <c r="J168" s="11">
        <v>0</v>
      </c>
      <c r="K168" s="11">
        <v>0</v>
      </c>
    </row>
    <row r="169" spans="1:11">
      <c r="A169" s="11" t="s">
        <v>84</v>
      </c>
      <c r="B169" s="11">
        <v>1</v>
      </c>
      <c r="C169" s="11">
        <v>1</v>
      </c>
      <c r="D169" s="11">
        <v>1</v>
      </c>
      <c r="E169" s="11">
        <v>1</v>
      </c>
      <c r="F169" s="11">
        <v>1</v>
      </c>
      <c r="G169" s="11">
        <v>1</v>
      </c>
      <c r="H169" s="11">
        <v>1</v>
      </c>
      <c r="I169" s="11">
        <v>1</v>
      </c>
      <c r="J169" s="11">
        <v>0</v>
      </c>
      <c r="K169" s="11">
        <v>0</v>
      </c>
    </row>
    <row r="170" spans="1:11">
      <c r="A170" s="11" t="s">
        <v>85</v>
      </c>
      <c r="B170" s="11">
        <v>0</v>
      </c>
      <c r="C170" s="11">
        <v>1</v>
      </c>
      <c r="D170" s="11">
        <v>1</v>
      </c>
      <c r="E170" s="11">
        <v>1</v>
      </c>
      <c r="F170" s="11">
        <v>1</v>
      </c>
      <c r="G170" s="11">
        <v>1</v>
      </c>
      <c r="H170" s="11">
        <v>1</v>
      </c>
      <c r="I170" s="11">
        <v>1</v>
      </c>
      <c r="J170" s="11">
        <v>0</v>
      </c>
      <c r="K170" s="11">
        <v>0</v>
      </c>
    </row>
    <row r="171" spans="1:11">
      <c r="A171" s="11" t="s">
        <v>86</v>
      </c>
      <c r="B171" s="11">
        <v>0</v>
      </c>
      <c r="C171" s="11">
        <v>1</v>
      </c>
      <c r="D171" s="11">
        <v>1</v>
      </c>
      <c r="E171" s="11">
        <v>1</v>
      </c>
      <c r="F171" s="11">
        <v>1</v>
      </c>
      <c r="G171" s="11">
        <v>1</v>
      </c>
      <c r="H171" s="11">
        <v>1</v>
      </c>
      <c r="I171" s="11">
        <v>1</v>
      </c>
      <c r="J171" s="11">
        <v>0</v>
      </c>
      <c r="K171" s="11">
        <v>0</v>
      </c>
    </row>
    <row r="172" spans="1:11">
      <c r="A172" s="11" t="s">
        <v>87</v>
      </c>
      <c r="B172" s="11">
        <v>0</v>
      </c>
      <c r="C172" s="11">
        <v>1</v>
      </c>
      <c r="D172" s="11">
        <v>1</v>
      </c>
      <c r="E172" s="11">
        <v>1</v>
      </c>
      <c r="F172" s="11">
        <v>1</v>
      </c>
      <c r="G172" s="11">
        <v>1</v>
      </c>
      <c r="H172" s="11">
        <v>1</v>
      </c>
      <c r="I172" s="11">
        <v>1</v>
      </c>
      <c r="J172" s="11">
        <v>0</v>
      </c>
      <c r="K172" s="11">
        <v>0</v>
      </c>
    </row>
    <row r="173" spans="1:11">
      <c r="A173" s="11" t="s">
        <v>88</v>
      </c>
      <c r="B173" s="11">
        <v>0</v>
      </c>
      <c r="C173" s="11">
        <v>0</v>
      </c>
      <c r="D173" s="11">
        <v>1</v>
      </c>
      <c r="E173" s="11">
        <v>1</v>
      </c>
      <c r="F173" s="11">
        <v>1</v>
      </c>
      <c r="G173" s="11">
        <v>1</v>
      </c>
      <c r="H173" s="11">
        <v>1</v>
      </c>
      <c r="I173" s="11">
        <v>1</v>
      </c>
      <c r="J173" s="11">
        <v>0</v>
      </c>
      <c r="K173" s="11">
        <v>0</v>
      </c>
    </row>
    <row r="174" spans="1:11">
      <c r="A174" s="11" t="s">
        <v>89</v>
      </c>
      <c r="B174" s="11">
        <v>0</v>
      </c>
      <c r="C174" s="11">
        <v>0</v>
      </c>
      <c r="D174" s="11">
        <v>0</v>
      </c>
      <c r="E174" s="11">
        <v>0</v>
      </c>
      <c r="F174" s="11">
        <v>1</v>
      </c>
      <c r="G174" s="11">
        <v>1</v>
      </c>
      <c r="H174" s="11">
        <v>1</v>
      </c>
      <c r="I174" s="11">
        <v>1</v>
      </c>
      <c r="J174" s="11">
        <v>0</v>
      </c>
      <c r="K174" s="11">
        <v>0</v>
      </c>
    </row>
    <row r="175" spans="1:11">
      <c r="A175" s="11" t="s">
        <v>90</v>
      </c>
      <c r="B175" s="11">
        <v>0</v>
      </c>
      <c r="C175" s="11">
        <v>0</v>
      </c>
      <c r="D175" s="11">
        <v>0</v>
      </c>
      <c r="E175" s="11">
        <v>0</v>
      </c>
      <c r="F175" s="11">
        <v>1</v>
      </c>
      <c r="G175" s="11">
        <v>1</v>
      </c>
      <c r="H175" s="11">
        <v>1</v>
      </c>
      <c r="I175" s="11">
        <v>1</v>
      </c>
      <c r="J175" s="11">
        <v>0</v>
      </c>
      <c r="K175" s="11">
        <v>0</v>
      </c>
    </row>
    <row r="176" spans="1:11">
      <c r="A176" s="11" t="s">
        <v>91</v>
      </c>
      <c r="B176" s="11">
        <v>0</v>
      </c>
      <c r="C176" s="11">
        <v>0</v>
      </c>
      <c r="D176" s="11">
        <v>0</v>
      </c>
      <c r="E176" s="11">
        <v>0</v>
      </c>
      <c r="F176" s="11">
        <v>0</v>
      </c>
      <c r="G176" s="11">
        <v>1</v>
      </c>
      <c r="H176" s="11">
        <v>1</v>
      </c>
      <c r="I176" s="11">
        <v>1</v>
      </c>
      <c r="J176" s="11">
        <v>0</v>
      </c>
      <c r="K176" s="11">
        <v>0</v>
      </c>
    </row>
    <row r="177" spans="1:27">
      <c r="A177" s="11" t="s">
        <v>92</v>
      </c>
      <c r="B177" s="11">
        <v>1</v>
      </c>
      <c r="C177" s="11">
        <v>1</v>
      </c>
      <c r="D177" s="11">
        <v>1</v>
      </c>
      <c r="E177" s="11">
        <v>1</v>
      </c>
      <c r="F177" s="11">
        <v>1</v>
      </c>
      <c r="G177" s="11">
        <v>1</v>
      </c>
      <c r="H177" s="11">
        <v>1</v>
      </c>
      <c r="I177" s="11">
        <v>1</v>
      </c>
      <c r="J177" s="11">
        <v>0</v>
      </c>
      <c r="K177" s="11">
        <v>0</v>
      </c>
    </row>
    <row r="178" spans="1:27">
      <c r="A178" s="11" t="s">
        <v>93</v>
      </c>
      <c r="B178" s="11">
        <v>0</v>
      </c>
      <c r="C178" s="11">
        <v>1</v>
      </c>
      <c r="D178" s="11">
        <v>1</v>
      </c>
      <c r="E178" s="11">
        <v>1</v>
      </c>
      <c r="F178" s="11">
        <v>1</v>
      </c>
      <c r="G178" s="11">
        <v>1</v>
      </c>
      <c r="H178" s="11">
        <v>1</v>
      </c>
      <c r="I178" s="11">
        <v>1</v>
      </c>
      <c r="J178" s="11">
        <v>0</v>
      </c>
      <c r="K178" s="11">
        <v>0</v>
      </c>
    </row>
    <row r="179" spans="1:27">
      <c r="A179" s="11" t="s">
        <v>94</v>
      </c>
      <c r="B179" s="11">
        <v>0</v>
      </c>
      <c r="C179" s="11">
        <v>0</v>
      </c>
      <c r="D179" s="11">
        <v>1</v>
      </c>
      <c r="E179" s="11">
        <v>1</v>
      </c>
      <c r="F179" s="11">
        <v>1</v>
      </c>
      <c r="G179" s="11">
        <v>1</v>
      </c>
      <c r="H179" s="11">
        <v>1</v>
      </c>
      <c r="I179" s="11">
        <v>1</v>
      </c>
      <c r="J179" s="11">
        <v>0</v>
      </c>
      <c r="K179" s="11">
        <v>0</v>
      </c>
    </row>
    <row r="180" spans="1:27">
      <c r="A180" s="11" t="s">
        <v>95</v>
      </c>
      <c r="B180" s="11">
        <v>0</v>
      </c>
      <c r="C180" s="11">
        <v>0</v>
      </c>
      <c r="D180" s="11">
        <v>0</v>
      </c>
      <c r="E180" s="11">
        <v>0</v>
      </c>
      <c r="F180" s="11">
        <v>0</v>
      </c>
      <c r="G180" s="11">
        <v>0</v>
      </c>
      <c r="H180" s="11">
        <v>1</v>
      </c>
      <c r="I180" s="11">
        <v>1</v>
      </c>
      <c r="J180" s="11">
        <v>0</v>
      </c>
      <c r="K180" s="11">
        <v>0</v>
      </c>
    </row>
    <row r="181" spans="1:27">
      <c r="A181" s="11" t="s">
        <v>96</v>
      </c>
      <c r="B181" s="11">
        <v>0</v>
      </c>
      <c r="C181" s="11">
        <v>0</v>
      </c>
      <c r="D181" s="11">
        <v>0</v>
      </c>
      <c r="E181" s="11">
        <v>0</v>
      </c>
      <c r="F181" s="11">
        <v>0</v>
      </c>
      <c r="G181" s="11">
        <v>0</v>
      </c>
      <c r="H181" s="11">
        <v>0</v>
      </c>
      <c r="I181" s="11">
        <v>1</v>
      </c>
      <c r="J181" s="11">
        <v>0</v>
      </c>
      <c r="K181" s="11">
        <v>0</v>
      </c>
    </row>
    <row r="182" spans="1:27">
      <c r="A182" s="11" t="s">
        <v>97</v>
      </c>
      <c r="B182" s="11">
        <v>0</v>
      </c>
      <c r="C182" s="11">
        <v>0</v>
      </c>
      <c r="D182" s="11">
        <v>0</v>
      </c>
      <c r="E182" s="11">
        <v>0</v>
      </c>
      <c r="F182" s="11">
        <v>1</v>
      </c>
      <c r="G182" s="11">
        <v>1</v>
      </c>
      <c r="H182" s="11">
        <v>1</v>
      </c>
      <c r="I182" s="11">
        <v>1</v>
      </c>
      <c r="J182" s="11">
        <v>0</v>
      </c>
      <c r="K182" s="11">
        <v>0</v>
      </c>
    </row>
    <row r="183" spans="1:27">
      <c r="A183" s="11" t="s">
        <v>98</v>
      </c>
      <c r="B183" s="11">
        <v>0</v>
      </c>
      <c r="C183" s="11">
        <v>0</v>
      </c>
      <c r="D183" s="11">
        <v>0</v>
      </c>
      <c r="E183" s="11">
        <v>0</v>
      </c>
      <c r="F183" s="11">
        <v>1</v>
      </c>
      <c r="G183" s="11">
        <v>1</v>
      </c>
      <c r="H183" s="11">
        <v>1</v>
      </c>
      <c r="I183" s="11">
        <v>1</v>
      </c>
      <c r="J183" s="11">
        <v>0</v>
      </c>
      <c r="K183" s="11">
        <v>0</v>
      </c>
    </row>
    <row r="184" spans="1:27">
      <c r="A184" s="11" t="s">
        <v>99</v>
      </c>
      <c r="B184" s="11">
        <v>0</v>
      </c>
      <c r="C184" s="11">
        <v>0</v>
      </c>
      <c r="D184" s="11">
        <v>0</v>
      </c>
      <c r="E184" s="11">
        <v>0</v>
      </c>
      <c r="F184" s="11">
        <v>0</v>
      </c>
      <c r="G184" s="11">
        <v>1</v>
      </c>
      <c r="H184" s="11">
        <v>1</v>
      </c>
      <c r="I184" s="11">
        <v>1</v>
      </c>
      <c r="J184" s="11">
        <v>0</v>
      </c>
      <c r="K184" s="11">
        <v>0</v>
      </c>
    </row>
    <row r="185" spans="1:27">
      <c r="A185" s="11" t="s">
        <v>100</v>
      </c>
      <c r="B185" s="11">
        <v>0</v>
      </c>
      <c r="C185" s="11">
        <v>0</v>
      </c>
      <c r="D185" s="11">
        <v>0</v>
      </c>
      <c r="E185" s="11">
        <v>0</v>
      </c>
      <c r="F185" s="11">
        <v>0</v>
      </c>
      <c r="G185" s="11">
        <v>1</v>
      </c>
      <c r="H185" s="11">
        <v>1</v>
      </c>
      <c r="I185" s="11">
        <v>1</v>
      </c>
      <c r="J185" s="11">
        <v>0</v>
      </c>
      <c r="K185" s="11">
        <v>0</v>
      </c>
    </row>
    <row r="186" spans="1:27">
      <c r="A186" s="57" t="s">
        <v>101</v>
      </c>
      <c r="B186" s="57">
        <v>0</v>
      </c>
      <c r="C186" s="57">
        <v>0</v>
      </c>
      <c r="D186" s="57">
        <v>0</v>
      </c>
      <c r="E186" s="57">
        <v>0</v>
      </c>
      <c r="F186" s="57">
        <v>0</v>
      </c>
      <c r="G186" s="57">
        <v>0</v>
      </c>
      <c r="H186" s="57">
        <v>1</v>
      </c>
      <c r="I186" s="57">
        <v>1</v>
      </c>
      <c r="J186" s="57">
        <v>0</v>
      </c>
      <c r="K186" s="57">
        <v>0</v>
      </c>
    </row>
    <row r="187" spans="1:27" ht="16" thickBot="1"/>
    <row r="188" spans="1:27" ht="32" thickTop="1" thickBot="1">
      <c r="A188" s="328" t="s">
        <v>127</v>
      </c>
      <c r="B188" s="329"/>
      <c r="C188" s="329"/>
      <c r="D188" s="329"/>
      <c r="E188" s="329"/>
      <c r="F188" s="329"/>
      <c r="G188" s="329"/>
      <c r="H188" s="329"/>
      <c r="I188" s="329"/>
      <c r="J188" s="329"/>
      <c r="K188" s="329"/>
      <c r="L188" s="329"/>
      <c r="M188" s="329"/>
      <c r="N188" s="329"/>
      <c r="O188" s="329"/>
      <c r="P188" s="329"/>
      <c r="Q188" s="329"/>
      <c r="R188" s="329"/>
      <c r="S188" s="329"/>
      <c r="T188" s="329"/>
      <c r="U188" s="329"/>
      <c r="V188" s="329"/>
      <c r="W188" s="329"/>
      <c r="X188" s="329"/>
      <c r="Y188" s="329"/>
      <c r="Z188" s="329"/>
      <c r="AA188" s="330"/>
    </row>
    <row r="189" spans="1:27" ht="16" thickTop="1">
      <c r="A189" s="11" t="s">
        <v>31</v>
      </c>
      <c r="B189" s="11" t="s">
        <v>72</v>
      </c>
      <c r="C189" s="11" t="s">
        <v>73</v>
      </c>
      <c r="D189" s="11" t="s">
        <v>74</v>
      </c>
      <c r="E189" s="11" t="s">
        <v>75</v>
      </c>
      <c r="F189" s="11" t="s">
        <v>76</v>
      </c>
      <c r="G189" s="11" t="s">
        <v>77</v>
      </c>
      <c r="H189" s="11" t="s">
        <v>78</v>
      </c>
      <c r="I189" s="11" t="s">
        <v>79</v>
      </c>
      <c r="J189" s="11" t="s">
        <v>81</v>
      </c>
      <c r="K189" s="11" t="s">
        <v>80</v>
      </c>
    </row>
    <row r="190" spans="1:27">
      <c r="A190" s="11" t="s">
        <v>13</v>
      </c>
      <c r="B190" s="11">
        <v>2</v>
      </c>
      <c r="C190" s="11">
        <v>3</v>
      </c>
      <c r="D190" s="11">
        <v>4</v>
      </c>
      <c r="E190" s="11">
        <v>5</v>
      </c>
      <c r="F190" s="11">
        <v>6</v>
      </c>
      <c r="G190" s="11">
        <v>7</v>
      </c>
      <c r="H190" s="11">
        <v>8</v>
      </c>
      <c r="I190" s="11">
        <v>9</v>
      </c>
      <c r="J190" s="11">
        <v>10</v>
      </c>
      <c r="K190" s="11">
        <v>10</v>
      </c>
    </row>
    <row r="191" spans="1:27">
      <c r="A191" s="11" t="s">
        <v>15</v>
      </c>
      <c r="B191" s="11">
        <v>2</v>
      </c>
      <c r="C191" s="11">
        <v>4</v>
      </c>
      <c r="D191" s="11">
        <v>6</v>
      </c>
      <c r="E191" s="11">
        <v>8</v>
      </c>
      <c r="F191" s="11">
        <v>10</v>
      </c>
      <c r="G191" s="11">
        <v>10</v>
      </c>
      <c r="H191" s="11">
        <v>11</v>
      </c>
      <c r="I191" s="11">
        <v>11</v>
      </c>
      <c r="J191" s="11">
        <v>11</v>
      </c>
      <c r="K191" s="11">
        <v>11</v>
      </c>
    </row>
    <row r="192" spans="1:27">
      <c r="A192" s="11" t="s">
        <v>16</v>
      </c>
      <c r="B192" s="11">
        <v>2</v>
      </c>
      <c r="C192" s="11">
        <v>4</v>
      </c>
      <c r="D192" s="11">
        <v>6</v>
      </c>
      <c r="E192" s="11">
        <v>8</v>
      </c>
      <c r="F192" s="11">
        <v>10</v>
      </c>
      <c r="G192" s="11">
        <v>10</v>
      </c>
      <c r="H192" s="11">
        <v>11</v>
      </c>
      <c r="I192" s="11">
        <v>11</v>
      </c>
      <c r="J192" s="11">
        <v>11</v>
      </c>
      <c r="K192" s="11">
        <v>11</v>
      </c>
    </row>
    <row r="193" spans="1:11">
      <c r="A193" s="11" t="s">
        <v>17</v>
      </c>
      <c r="B193" s="11">
        <v>0</v>
      </c>
      <c r="C193" s="11">
        <v>0</v>
      </c>
      <c r="D193" s="11">
        <v>0</v>
      </c>
      <c r="E193" s="11">
        <v>0</v>
      </c>
      <c r="F193" s="11">
        <v>0</v>
      </c>
      <c r="G193" s="11">
        <v>0</v>
      </c>
      <c r="H193" s="11">
        <v>0</v>
      </c>
      <c r="I193" s="11">
        <v>3</v>
      </c>
      <c r="J193" s="11">
        <v>6</v>
      </c>
      <c r="K193" s="11">
        <v>6</v>
      </c>
    </row>
    <row r="194" spans="1:11">
      <c r="A194" s="11" t="s">
        <v>3</v>
      </c>
      <c r="B194" s="11">
        <v>1</v>
      </c>
      <c r="C194" s="11">
        <v>3</v>
      </c>
      <c r="D194" s="11">
        <v>6</v>
      </c>
      <c r="E194" s="11">
        <v>8</v>
      </c>
      <c r="F194" s="11">
        <v>9</v>
      </c>
      <c r="G194" s="11">
        <v>10</v>
      </c>
      <c r="H194" s="11">
        <v>11</v>
      </c>
      <c r="I194" s="11">
        <v>11</v>
      </c>
      <c r="J194" s="11">
        <v>11</v>
      </c>
      <c r="K194" s="11">
        <v>11</v>
      </c>
    </row>
    <row r="195" spans="1:11">
      <c r="A195" s="11" t="s">
        <v>4</v>
      </c>
      <c r="B195" s="11">
        <v>1</v>
      </c>
      <c r="C195" s="11">
        <v>3</v>
      </c>
      <c r="D195" s="11">
        <v>6</v>
      </c>
      <c r="E195" s="11">
        <v>8</v>
      </c>
      <c r="F195" s="11">
        <v>9</v>
      </c>
      <c r="G195" s="11">
        <v>10</v>
      </c>
      <c r="H195" s="11">
        <v>11</v>
      </c>
      <c r="I195" s="11">
        <v>11</v>
      </c>
      <c r="J195" s="11">
        <v>11</v>
      </c>
      <c r="K195" s="11">
        <v>11</v>
      </c>
    </row>
    <row r="196" spans="1:11">
      <c r="A196" s="11" t="s">
        <v>18</v>
      </c>
      <c r="B196" s="11">
        <v>0</v>
      </c>
      <c r="C196" s="11">
        <v>0</v>
      </c>
      <c r="D196" s="11">
        <v>0</v>
      </c>
      <c r="E196" s="11">
        <v>0</v>
      </c>
      <c r="F196" s="11">
        <v>0</v>
      </c>
      <c r="G196" s="11">
        <v>0</v>
      </c>
      <c r="H196" s="11">
        <v>2</v>
      </c>
      <c r="I196" s="11">
        <v>4</v>
      </c>
      <c r="J196" s="11">
        <v>6</v>
      </c>
      <c r="K196" s="11">
        <v>6</v>
      </c>
    </row>
    <row r="197" spans="1:11">
      <c r="A197" s="11" t="s">
        <v>19</v>
      </c>
      <c r="B197" s="11">
        <v>0</v>
      </c>
      <c r="C197" s="11">
        <v>0</v>
      </c>
      <c r="D197" s="11">
        <v>0</v>
      </c>
      <c r="E197" s="11">
        <v>0</v>
      </c>
      <c r="F197" s="11">
        <v>0</v>
      </c>
      <c r="G197" s="11">
        <v>0</v>
      </c>
      <c r="H197" s="11">
        <v>2</v>
      </c>
      <c r="I197" s="11">
        <v>4</v>
      </c>
      <c r="J197" s="11">
        <v>5</v>
      </c>
      <c r="K197" s="11">
        <v>5</v>
      </c>
    </row>
    <row r="198" spans="1:11">
      <c r="A198" s="11" t="s">
        <v>2</v>
      </c>
      <c r="B198" s="11">
        <v>3</v>
      </c>
      <c r="C198" s="11">
        <v>4</v>
      </c>
      <c r="D198" s="11">
        <v>5</v>
      </c>
      <c r="E198" s="11">
        <v>6</v>
      </c>
      <c r="F198" s="11">
        <v>7</v>
      </c>
      <c r="G198" s="11">
        <v>8</v>
      </c>
      <c r="H198" s="11">
        <v>9</v>
      </c>
      <c r="I198" s="11">
        <v>10</v>
      </c>
      <c r="J198" s="11">
        <v>10</v>
      </c>
      <c r="K198" s="11">
        <v>10</v>
      </c>
    </row>
    <row r="199" spans="1:11">
      <c r="A199" s="11" t="s">
        <v>260</v>
      </c>
      <c r="B199" s="11">
        <v>1</v>
      </c>
      <c r="C199" s="11">
        <v>2</v>
      </c>
      <c r="D199" s="11">
        <v>3</v>
      </c>
      <c r="E199" s="11">
        <v>4</v>
      </c>
      <c r="F199" s="11">
        <v>5</v>
      </c>
      <c r="G199" s="11">
        <v>6</v>
      </c>
      <c r="H199" s="11">
        <v>6</v>
      </c>
      <c r="I199" s="11">
        <v>6</v>
      </c>
      <c r="J199" s="11">
        <v>7</v>
      </c>
      <c r="K199" s="11">
        <v>8</v>
      </c>
    </row>
    <row r="200" spans="1:11">
      <c r="A200" s="11" t="s">
        <v>20</v>
      </c>
      <c r="B200" s="11">
        <v>0</v>
      </c>
      <c r="C200" s="11">
        <v>0</v>
      </c>
      <c r="D200" s="11">
        <v>1</v>
      </c>
      <c r="E200" s="11">
        <v>2</v>
      </c>
      <c r="F200" s="11">
        <v>3</v>
      </c>
      <c r="G200" s="11">
        <v>4</v>
      </c>
      <c r="H200" s="11">
        <v>5</v>
      </c>
      <c r="I200" s="11">
        <v>6</v>
      </c>
      <c r="J200" s="11">
        <v>7</v>
      </c>
      <c r="K200" s="11">
        <v>8</v>
      </c>
    </row>
    <row r="201" spans="1:11">
      <c r="A201" s="11" t="s">
        <v>21</v>
      </c>
      <c r="B201" s="11">
        <v>0</v>
      </c>
      <c r="C201" s="11">
        <v>0</v>
      </c>
      <c r="D201" s="11">
        <v>0</v>
      </c>
      <c r="E201" s="11">
        <v>0</v>
      </c>
      <c r="F201" s="11">
        <v>1</v>
      </c>
      <c r="G201" s="11">
        <v>2</v>
      </c>
      <c r="H201" s="11">
        <v>3</v>
      </c>
      <c r="I201" s="11">
        <v>3</v>
      </c>
      <c r="J201" s="11">
        <v>4</v>
      </c>
      <c r="K201" s="11">
        <v>5</v>
      </c>
    </row>
    <row r="202" spans="1:11">
      <c r="A202" s="11" t="s">
        <v>5</v>
      </c>
      <c r="B202" s="11">
        <v>0</v>
      </c>
      <c r="C202" s="11">
        <v>0</v>
      </c>
      <c r="D202" s="11">
        <v>1</v>
      </c>
      <c r="E202" s="11">
        <v>2</v>
      </c>
      <c r="F202" s="11">
        <v>2</v>
      </c>
      <c r="G202" s="11">
        <v>3</v>
      </c>
      <c r="H202" s="11">
        <v>3</v>
      </c>
      <c r="I202" s="11">
        <v>4</v>
      </c>
      <c r="J202" s="11">
        <v>5</v>
      </c>
      <c r="K202" s="11">
        <v>6</v>
      </c>
    </row>
    <row r="203" spans="1:11">
      <c r="A203" s="11" t="s">
        <v>6</v>
      </c>
      <c r="B203" s="11">
        <v>2</v>
      </c>
      <c r="C203" s="11">
        <v>3</v>
      </c>
      <c r="D203" s="11">
        <v>4</v>
      </c>
      <c r="E203" s="11">
        <v>5</v>
      </c>
      <c r="F203" s="11">
        <v>6</v>
      </c>
      <c r="G203" s="11">
        <v>7</v>
      </c>
      <c r="H203" s="11">
        <v>8</v>
      </c>
      <c r="I203" s="11">
        <v>10</v>
      </c>
      <c r="J203" s="11">
        <v>11</v>
      </c>
      <c r="K203" s="11">
        <v>12</v>
      </c>
    </row>
    <row r="204" spans="1:11">
      <c r="A204" s="11" t="s">
        <v>22</v>
      </c>
      <c r="B204" s="11">
        <v>0</v>
      </c>
      <c r="C204" s="11">
        <v>2</v>
      </c>
      <c r="D204" s="11">
        <v>3</v>
      </c>
      <c r="E204" s="11">
        <v>4</v>
      </c>
      <c r="F204" s="11">
        <v>6</v>
      </c>
      <c r="G204" s="11">
        <v>7</v>
      </c>
      <c r="H204" s="11">
        <v>8</v>
      </c>
      <c r="I204" s="11">
        <v>10</v>
      </c>
      <c r="J204" s="11">
        <v>11</v>
      </c>
      <c r="K204" s="11">
        <v>12</v>
      </c>
    </row>
    <row r="205" spans="1:11">
      <c r="A205" s="11" t="s">
        <v>23</v>
      </c>
      <c r="B205" s="11">
        <v>0</v>
      </c>
      <c r="C205" s="11">
        <v>2</v>
      </c>
      <c r="D205" s="11">
        <v>3</v>
      </c>
      <c r="E205" s="11">
        <v>4</v>
      </c>
      <c r="F205" s="11">
        <v>5</v>
      </c>
      <c r="G205" s="11">
        <v>6</v>
      </c>
      <c r="H205" s="11">
        <v>7</v>
      </c>
      <c r="I205" s="11">
        <v>8</v>
      </c>
      <c r="J205" s="11">
        <v>10</v>
      </c>
      <c r="K205" s="11">
        <v>11</v>
      </c>
    </row>
    <row r="206" spans="1:11">
      <c r="A206" s="11" t="s">
        <v>7</v>
      </c>
      <c r="B206" s="11">
        <v>0</v>
      </c>
      <c r="C206" s="11">
        <v>0</v>
      </c>
      <c r="D206" s="11">
        <v>1</v>
      </c>
      <c r="E206" s="11">
        <v>2</v>
      </c>
      <c r="F206" s="11">
        <v>3</v>
      </c>
      <c r="G206" s="11">
        <v>4</v>
      </c>
      <c r="H206" s="11">
        <v>5</v>
      </c>
      <c r="I206" s="11">
        <v>6</v>
      </c>
      <c r="J206" s="11">
        <v>7</v>
      </c>
      <c r="K206" s="11">
        <v>8</v>
      </c>
    </row>
    <row r="207" spans="1:11">
      <c r="A207" s="11" t="s">
        <v>8</v>
      </c>
      <c r="B207" s="11">
        <v>0</v>
      </c>
      <c r="C207" s="11">
        <v>0</v>
      </c>
      <c r="D207" s="11">
        <v>2</v>
      </c>
      <c r="E207" s="11">
        <v>2</v>
      </c>
      <c r="F207" s="11">
        <v>3</v>
      </c>
      <c r="G207" s="11">
        <v>3</v>
      </c>
      <c r="H207" s="11">
        <v>4</v>
      </c>
      <c r="I207" s="11">
        <v>5</v>
      </c>
      <c r="J207" s="11">
        <v>6</v>
      </c>
      <c r="K207" s="11">
        <v>6</v>
      </c>
    </row>
    <row r="208" spans="1:11">
      <c r="A208" s="11" t="s">
        <v>24</v>
      </c>
      <c r="B208" s="11">
        <v>0</v>
      </c>
      <c r="C208" s="11">
        <v>0</v>
      </c>
      <c r="D208" s="11">
        <v>0</v>
      </c>
      <c r="E208" s="11">
        <v>2</v>
      </c>
      <c r="F208" s="11">
        <v>3</v>
      </c>
      <c r="G208" s="11">
        <v>4</v>
      </c>
      <c r="H208" s="11">
        <v>5</v>
      </c>
      <c r="I208" s="11">
        <v>6</v>
      </c>
      <c r="J208" s="11">
        <v>7</v>
      </c>
      <c r="K208" s="11">
        <v>8</v>
      </c>
    </row>
    <row r="209" spans="1:11">
      <c r="A209" s="11" t="s">
        <v>25</v>
      </c>
      <c r="B209" s="11">
        <v>1</v>
      </c>
      <c r="C209" s="11">
        <v>1</v>
      </c>
      <c r="D209" s="11">
        <v>1</v>
      </c>
      <c r="E209" s="11">
        <v>1</v>
      </c>
      <c r="F209" s="11">
        <v>1</v>
      </c>
      <c r="G209" s="11">
        <v>1</v>
      </c>
      <c r="H209" s="11">
        <v>1</v>
      </c>
      <c r="I209" s="11">
        <v>1</v>
      </c>
      <c r="J209" s="11">
        <v>1</v>
      </c>
      <c r="K209" s="11">
        <v>1</v>
      </c>
    </row>
    <row r="210" spans="1:11">
      <c r="A210" s="11" t="s">
        <v>26</v>
      </c>
      <c r="B210" s="11">
        <v>0</v>
      </c>
      <c r="C210" s="11">
        <v>0</v>
      </c>
      <c r="D210" s="11">
        <v>0</v>
      </c>
      <c r="E210" s="11">
        <v>0</v>
      </c>
      <c r="F210" s="11">
        <v>2</v>
      </c>
      <c r="G210" s="11">
        <v>3</v>
      </c>
      <c r="H210" s="11">
        <v>4</v>
      </c>
      <c r="I210" s="11">
        <v>6</v>
      </c>
      <c r="J210" s="11">
        <v>7</v>
      </c>
      <c r="K210" s="11">
        <v>8</v>
      </c>
    </row>
    <row r="211" spans="1:11">
      <c r="A211" s="11" t="s">
        <v>9</v>
      </c>
      <c r="B211" s="11">
        <v>0</v>
      </c>
      <c r="C211" s="11">
        <v>0</v>
      </c>
      <c r="D211" s="11">
        <v>0</v>
      </c>
      <c r="E211" s="11">
        <v>0</v>
      </c>
      <c r="F211" s="11">
        <v>0</v>
      </c>
      <c r="G211" s="11">
        <v>2</v>
      </c>
      <c r="H211" s="11">
        <v>2</v>
      </c>
      <c r="I211" s="11">
        <v>3</v>
      </c>
      <c r="J211" s="11">
        <v>3</v>
      </c>
      <c r="K211" s="11">
        <v>4</v>
      </c>
    </row>
    <row r="212" spans="1:11">
      <c r="A212" s="11" t="s">
        <v>10</v>
      </c>
      <c r="B212" s="11">
        <v>0</v>
      </c>
      <c r="C212" s="11">
        <v>0</v>
      </c>
      <c r="D212" s="11">
        <v>0</v>
      </c>
      <c r="E212" s="11">
        <v>0</v>
      </c>
      <c r="F212" s="11">
        <v>2</v>
      </c>
      <c r="G212" s="11">
        <v>2</v>
      </c>
      <c r="H212" s="11">
        <v>3</v>
      </c>
      <c r="I212" s="11">
        <v>3</v>
      </c>
      <c r="J212" s="11">
        <v>4</v>
      </c>
      <c r="K212" s="11">
        <v>4</v>
      </c>
    </row>
    <row r="213" spans="1:11">
      <c r="A213" s="11" t="s">
        <v>27</v>
      </c>
      <c r="B213" s="11">
        <v>0</v>
      </c>
      <c r="C213" s="11">
        <v>0</v>
      </c>
      <c r="D213" s="11">
        <v>0</v>
      </c>
      <c r="E213" s="11">
        <v>0</v>
      </c>
      <c r="F213" s="11">
        <v>0</v>
      </c>
      <c r="G213" s="11">
        <v>0</v>
      </c>
      <c r="H213" s="11">
        <v>1</v>
      </c>
      <c r="I213" s="11">
        <v>1</v>
      </c>
      <c r="J213" s="11">
        <v>2</v>
      </c>
      <c r="K213" s="11">
        <v>3</v>
      </c>
    </row>
    <row r="214" spans="1:11">
      <c r="A214" s="11" t="s">
        <v>11</v>
      </c>
      <c r="B214" s="11">
        <v>0</v>
      </c>
      <c r="C214" s="11">
        <v>0</v>
      </c>
      <c r="D214" s="11">
        <v>0</v>
      </c>
      <c r="E214" s="11">
        <v>0</v>
      </c>
      <c r="F214" s="11">
        <v>0</v>
      </c>
      <c r="G214" s="11">
        <v>0</v>
      </c>
      <c r="H214" s="11">
        <v>3</v>
      </c>
      <c r="I214" s="11">
        <v>6</v>
      </c>
      <c r="J214" s="11">
        <v>7</v>
      </c>
      <c r="K214" s="11">
        <v>8</v>
      </c>
    </row>
    <row r="215" spans="1:11">
      <c r="A215" s="11" t="s">
        <v>12</v>
      </c>
      <c r="B215" s="11">
        <v>0</v>
      </c>
      <c r="C215" s="11">
        <v>0</v>
      </c>
      <c r="D215" s="11">
        <v>0</v>
      </c>
      <c r="E215" s="11">
        <v>0</v>
      </c>
      <c r="F215" s="11">
        <v>0</v>
      </c>
      <c r="G215" s="11">
        <v>0</v>
      </c>
      <c r="H215" s="11">
        <v>0</v>
      </c>
      <c r="I215" s="11">
        <v>0</v>
      </c>
      <c r="J215" s="11">
        <v>3</v>
      </c>
      <c r="K215" s="11">
        <v>4</v>
      </c>
    </row>
    <row r="216" spans="1:11">
      <c r="A216" s="11" t="s">
        <v>28</v>
      </c>
      <c r="B216" s="11">
        <v>0</v>
      </c>
      <c r="C216" s="11">
        <v>0</v>
      </c>
      <c r="D216" s="11">
        <v>0</v>
      </c>
      <c r="E216" s="11">
        <v>0</v>
      </c>
      <c r="F216" s="11">
        <v>0</v>
      </c>
      <c r="G216" s="11">
        <v>0</v>
      </c>
      <c r="H216" s="11">
        <v>0</v>
      </c>
      <c r="I216" s="11">
        <v>0</v>
      </c>
      <c r="J216" s="11">
        <v>0</v>
      </c>
      <c r="K216" s="11">
        <v>3</v>
      </c>
    </row>
    <row r="217" spans="1:11">
      <c r="A217" s="11" t="s">
        <v>105</v>
      </c>
      <c r="B217" s="11">
        <v>0</v>
      </c>
      <c r="C217" s="11">
        <v>0</v>
      </c>
      <c r="D217" s="11">
        <v>0</v>
      </c>
      <c r="E217" s="11">
        <v>0</v>
      </c>
      <c r="F217" s="11">
        <v>0</v>
      </c>
      <c r="G217" s="11">
        <v>0</v>
      </c>
      <c r="H217" s="11">
        <v>1</v>
      </c>
      <c r="I217" s="11">
        <v>1</v>
      </c>
      <c r="J217" s="11">
        <v>1</v>
      </c>
      <c r="K217" s="11">
        <v>1</v>
      </c>
    </row>
    <row r="218" spans="1:11">
      <c r="A218" s="11" t="s">
        <v>106</v>
      </c>
      <c r="B218" s="11">
        <v>0</v>
      </c>
      <c r="C218" s="11">
        <v>0</v>
      </c>
      <c r="D218" s="11">
        <v>0</v>
      </c>
      <c r="E218" s="11">
        <v>0</v>
      </c>
      <c r="F218" s="11">
        <v>0</v>
      </c>
      <c r="G218" s="11">
        <v>0</v>
      </c>
      <c r="H218" s="11">
        <v>0</v>
      </c>
      <c r="I218" s="11">
        <v>0</v>
      </c>
      <c r="J218" s="11">
        <v>1</v>
      </c>
      <c r="K218" s="11">
        <v>1</v>
      </c>
    </row>
    <row r="219" spans="1:11">
      <c r="A219" s="11" t="s">
        <v>205</v>
      </c>
      <c r="B219" s="11">
        <v>0</v>
      </c>
      <c r="C219" s="11">
        <v>0</v>
      </c>
      <c r="D219" s="11">
        <v>0</v>
      </c>
      <c r="E219" s="11">
        <v>0</v>
      </c>
      <c r="F219" s="11">
        <v>0</v>
      </c>
      <c r="G219" s="11">
        <v>0</v>
      </c>
      <c r="H219" s="11">
        <v>5</v>
      </c>
      <c r="I219" s="11">
        <v>10</v>
      </c>
      <c r="J219" s="11">
        <v>30</v>
      </c>
      <c r="K219" s="11">
        <v>40</v>
      </c>
    </row>
    <row r="220" spans="1:11">
      <c r="A220" s="11" t="s">
        <v>209</v>
      </c>
      <c r="B220" s="11">
        <v>0</v>
      </c>
      <c r="C220" s="11">
        <v>0</v>
      </c>
      <c r="D220" s="11">
        <v>0</v>
      </c>
      <c r="E220" s="11">
        <v>0</v>
      </c>
      <c r="F220" s="11">
        <v>0</v>
      </c>
      <c r="G220" s="11">
        <v>0</v>
      </c>
      <c r="H220" s="11">
        <v>0</v>
      </c>
      <c r="I220" s="11">
        <v>0</v>
      </c>
      <c r="J220" s="11">
        <v>30</v>
      </c>
      <c r="K220" s="11">
        <v>40</v>
      </c>
    </row>
    <row r="221" spans="1:11">
      <c r="A221" s="11" t="s">
        <v>82</v>
      </c>
      <c r="B221" s="11">
        <v>2</v>
      </c>
      <c r="C221" s="11">
        <v>2</v>
      </c>
      <c r="D221" s="11">
        <v>3</v>
      </c>
      <c r="E221" s="11">
        <v>3</v>
      </c>
      <c r="F221" s="11">
        <v>4</v>
      </c>
      <c r="G221" s="11">
        <v>5</v>
      </c>
      <c r="H221" s="11">
        <v>6</v>
      </c>
      <c r="I221" s="11">
        <v>6</v>
      </c>
      <c r="J221" s="11">
        <v>0</v>
      </c>
      <c r="K221" s="11">
        <v>0</v>
      </c>
    </row>
    <row r="222" spans="1:11">
      <c r="A222" s="11" t="s">
        <v>83</v>
      </c>
      <c r="B222" s="11">
        <v>2</v>
      </c>
      <c r="C222" s="11">
        <v>2</v>
      </c>
      <c r="D222" s="11">
        <v>3</v>
      </c>
      <c r="E222" s="11">
        <v>3</v>
      </c>
      <c r="F222" s="11">
        <v>4</v>
      </c>
      <c r="G222" s="11">
        <v>5</v>
      </c>
      <c r="H222" s="11">
        <v>6</v>
      </c>
      <c r="I222" s="11">
        <v>6</v>
      </c>
      <c r="J222" s="11">
        <v>0</v>
      </c>
      <c r="K222" s="11">
        <v>0</v>
      </c>
    </row>
    <row r="223" spans="1:11">
      <c r="A223" s="11" t="s">
        <v>84</v>
      </c>
      <c r="B223" s="11">
        <v>2</v>
      </c>
      <c r="C223" s="11">
        <v>2</v>
      </c>
      <c r="D223" s="11">
        <v>3</v>
      </c>
      <c r="E223" s="11">
        <v>3</v>
      </c>
      <c r="F223" s="11">
        <v>4</v>
      </c>
      <c r="G223" s="11">
        <v>5</v>
      </c>
      <c r="H223" s="11">
        <v>5</v>
      </c>
      <c r="I223" s="11">
        <v>6</v>
      </c>
      <c r="J223" s="11">
        <v>0</v>
      </c>
      <c r="K223" s="11">
        <v>0</v>
      </c>
    </row>
    <row r="224" spans="1:11">
      <c r="A224" s="11" t="s">
        <v>85</v>
      </c>
      <c r="B224" s="11">
        <v>0</v>
      </c>
      <c r="C224" s="11">
        <v>2</v>
      </c>
      <c r="D224" s="11">
        <v>2</v>
      </c>
      <c r="E224" s="11">
        <v>3</v>
      </c>
      <c r="F224" s="11">
        <v>4</v>
      </c>
      <c r="G224" s="11">
        <v>5</v>
      </c>
      <c r="H224" s="11">
        <v>6</v>
      </c>
      <c r="I224" s="11">
        <v>6</v>
      </c>
      <c r="J224" s="11">
        <v>0</v>
      </c>
      <c r="K224" s="11">
        <v>0</v>
      </c>
    </row>
    <row r="225" spans="1:11">
      <c r="A225" s="11" t="s">
        <v>86</v>
      </c>
      <c r="B225" s="11">
        <v>0</v>
      </c>
      <c r="C225" s="11">
        <v>2</v>
      </c>
      <c r="D225" s="11">
        <v>2</v>
      </c>
      <c r="E225" s="11">
        <v>3</v>
      </c>
      <c r="F225" s="11">
        <v>4</v>
      </c>
      <c r="G225" s="11">
        <v>5</v>
      </c>
      <c r="H225" s="11">
        <v>5</v>
      </c>
      <c r="I225" s="11">
        <v>6</v>
      </c>
      <c r="J225" s="11">
        <v>0</v>
      </c>
      <c r="K225" s="11">
        <v>0</v>
      </c>
    </row>
    <row r="226" spans="1:11">
      <c r="A226" s="11" t="s">
        <v>87</v>
      </c>
      <c r="B226" s="11">
        <v>0</v>
      </c>
      <c r="C226" s="11">
        <v>2</v>
      </c>
      <c r="D226" s="11">
        <v>2</v>
      </c>
      <c r="E226" s="11">
        <v>3</v>
      </c>
      <c r="F226" s="11">
        <v>4</v>
      </c>
      <c r="G226" s="11">
        <v>5</v>
      </c>
      <c r="H226" s="11">
        <v>6</v>
      </c>
      <c r="I226" s="11">
        <v>6</v>
      </c>
      <c r="J226" s="11">
        <v>0</v>
      </c>
      <c r="K226" s="11">
        <v>0</v>
      </c>
    </row>
    <row r="227" spans="1:11">
      <c r="A227" s="11" t="s">
        <v>88</v>
      </c>
      <c r="B227" s="11">
        <v>0</v>
      </c>
      <c r="C227" s="11">
        <v>0</v>
      </c>
      <c r="D227" s="11">
        <v>2</v>
      </c>
      <c r="E227" s="11">
        <v>3</v>
      </c>
      <c r="F227" s="11">
        <v>4</v>
      </c>
      <c r="G227" s="11">
        <v>5</v>
      </c>
      <c r="H227" s="11">
        <v>5</v>
      </c>
      <c r="I227" s="11">
        <v>6</v>
      </c>
      <c r="J227" s="11">
        <v>0</v>
      </c>
      <c r="K227" s="11">
        <v>0</v>
      </c>
    </row>
    <row r="228" spans="1:11">
      <c r="A228" s="11" t="s">
        <v>89</v>
      </c>
      <c r="B228" s="11">
        <v>0</v>
      </c>
      <c r="C228" s="11">
        <v>0</v>
      </c>
      <c r="D228" s="11">
        <v>0</v>
      </c>
      <c r="E228" s="11">
        <v>0</v>
      </c>
      <c r="F228" s="11">
        <v>2</v>
      </c>
      <c r="G228" s="11">
        <v>3</v>
      </c>
      <c r="H228" s="11">
        <v>4</v>
      </c>
      <c r="I228" s="11">
        <v>4</v>
      </c>
      <c r="J228" s="11">
        <v>0</v>
      </c>
      <c r="K228" s="11">
        <v>0</v>
      </c>
    </row>
    <row r="229" spans="1:11">
      <c r="A229" s="11" t="s">
        <v>90</v>
      </c>
      <c r="B229" s="11">
        <v>0</v>
      </c>
      <c r="C229" s="11">
        <v>0</v>
      </c>
      <c r="D229" s="11">
        <v>0</v>
      </c>
      <c r="E229" s="11">
        <v>0</v>
      </c>
      <c r="F229" s="11">
        <v>2</v>
      </c>
      <c r="G229" s="11">
        <v>3</v>
      </c>
      <c r="H229" s="11">
        <v>3</v>
      </c>
      <c r="I229" s="11">
        <v>4</v>
      </c>
      <c r="J229" s="11">
        <v>0</v>
      </c>
      <c r="K229" s="11">
        <v>0</v>
      </c>
    </row>
    <row r="230" spans="1:11">
      <c r="A230" s="11" t="s">
        <v>91</v>
      </c>
      <c r="B230" s="11">
        <v>0</v>
      </c>
      <c r="C230" s="11">
        <v>0</v>
      </c>
      <c r="D230" s="11">
        <v>0</v>
      </c>
      <c r="E230" s="11">
        <v>0</v>
      </c>
      <c r="F230" s="11">
        <v>0</v>
      </c>
      <c r="G230" s="11">
        <v>3</v>
      </c>
      <c r="H230" s="11">
        <v>3</v>
      </c>
      <c r="I230" s="11">
        <v>5</v>
      </c>
      <c r="J230" s="11">
        <v>0</v>
      </c>
      <c r="K230" s="11">
        <v>0</v>
      </c>
    </row>
    <row r="231" spans="1:11">
      <c r="A231" s="11" t="s">
        <v>92</v>
      </c>
      <c r="B231" s="11">
        <v>2</v>
      </c>
      <c r="C231" s="11">
        <v>3</v>
      </c>
      <c r="D231" s="11">
        <v>4</v>
      </c>
      <c r="E231" s="11">
        <v>4</v>
      </c>
      <c r="F231" s="11">
        <v>4</v>
      </c>
      <c r="G231" s="11">
        <v>5</v>
      </c>
      <c r="H231" s="11">
        <v>5</v>
      </c>
      <c r="I231" s="11">
        <v>6</v>
      </c>
      <c r="J231" s="11">
        <v>0</v>
      </c>
      <c r="K231" s="11">
        <v>0</v>
      </c>
    </row>
    <row r="232" spans="1:11">
      <c r="A232" s="11" t="s">
        <v>93</v>
      </c>
      <c r="B232" s="11">
        <v>0</v>
      </c>
      <c r="C232" s="11">
        <v>2</v>
      </c>
      <c r="D232" s="11">
        <v>2</v>
      </c>
      <c r="E232" s="11">
        <v>3</v>
      </c>
      <c r="F232" s="11">
        <v>4</v>
      </c>
      <c r="G232" s="11">
        <v>5</v>
      </c>
      <c r="H232" s="11">
        <v>6</v>
      </c>
      <c r="I232" s="11">
        <v>6</v>
      </c>
      <c r="J232" s="11">
        <v>0</v>
      </c>
      <c r="K232" s="11">
        <v>0</v>
      </c>
    </row>
    <row r="233" spans="1:11">
      <c r="A233" s="11" t="s">
        <v>94</v>
      </c>
      <c r="B233" s="11">
        <v>0</v>
      </c>
      <c r="C233" s="11">
        <v>0</v>
      </c>
      <c r="D233" s="11">
        <v>2</v>
      </c>
      <c r="E233" s="11">
        <v>3</v>
      </c>
      <c r="F233" s="11">
        <v>4</v>
      </c>
      <c r="G233" s="11">
        <v>5</v>
      </c>
      <c r="H233" s="11">
        <v>5</v>
      </c>
      <c r="I233" s="11">
        <v>5</v>
      </c>
      <c r="J233" s="11">
        <v>0</v>
      </c>
      <c r="K233" s="11">
        <v>0</v>
      </c>
    </row>
    <row r="234" spans="1:11">
      <c r="A234" s="11" t="s">
        <v>95</v>
      </c>
      <c r="B234" s="11">
        <v>0</v>
      </c>
      <c r="C234" s="11">
        <v>0</v>
      </c>
      <c r="D234" s="11">
        <v>0</v>
      </c>
      <c r="E234" s="11">
        <v>0</v>
      </c>
      <c r="F234" s="11">
        <v>0</v>
      </c>
      <c r="G234" s="11">
        <v>2</v>
      </c>
      <c r="H234" s="11">
        <v>2</v>
      </c>
      <c r="I234" s="11">
        <v>3</v>
      </c>
      <c r="J234" s="11">
        <v>0</v>
      </c>
      <c r="K234" s="11">
        <v>0</v>
      </c>
    </row>
    <row r="235" spans="1:11">
      <c r="A235" s="11" t="s">
        <v>96</v>
      </c>
      <c r="B235" s="11">
        <v>0</v>
      </c>
      <c r="C235" s="11">
        <v>0</v>
      </c>
      <c r="D235" s="11">
        <v>0</v>
      </c>
      <c r="E235" s="11">
        <v>0</v>
      </c>
      <c r="F235" s="11">
        <v>0</v>
      </c>
      <c r="G235" s="11">
        <v>0</v>
      </c>
      <c r="H235" s="11">
        <v>0</v>
      </c>
      <c r="I235" s="11">
        <v>5</v>
      </c>
      <c r="J235" s="11">
        <v>0</v>
      </c>
      <c r="K235" s="11">
        <v>0</v>
      </c>
    </row>
    <row r="236" spans="1:11">
      <c r="A236" s="11" t="s">
        <v>97</v>
      </c>
      <c r="B236" s="11">
        <v>0</v>
      </c>
      <c r="C236" s="11">
        <v>0</v>
      </c>
      <c r="D236" s="11">
        <v>0</v>
      </c>
      <c r="E236" s="11">
        <v>0</v>
      </c>
      <c r="F236" s="11">
        <v>2</v>
      </c>
      <c r="G236" s="11">
        <v>4</v>
      </c>
      <c r="H236" s="11">
        <v>5</v>
      </c>
      <c r="I236" s="11">
        <v>6</v>
      </c>
      <c r="J236" s="11">
        <v>0</v>
      </c>
      <c r="K236" s="11">
        <v>0</v>
      </c>
    </row>
    <row r="237" spans="1:11">
      <c r="A237" s="11" t="s">
        <v>98</v>
      </c>
      <c r="B237" s="11">
        <v>0</v>
      </c>
      <c r="C237" s="11">
        <v>0</v>
      </c>
      <c r="D237" s="11">
        <v>0</v>
      </c>
      <c r="E237" s="11">
        <v>0</v>
      </c>
      <c r="F237" s="11">
        <v>2</v>
      </c>
      <c r="G237" s="11">
        <v>4</v>
      </c>
      <c r="H237" s="11">
        <v>5</v>
      </c>
      <c r="I237" s="11">
        <v>5</v>
      </c>
      <c r="J237" s="11">
        <v>0</v>
      </c>
      <c r="K237" s="11">
        <v>0</v>
      </c>
    </row>
    <row r="238" spans="1:11">
      <c r="A238" s="11" t="s">
        <v>99</v>
      </c>
      <c r="B238" s="11">
        <v>0</v>
      </c>
      <c r="C238" s="11">
        <v>0</v>
      </c>
      <c r="D238" s="11">
        <v>0</v>
      </c>
      <c r="E238" s="11">
        <v>0</v>
      </c>
      <c r="F238" s="11">
        <v>0</v>
      </c>
      <c r="G238" s="11">
        <v>2</v>
      </c>
      <c r="H238" s="11">
        <v>4</v>
      </c>
      <c r="I238" s="11">
        <v>4</v>
      </c>
      <c r="J238" s="11">
        <v>0</v>
      </c>
      <c r="K238" s="11">
        <v>0</v>
      </c>
    </row>
    <row r="239" spans="1:11">
      <c r="A239" s="11" t="s">
        <v>100</v>
      </c>
      <c r="B239" s="11">
        <v>0</v>
      </c>
      <c r="C239" s="11">
        <v>0</v>
      </c>
      <c r="D239" s="11">
        <v>0</v>
      </c>
      <c r="E239" s="11">
        <v>0</v>
      </c>
      <c r="F239" s="11">
        <v>0</v>
      </c>
      <c r="G239" s="11">
        <v>2</v>
      </c>
      <c r="H239" s="11">
        <v>4</v>
      </c>
      <c r="I239" s="11">
        <v>5</v>
      </c>
      <c r="J239" s="11">
        <v>0</v>
      </c>
      <c r="K239" s="11">
        <v>0</v>
      </c>
    </row>
    <row r="240" spans="1:11">
      <c r="A240" s="57" t="s">
        <v>101</v>
      </c>
      <c r="B240" s="57">
        <v>0</v>
      </c>
      <c r="C240" s="57">
        <v>0</v>
      </c>
      <c r="D240" s="57">
        <v>0</v>
      </c>
      <c r="E240" s="57">
        <v>0</v>
      </c>
      <c r="F240" s="57">
        <v>0</v>
      </c>
      <c r="G240" s="57">
        <v>0</v>
      </c>
      <c r="H240" s="57">
        <v>2</v>
      </c>
      <c r="I240" s="57">
        <v>2</v>
      </c>
      <c r="J240" s="57">
        <v>0</v>
      </c>
      <c r="K240" s="57">
        <v>0</v>
      </c>
    </row>
    <row r="242" spans="1:27" ht="16" thickBot="1"/>
    <row r="243" spans="1:27" ht="32" thickTop="1" thickBot="1">
      <c r="A243" s="328" t="s">
        <v>225</v>
      </c>
      <c r="B243" s="329"/>
      <c r="C243" s="329"/>
      <c r="D243" s="329"/>
      <c r="E243" s="329"/>
      <c r="F243" s="329"/>
      <c r="G243" s="329"/>
      <c r="H243" s="329"/>
      <c r="I243" s="329"/>
      <c r="J243" s="329"/>
      <c r="K243" s="329"/>
      <c r="L243" s="329"/>
      <c r="M243" s="329"/>
      <c r="N243" s="329"/>
      <c r="O243" s="329"/>
      <c r="P243" s="329"/>
      <c r="Q243" s="329"/>
      <c r="R243" s="329"/>
      <c r="S243" s="329"/>
      <c r="T243" s="329"/>
      <c r="U243" s="329"/>
      <c r="V243" s="329"/>
      <c r="W243" s="329"/>
      <c r="X243" s="329"/>
      <c r="Y243" s="329"/>
      <c r="Z243" s="329"/>
      <c r="AA243" s="330"/>
    </row>
    <row r="244" spans="1:27" ht="20" thickTop="1" thickBot="1">
      <c r="A244" s="94" t="s">
        <v>180</v>
      </c>
      <c r="C244" s="97" t="s">
        <v>181</v>
      </c>
    </row>
    <row r="245" spans="1:27" ht="16" thickTop="1">
      <c r="A245" s="99" t="s">
        <v>178</v>
      </c>
      <c r="C245" s="95" t="b">
        <f>TRUE</f>
        <v>1</v>
      </c>
    </row>
    <row r="246" spans="1:27" ht="16" thickBot="1">
      <c r="A246" s="95" t="s">
        <v>10</v>
      </c>
      <c r="C246" s="96" t="b">
        <f>FALSE</f>
        <v>0</v>
      </c>
    </row>
    <row r="247" spans="1:27" ht="16" thickTop="1">
      <c r="A247" s="95" t="s">
        <v>24</v>
      </c>
    </row>
    <row r="248" spans="1:27">
      <c r="A248" s="95" t="s">
        <v>106</v>
      </c>
    </row>
    <row r="249" spans="1:27">
      <c r="A249" s="95" t="s">
        <v>22</v>
      </c>
    </row>
    <row r="250" spans="1:27">
      <c r="A250" s="95" t="s">
        <v>260</v>
      </c>
    </row>
    <row r="251" spans="1:27">
      <c r="A251" s="95" t="s">
        <v>105</v>
      </c>
    </row>
    <row r="252" spans="1:27">
      <c r="A252" s="95" t="s">
        <v>2</v>
      </c>
    </row>
    <row r="253" spans="1:27">
      <c r="A253" s="95" t="s">
        <v>8</v>
      </c>
    </row>
    <row r="254" spans="1:27">
      <c r="A254" s="95" t="s">
        <v>6</v>
      </c>
    </row>
    <row r="255" spans="1:27">
      <c r="A255" s="95" t="s">
        <v>5</v>
      </c>
    </row>
    <row r="256" spans="1:27">
      <c r="A256" s="95" t="s">
        <v>19</v>
      </c>
    </row>
    <row r="257" spans="1:1">
      <c r="A257" s="95" t="s">
        <v>17</v>
      </c>
    </row>
    <row r="258" spans="1:1">
      <c r="A258" s="95" t="s">
        <v>18</v>
      </c>
    </row>
    <row r="259" spans="1:1">
      <c r="A259" s="95" t="s">
        <v>16</v>
      </c>
    </row>
    <row r="260" spans="1:1">
      <c r="A260" s="95" t="s">
        <v>4</v>
      </c>
    </row>
    <row r="261" spans="1:1">
      <c r="A261" s="95" t="s">
        <v>9</v>
      </c>
    </row>
    <row r="262" spans="1:1">
      <c r="A262" s="95" t="s">
        <v>15</v>
      </c>
    </row>
    <row r="263" spans="1:1">
      <c r="A263" s="95" t="s">
        <v>3</v>
      </c>
    </row>
    <row r="264" spans="1:1">
      <c r="A264" s="95" t="s">
        <v>11</v>
      </c>
    </row>
    <row r="265" spans="1:1">
      <c r="A265" s="95" t="s">
        <v>28</v>
      </c>
    </row>
    <row r="266" spans="1:1">
      <c r="A266" s="95" t="s">
        <v>20</v>
      </c>
    </row>
    <row r="267" spans="1:1">
      <c r="A267" s="95" t="s">
        <v>7</v>
      </c>
    </row>
    <row r="268" spans="1:1">
      <c r="A268" s="95" t="s">
        <v>27</v>
      </c>
    </row>
    <row r="269" spans="1:1">
      <c r="A269" s="95" t="s">
        <v>21</v>
      </c>
    </row>
    <row r="270" spans="1:1">
      <c r="A270" s="95" t="s">
        <v>25</v>
      </c>
    </row>
    <row r="271" spans="1:1">
      <c r="A271" s="95" t="s">
        <v>13</v>
      </c>
    </row>
    <row r="272" spans="1:1">
      <c r="A272" s="95" t="s">
        <v>26</v>
      </c>
    </row>
    <row r="273" spans="1:1">
      <c r="A273" s="95" t="s">
        <v>12</v>
      </c>
    </row>
    <row r="274" spans="1:1">
      <c r="A274" s="95" t="s">
        <v>23</v>
      </c>
    </row>
    <row r="275" spans="1:1">
      <c r="A275" s="98" t="s">
        <v>210</v>
      </c>
    </row>
    <row r="276" spans="1:1">
      <c r="A276" s="95" t="s">
        <v>205</v>
      </c>
    </row>
    <row r="277" spans="1:1">
      <c r="A277" s="95" t="s">
        <v>209</v>
      </c>
    </row>
    <row r="278" spans="1:1">
      <c r="A278" s="98" t="s">
        <v>179</v>
      </c>
    </row>
    <row r="279" spans="1:1">
      <c r="A279" s="95" t="s">
        <v>83</v>
      </c>
    </row>
    <row r="280" spans="1:1">
      <c r="A280" s="95" t="s">
        <v>87</v>
      </c>
    </row>
    <row r="281" spans="1:1">
      <c r="A281" s="95" t="s">
        <v>82</v>
      </c>
    </row>
    <row r="282" spans="1:1">
      <c r="A282" s="95" t="s">
        <v>90</v>
      </c>
    </row>
    <row r="283" spans="1:1">
      <c r="A283" s="95" t="s">
        <v>96</v>
      </c>
    </row>
    <row r="284" spans="1:1">
      <c r="A284" s="95" t="s">
        <v>85</v>
      </c>
    </row>
    <row r="285" spans="1:1">
      <c r="A285" s="95" t="s">
        <v>84</v>
      </c>
    </row>
    <row r="286" spans="1:1">
      <c r="A286" s="95" t="s">
        <v>100</v>
      </c>
    </row>
    <row r="287" spans="1:1">
      <c r="A287" s="95" t="s">
        <v>89</v>
      </c>
    </row>
    <row r="288" spans="1:1">
      <c r="A288" s="95" t="s">
        <v>93</v>
      </c>
    </row>
    <row r="289" spans="1:1">
      <c r="A289" s="95" t="s">
        <v>98</v>
      </c>
    </row>
    <row r="290" spans="1:1">
      <c r="A290" s="95" t="s">
        <v>95</v>
      </c>
    </row>
    <row r="291" spans="1:1">
      <c r="A291" s="95" t="s">
        <v>92</v>
      </c>
    </row>
    <row r="292" spans="1:1">
      <c r="A292" s="95" t="s">
        <v>97</v>
      </c>
    </row>
    <row r="293" spans="1:1">
      <c r="A293" s="95" t="s">
        <v>91</v>
      </c>
    </row>
    <row r="294" spans="1:1">
      <c r="A294" s="95" t="s">
        <v>94</v>
      </c>
    </row>
    <row r="295" spans="1:1">
      <c r="A295" s="95" t="s">
        <v>99</v>
      </c>
    </row>
    <row r="296" spans="1:1">
      <c r="A296" s="95" t="s">
        <v>86</v>
      </c>
    </row>
    <row r="297" spans="1:1">
      <c r="A297" s="95" t="s">
        <v>101</v>
      </c>
    </row>
    <row r="298" spans="1:1" ht="16" thickBot="1">
      <c r="A298" s="96" t="s">
        <v>88</v>
      </c>
    </row>
    <row r="299" spans="1:1" ht="16" thickTop="1"/>
  </sheetData>
  <sheetProtection selectLockedCells="1" sort="0" autoFilter="0" pivotTables="0"/>
  <mergeCells count="8">
    <mergeCell ref="A243:AA243"/>
    <mergeCell ref="A1:AA1"/>
    <mergeCell ref="A110:AA110"/>
    <mergeCell ref="A134:AA134"/>
    <mergeCell ref="A188:AA188"/>
    <mergeCell ref="A98:AA98"/>
    <mergeCell ref="A53:AA53"/>
    <mergeCell ref="A55:E55"/>
  </mergeCells>
  <phoneticPr fontId="8" type="noConversion"/>
  <conditionalFormatting sqref="D3:AA52 J65:T96 D56:D96 H55:I96 D54:AA54 J55:X64">
    <cfRule type="containsErrors" dxfId="184" priority="61">
      <formula>ISERROR(D3)</formula>
    </cfRule>
  </conditionalFormatting>
  <conditionalFormatting sqref="P23:W23 P22:Q22 T22 P27:W27 P24:T26 P28:T29 P21:W21 P20:U20 P16:AA17 P15:V15 P19:X19 P18:Z18 P32:T52 P30:P31">
    <cfRule type="containsErrors" dxfId="183" priority="60">
      <formula>ISERROR(P15)</formula>
    </cfRule>
  </conditionalFormatting>
  <conditionalFormatting sqref="P11:T11 P10:U10 P8:Z8 P7:U7">
    <cfRule type="containsErrors" dxfId="182" priority="59">
      <formula>ISERROR(P7)</formula>
    </cfRule>
  </conditionalFormatting>
  <conditionalFormatting sqref="P6:AA6">
    <cfRule type="containsErrors" dxfId="181" priority="56">
      <formula>ISERROR(P6)</formula>
    </cfRule>
  </conditionalFormatting>
  <conditionalFormatting sqref="D9:N9">
    <cfRule type="containsErrors" dxfId="180" priority="55">
      <formula>ISERROR(D9)</formula>
    </cfRule>
  </conditionalFormatting>
  <conditionalFormatting sqref="P9:Z9">
    <cfRule type="containsErrors" dxfId="179" priority="54">
      <formula>ISERROR(P9)</formula>
    </cfRule>
  </conditionalFormatting>
  <conditionalFormatting sqref="E41">
    <cfRule type="containsErrors" dxfId="178" priority="53">
      <formula>ISERROR(E41)</formula>
    </cfRule>
  </conditionalFormatting>
  <conditionalFormatting sqref="J33">
    <cfRule type="containsErrors" dxfId="177" priority="52">
      <formula>ISERROR(J33)</formula>
    </cfRule>
  </conditionalFormatting>
  <conditionalFormatting sqref="I39:I41">
    <cfRule type="containsErrors" dxfId="176" priority="51">
      <formula>ISERROR(I39)</formula>
    </cfRule>
  </conditionalFormatting>
  <conditionalFormatting sqref="J39:J41">
    <cfRule type="containsErrors" dxfId="175" priority="50">
      <formula>ISERROR(J39)</formula>
    </cfRule>
  </conditionalFormatting>
  <conditionalFormatting sqref="K34:K38 K42:K46">
    <cfRule type="containsErrors" dxfId="174" priority="49">
      <formula>ISERROR(K34)</formula>
    </cfRule>
  </conditionalFormatting>
  <conditionalFormatting sqref="K33">
    <cfRule type="containsErrors" dxfId="173" priority="48">
      <formula>ISERROR(K33)</formula>
    </cfRule>
  </conditionalFormatting>
  <conditionalFormatting sqref="K39:K41">
    <cfRule type="containsErrors" dxfId="172" priority="47">
      <formula>ISERROR(K39)</formula>
    </cfRule>
  </conditionalFormatting>
  <conditionalFormatting sqref="L34:L38 L42:L46">
    <cfRule type="containsErrors" dxfId="171" priority="46">
      <formula>ISERROR(L34)</formula>
    </cfRule>
  </conditionalFormatting>
  <conditionalFormatting sqref="L33">
    <cfRule type="containsErrors" dxfId="170" priority="45">
      <formula>ISERROR(L33)</formula>
    </cfRule>
  </conditionalFormatting>
  <conditionalFormatting sqref="L39:L41">
    <cfRule type="containsErrors" dxfId="169" priority="44">
      <formula>ISERROR(L39)</formula>
    </cfRule>
  </conditionalFormatting>
  <conditionalFormatting sqref="M34:M38 M42:M46">
    <cfRule type="containsErrors" dxfId="168" priority="43">
      <formula>ISERROR(M34)</formula>
    </cfRule>
  </conditionalFormatting>
  <conditionalFormatting sqref="M33">
    <cfRule type="containsErrors" dxfId="167" priority="42">
      <formula>ISERROR(M33)</formula>
    </cfRule>
  </conditionalFormatting>
  <conditionalFormatting sqref="M39:M41">
    <cfRule type="containsErrors" dxfId="166" priority="41">
      <formula>ISERROR(M39)</formula>
    </cfRule>
  </conditionalFormatting>
  <conditionalFormatting sqref="N34:N38 N42:N46">
    <cfRule type="containsErrors" dxfId="165" priority="40">
      <formula>ISERROR(N34)</formula>
    </cfRule>
  </conditionalFormatting>
  <conditionalFormatting sqref="N33">
    <cfRule type="containsErrors" dxfId="164" priority="39">
      <formula>ISERROR(N33)</formula>
    </cfRule>
  </conditionalFormatting>
  <conditionalFormatting sqref="N39:N41">
    <cfRule type="containsErrors" dxfId="163" priority="38">
      <formula>ISERROR(N39)</formula>
    </cfRule>
  </conditionalFormatting>
  <conditionalFormatting sqref="O34:O38 O42:O46">
    <cfRule type="containsErrors" dxfId="162" priority="37">
      <formula>ISERROR(O34)</formula>
    </cfRule>
  </conditionalFormatting>
  <conditionalFormatting sqref="O33">
    <cfRule type="containsErrors" dxfId="161" priority="36">
      <formula>ISERROR(O33)</formula>
    </cfRule>
  </conditionalFormatting>
  <conditionalFormatting sqref="O39:O41">
    <cfRule type="containsErrors" dxfId="160" priority="35">
      <formula>ISERROR(O39)</formula>
    </cfRule>
  </conditionalFormatting>
  <conditionalFormatting sqref="W33:W52">
    <cfRule type="containsErrors" dxfId="159" priority="34">
      <formula>ISERROR(W33)</formula>
    </cfRule>
  </conditionalFormatting>
  <conditionalFormatting sqref="X33:X52">
    <cfRule type="containsErrors" dxfId="158" priority="33">
      <formula>ISERROR(X33)</formula>
    </cfRule>
  </conditionalFormatting>
  <conditionalFormatting sqref="Y33:Y52">
    <cfRule type="containsErrors" dxfId="157" priority="32">
      <formula>ISERROR(Y33)</formula>
    </cfRule>
  </conditionalFormatting>
  <conditionalFormatting sqref="Z33:Z52">
    <cfRule type="containsErrors" dxfId="156" priority="31">
      <formula>ISERROR(Z33)</formula>
    </cfRule>
  </conditionalFormatting>
  <conditionalFormatting sqref="AA33:AA52">
    <cfRule type="containsErrors" dxfId="155" priority="30">
      <formula>ISERROR(AA33)</formula>
    </cfRule>
  </conditionalFormatting>
  <conditionalFormatting sqref="D41">
    <cfRule type="containsErrors" dxfId="154" priority="28">
      <formula>ISERROR(D41)</formula>
    </cfRule>
  </conditionalFormatting>
  <conditionalFormatting sqref="D32:D40 D42:D52 D54 D56:D96">
    <cfRule type="containsErrors" dxfId="153" priority="29">
      <formula>ISERROR(D32)</formula>
    </cfRule>
  </conditionalFormatting>
  <conditionalFormatting sqref="Q30:R31">
    <cfRule type="containsErrors" dxfId="152" priority="27">
      <formula>ISERROR(Q30)</formula>
    </cfRule>
  </conditionalFormatting>
  <conditionalFormatting sqref="J120">
    <cfRule type="containsErrors" dxfId="151" priority="26">
      <formula>ISERROR(J120)</formula>
    </cfRule>
  </conditionalFormatting>
  <conditionalFormatting sqref="J120">
    <cfRule type="containsErrors" dxfId="150" priority="25">
      <formula>ISERROR(J120)</formula>
    </cfRule>
  </conditionalFormatting>
  <conditionalFormatting sqref="H131">
    <cfRule type="containsErrors" dxfId="149" priority="4">
      <formula>ISERROR(H131)</formula>
    </cfRule>
  </conditionalFormatting>
  <conditionalFormatting sqref="K126">
    <cfRule type="containsErrors" dxfId="148" priority="3">
      <formula>ISERROR(K126)</formula>
    </cfRule>
  </conditionalFormatting>
  <conditionalFormatting sqref="J119">
    <cfRule type="containsErrors" dxfId="147" priority="22">
      <formula>ISERROR(J119)</formula>
    </cfRule>
  </conditionalFormatting>
  <conditionalFormatting sqref="K119">
    <cfRule type="containsErrors" dxfId="146" priority="20">
      <formula>ISERROR(K119)</formula>
    </cfRule>
  </conditionalFormatting>
  <conditionalFormatting sqref="K120">
    <cfRule type="containsErrors" dxfId="145" priority="19">
      <formula>ISERROR(K120)</formula>
    </cfRule>
  </conditionalFormatting>
  <conditionalFormatting sqref="K121">
    <cfRule type="containsErrors" dxfId="144" priority="18">
      <formula>ISERROR(K121)</formula>
    </cfRule>
  </conditionalFormatting>
  <conditionalFormatting sqref="J121">
    <cfRule type="containsErrors" dxfId="143" priority="17">
      <formula>ISERROR(J121)</formula>
    </cfRule>
  </conditionalFormatting>
  <conditionalFormatting sqref="K124">
    <cfRule type="containsErrors" dxfId="142" priority="16">
      <formula>ISERROR(K124)</formula>
    </cfRule>
  </conditionalFormatting>
  <conditionalFormatting sqref="K125">
    <cfRule type="containsErrors" dxfId="141" priority="15">
      <formula>ISERROR(K125)</formula>
    </cfRule>
  </conditionalFormatting>
  <conditionalFormatting sqref="J125">
    <cfRule type="containsErrors" dxfId="140" priority="14">
      <formula>ISERROR(J125)</formula>
    </cfRule>
  </conditionalFormatting>
  <conditionalFormatting sqref="I125">
    <cfRule type="containsErrors" dxfId="139" priority="13">
      <formula>ISERROR(I125)</formula>
    </cfRule>
  </conditionalFormatting>
  <conditionalFormatting sqref="H125">
    <cfRule type="containsErrors" dxfId="138" priority="12">
      <formula>ISERROR(H125)</formula>
    </cfRule>
  </conditionalFormatting>
  <conditionalFormatting sqref="K128">
    <cfRule type="containsErrors" dxfId="137" priority="11">
      <formula>ISERROR(K128)</formula>
    </cfRule>
  </conditionalFormatting>
  <conditionalFormatting sqref="K129">
    <cfRule type="containsErrors" dxfId="136" priority="10">
      <formula>ISERROR(K129)</formula>
    </cfRule>
  </conditionalFormatting>
  <conditionalFormatting sqref="J129">
    <cfRule type="containsErrors" dxfId="135" priority="9">
      <formula>ISERROR(J129)</formula>
    </cfRule>
  </conditionalFormatting>
  <conditionalFormatting sqref="K130">
    <cfRule type="containsErrors" dxfId="134" priority="8">
      <formula>ISERROR(K130)</formula>
    </cfRule>
  </conditionalFormatting>
  <conditionalFormatting sqref="K131">
    <cfRule type="containsErrors" dxfId="133" priority="7">
      <formula>ISERROR(K131)</formula>
    </cfRule>
  </conditionalFormatting>
  <conditionalFormatting sqref="J131">
    <cfRule type="containsErrors" dxfId="132" priority="6">
      <formula>ISERROR(J131)</formula>
    </cfRule>
  </conditionalFormatting>
  <conditionalFormatting sqref="I131">
    <cfRule type="containsErrors" dxfId="131" priority="5">
      <formula>ISERROR(I131)</formula>
    </cfRule>
  </conditionalFormatting>
  <conditionalFormatting sqref="B190:K240 B136:K186">
    <cfRule type="cellIs" dxfId="130" priority="2" operator="equal">
      <formula>0</formula>
    </cfRule>
  </conditionalFormatting>
  <pageMargins left="0.75" right="0.75" top="1" bottom="1" header="0.5" footer="0.5"/>
  <pageSetup scale="29" orientation="landscape" horizontalDpi="4294967292" verticalDpi="4294967292"/>
  <rowBreaks count="1" manualBreakCount="1">
    <brk id="96" max="16383" man="1"/>
  </rowBreaks>
  <colBreaks count="1" manualBreakCount="1">
    <brk id="27" max="1048575" man="1"/>
  </colBreaks>
  <tableParts count="6">
    <tablePart r:id="rId1"/>
    <tablePart r:id="rId2"/>
    <tablePart r:id="rId3"/>
    <tablePart r:id="rId4"/>
    <tablePart r:id="rId5"/>
    <tablePart r:id="rId6"/>
  </tableParts>
  <extLst>
    <ext xmlns:mx="http://schemas.microsoft.com/office/mac/excel/2008/main" uri="{64002731-A6B0-56B0-2670-7721B7C09600}">
      <mx:PLV Mode="0" OnePage="0" WScale="29"/>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2"/>
  <sheetViews>
    <sheetView workbookViewId="0">
      <selection activeCell="A78" sqref="A78"/>
    </sheetView>
    <sheetView topLeftCell="A8" zoomScale="125" zoomScaleNormal="125" zoomScalePageLayoutView="125" workbookViewId="1">
      <selection activeCell="K36" sqref="K36"/>
    </sheetView>
  </sheetViews>
  <sheetFormatPr baseColWidth="10" defaultRowHeight="15" x14ac:dyDescent="0"/>
  <cols>
    <col min="1" max="1" width="17.5" bestFit="1" customWidth="1"/>
    <col min="2" max="2" width="14.1640625" customWidth="1"/>
    <col min="3" max="3" width="11.5" customWidth="1"/>
    <col min="4" max="4" width="17" style="134" bestFit="1" customWidth="1"/>
  </cols>
  <sheetData>
    <row r="1" spans="1:27" ht="32" thickTop="1" thickBot="1">
      <c r="A1" s="328" t="s">
        <v>248</v>
      </c>
      <c r="B1" s="329"/>
      <c r="C1" s="329"/>
      <c r="D1" s="329"/>
      <c r="E1" s="329"/>
      <c r="F1" s="329"/>
      <c r="G1" s="329"/>
      <c r="H1" s="329"/>
      <c r="I1" s="329"/>
      <c r="J1" s="329"/>
      <c r="K1" s="329"/>
      <c r="L1" s="329"/>
      <c r="M1" s="329"/>
      <c r="N1" s="329"/>
      <c r="O1" s="329"/>
      <c r="P1" s="329"/>
      <c r="Q1" s="329"/>
      <c r="R1" s="329"/>
      <c r="S1" s="329"/>
      <c r="T1" s="329"/>
      <c r="U1" s="329"/>
      <c r="V1" s="329"/>
      <c r="W1" s="329"/>
      <c r="X1" s="329"/>
      <c r="Y1" s="329"/>
      <c r="Z1" s="329"/>
      <c r="AA1" s="330"/>
    </row>
    <row r="2" spans="1:27" ht="17" thickTop="1" thickBot="1"/>
    <row r="3" spans="1:27" ht="17" thickTop="1" thickBot="1">
      <c r="A3" s="195" t="s">
        <v>257</v>
      </c>
      <c r="B3" s="194" t="s">
        <v>258</v>
      </c>
    </row>
    <row r="4" spans="1:27" ht="16" thickTop="1">
      <c r="A4" s="201" t="s">
        <v>259</v>
      </c>
      <c r="B4" s="202">
        <f>MATCH("1",ConstructionState[#Headers],0)-1</f>
        <v>7</v>
      </c>
    </row>
    <row r="5" spans="1:27">
      <c r="A5" s="71" t="s">
        <v>157</v>
      </c>
      <c r="B5" s="203">
        <f ca="1">IF(SetToMax,10,IFERROR(MATCH(TRUE,INDEX(OFFSET(ConstructionState[],MATCH("Town Hall",ConstructionState[Building or Upgrade],0)-1,L1Offset,1,12)&lt;&gt;"",),0),1))</f>
        <v>7</v>
      </c>
    </row>
    <row r="6" spans="1:27">
      <c r="A6" s="71" t="s">
        <v>249</v>
      </c>
      <c r="B6" s="203">
        <f ca="1">IF(SetToMax,8,IFERROR(MATCH(TRUE,INDEX(OFFSET(ConstructionState[],MATCH("Laboratory",ConstructionState[Building or Upgrade],0)-1,L1Offset,1,12)&lt;&gt;"",),0),0))</f>
        <v>5</v>
      </c>
    </row>
    <row r="7" spans="1:27">
      <c r="A7" s="71" t="s">
        <v>250</v>
      </c>
      <c r="B7" s="203">
        <f ca="1">SUM(OFFSET(ConstructionState[],MATCH("Barracks",ConstructionState[Building or Upgrade],0)-1,L1Offset,1,12))</f>
        <v>4</v>
      </c>
    </row>
    <row r="8" spans="1:27">
      <c r="A8" s="71" t="s">
        <v>251</v>
      </c>
      <c r="B8" s="203">
        <f ca="1">SUM(OFFSET(ConstructionState[],MATCH("Dark Barracks",ConstructionState[Building or Upgrade],0)-1,L1Offset,1,12))</f>
        <v>1</v>
      </c>
    </row>
    <row r="9" spans="1:27" ht="16" thickBot="1">
      <c r="A9" s="82" t="s">
        <v>170</v>
      </c>
      <c r="B9" s="204">
        <f ca="1">IFERROR(MATCH(TRUE,INDEX(OFFSET(ConstructionState[],MATCH("Spell Factory",ConstructionState[Building or Upgrade],0)-1,L1Offset,1,12)&lt;&gt;"",),0),1)</f>
        <v>3</v>
      </c>
    </row>
    <row r="10" spans="1:27" ht="17" thickTop="1" thickBot="1"/>
    <row r="11" spans="1:27" ht="32" thickTop="1" thickBot="1">
      <c r="A11" s="328" t="s">
        <v>213</v>
      </c>
      <c r="B11" s="329"/>
      <c r="C11" s="329"/>
      <c r="D11" s="329"/>
      <c r="E11" s="329"/>
      <c r="F11" s="329"/>
      <c r="G11" s="329"/>
      <c r="H11" s="329"/>
      <c r="I11" s="329"/>
      <c r="J11" s="329"/>
      <c r="K11" s="329"/>
      <c r="L11" s="329"/>
      <c r="M11" s="329"/>
      <c r="N11" s="329"/>
      <c r="O11" s="329"/>
      <c r="P11" s="329"/>
      <c r="Q11" s="329"/>
      <c r="R11" s="329"/>
      <c r="S11" s="329"/>
      <c r="T11" s="329"/>
      <c r="U11" s="329"/>
      <c r="V11" s="329"/>
      <c r="W11" s="329"/>
      <c r="X11" s="329"/>
      <c r="Y11" s="329"/>
      <c r="Z11" s="329"/>
      <c r="AA11" s="330"/>
    </row>
    <row r="12" spans="1:27" ht="16" thickTop="1"/>
    <row r="13" spans="1:27">
      <c r="A13" t="s">
        <v>214</v>
      </c>
      <c r="B13" t="s">
        <v>219</v>
      </c>
      <c r="C13" t="s">
        <v>147</v>
      </c>
      <c r="D13" t="s">
        <v>215</v>
      </c>
      <c r="E13" t="s">
        <v>216</v>
      </c>
      <c r="F13" t="s">
        <v>226</v>
      </c>
      <c r="G13" s="134" t="s">
        <v>230</v>
      </c>
      <c r="H13" t="s">
        <v>231</v>
      </c>
      <c r="I13" t="s">
        <v>232</v>
      </c>
      <c r="J13" t="s">
        <v>233</v>
      </c>
    </row>
    <row r="14" spans="1:27">
      <c r="A14" t="s">
        <v>205</v>
      </c>
      <c r="B14" t="s">
        <v>217</v>
      </c>
      <c r="C14">
        <f>BKLevel</f>
        <v>1</v>
      </c>
      <c r="D14">
        <f ca="1">VLOOKUP(HeroNextUpgrade[[#This Row],[Hero]],MaxLevel[],MATCH("L"&amp;THLevel,MaxLevel[#Headers],0),FALSE)</f>
        <v>5</v>
      </c>
      <c r="E14" t="b">
        <f ca="1">AND(HeroNextUpgrade[[#This Row],[Level]]&lt;HeroNextUpgrade[[#This Row],[MaxLevel]],COUNTIF(Skips,HeroNextUpgrade[[#This Row],[Hero]])=0)</f>
        <v>1</v>
      </c>
      <c r="F14">
        <f>HeroNextUpgrade[[#This Row],[Level]]+1</f>
        <v>2</v>
      </c>
      <c r="G14" s="146">
        <f>VLOOKUP(HeroNextUpgrade[[#This Row],[Next Level]],HeroUpgrades[],MATCH(HeroNextUpgrade[[#This Row],[Lookup Key]]&amp;"-Cost",HeroUpgrades[#Headers],0),FALSE)</f>
        <v>12500</v>
      </c>
      <c r="H14" s="147">
        <f>VLOOKUP(HeroNextUpgrade[[#This Row],[Next Level]],HeroUpgrades[],MATCH(HeroNextUpgrade[[#This Row],[Lookup Key]]&amp;"-Time",HeroUpgrades[#Headers],0),FALSE)</f>
        <v>0.5</v>
      </c>
      <c r="I14" s="150">
        <f ca="1">IF(HeroNextUpgrade[[#This Row],[Upgradeable]],SUM(OFFSET(HeroUpgrades[],HeroNextUpgrade[[#This Row],[Level]],MATCH(HeroNextUpgrade[[#This Row],[Lookup Key]]&amp;"-Cost",HeroUpgrades[#Headers],0)-1,HeroNextUpgrade[[#This Row],[MaxLevel]]-HeroNextUpgrade[[#This Row],[Level]],1)),0)</f>
        <v>65000</v>
      </c>
      <c r="J14" s="148">
        <f ca="1">IF(HeroNextUpgrade[[#This Row],[Upgradeable]],SUM(OFFSET(HeroUpgrades[],HeroNextUpgrade[[#This Row],[Level]],MATCH(HeroNextUpgrade[[#This Row],[Lookup Key]]&amp;"-Time",HeroUpgrades[#Headers],0)-1,HeroNextUpgrade[[#This Row],[MaxLevel]]-HeroNextUpgrade[[#This Row],[Level]],1)),0)</f>
        <v>5</v>
      </c>
    </row>
    <row r="15" spans="1:27">
      <c r="A15" t="s">
        <v>209</v>
      </c>
      <c r="B15" t="s">
        <v>218</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46">
        <f>VLOOKUP(HeroNextUpgrade[[#This Row],[Next Level]],HeroUpgrades[],MATCH(HeroNextUpgrade[[#This Row],[Lookup Key]]&amp;"-Cost",HeroUpgrades[#Headers],0),FALSE)</f>
        <v>40000</v>
      </c>
      <c r="H15" s="148">
        <f>VLOOKUP(HeroNextUpgrade[[#This Row],[Next Level]],HeroUpgrades[],MATCH(HeroNextUpgrade[[#This Row],[Lookup Key]]&amp;"-Time",HeroUpgrades[#Headers],0),FALSE)</f>
        <v>0</v>
      </c>
      <c r="I15" s="150">
        <f ca="1">IF(HeroNextUpgrade[[#This Row],[Upgradeable]],SUM(OFFSET(HeroUpgrades[],HeroNextUpgrade[[#This Row],[Level]],MATCH(HeroNextUpgrade[[#This Row],[Lookup Key]]&amp;"-Cost",HeroUpgrades[#Headers],0)-1,HeroNextUpgrade[[#This Row],[MaxLevel]]-HeroNextUpgrade[[#This Row],[Level]],1)),0)</f>
        <v>0</v>
      </c>
      <c r="J15" s="148">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28" t="s">
        <v>212</v>
      </c>
      <c r="B17" s="329"/>
      <c r="C17" s="329"/>
      <c r="D17" s="329"/>
      <c r="E17" s="329"/>
      <c r="F17" s="329"/>
      <c r="G17" s="329"/>
      <c r="H17" s="329"/>
      <c r="I17" s="329"/>
      <c r="J17" s="329"/>
      <c r="K17" s="329"/>
      <c r="L17" s="329"/>
      <c r="M17" s="329"/>
      <c r="N17" s="329"/>
      <c r="O17" s="329"/>
      <c r="P17" s="329"/>
      <c r="Q17" s="329"/>
      <c r="R17" s="329"/>
      <c r="S17" s="329"/>
      <c r="T17" s="329"/>
      <c r="U17" s="329"/>
      <c r="V17" s="329"/>
      <c r="W17" s="329"/>
      <c r="X17" s="329"/>
      <c r="Y17" s="329"/>
      <c r="Z17" s="329"/>
      <c r="AA17" s="330"/>
    </row>
    <row r="18" spans="1:27" ht="16" thickTop="1">
      <c r="A18" s="11"/>
      <c r="B18" s="11"/>
      <c r="C18" s="11"/>
      <c r="D18" s="131"/>
      <c r="E18" s="53"/>
      <c r="F18" s="11"/>
      <c r="G18" s="11"/>
      <c r="H18" s="11"/>
      <c r="I18" s="11"/>
      <c r="J18" s="11"/>
      <c r="K18" s="11"/>
      <c r="L18" s="11"/>
      <c r="M18" s="11"/>
      <c r="N18" s="11"/>
      <c r="O18" s="11"/>
      <c r="P18" s="11"/>
      <c r="Q18" s="11"/>
      <c r="R18" s="11"/>
    </row>
    <row r="19" spans="1:27">
      <c r="A19" s="11" t="s">
        <v>104</v>
      </c>
      <c r="B19" s="11" t="s">
        <v>70</v>
      </c>
      <c r="C19" s="11" t="s">
        <v>30</v>
      </c>
      <c r="D19" s="131" t="s">
        <v>136</v>
      </c>
      <c r="E19" s="11" t="s">
        <v>69</v>
      </c>
      <c r="F19" s="11" t="s">
        <v>32</v>
      </c>
      <c r="G19" s="11" t="s">
        <v>33</v>
      </c>
      <c r="H19" s="11" t="s">
        <v>34</v>
      </c>
      <c r="I19" s="11" t="s">
        <v>35</v>
      </c>
      <c r="J19" s="11" t="s">
        <v>36</v>
      </c>
      <c r="K19" s="11" t="s">
        <v>37</v>
      </c>
      <c r="L19" s="11" t="s">
        <v>38</v>
      </c>
      <c r="M19" s="11" t="s">
        <v>39</v>
      </c>
      <c r="N19" s="11" t="s">
        <v>40</v>
      </c>
      <c r="O19" s="11" t="s">
        <v>41</v>
      </c>
      <c r="P19" s="11" t="s">
        <v>42</v>
      </c>
      <c r="Q19" s="11" t="s">
        <v>43</v>
      </c>
      <c r="R19" s="11" t="s">
        <v>68</v>
      </c>
    </row>
    <row r="20" spans="1:27">
      <c r="A20" s="11" t="s">
        <v>13</v>
      </c>
      <c r="B20" s="11" t="str">
        <f>VLOOKUP(CostRemaining[[#This Row],[Cost]],Upgrades[],2,FALSE)</f>
        <v>Building</v>
      </c>
      <c r="C20" s="11" t="str">
        <f>VLOOKUP(CostRemaining[[#This Row],[Cost]],Upgrades[],3,FALSE)</f>
        <v>Gold</v>
      </c>
      <c r="D20" s="131" t="str">
        <f>IF(COUNTIF(Skips,CostRemaining[[#This Row],[Cost]])&gt;0,"IGNORE",CostRemaining[Kind]&amp;"-"&amp;CostRemaining[Resource])</f>
        <v>Building-Gold</v>
      </c>
      <c r="E20" s="54">
        <f ca="1">IFERROR(VLOOKUP(CostRemaining[[#This Row],[Cost]],Upgrades[],MATCH("C"&amp;MATCH(TRUE,INDEX(CostRemaining[[#This Row],[1]:[12]]&lt;&gt;0,),0),Upgrades[#Headers],0),FALSE),"")</f>
        <v>2000000</v>
      </c>
      <c r="F20" s="55">
        <f ca="1">IF(VALUE(CostRemaining[#Headers])&lt;='Construction Dashboard'!$F24,IFERROR(VLOOKUP(CostRemaining[[#This Row],[Cost]],Upgrades[],MATCH("C"&amp;CostRemaining[#Headers],Upgrades[#Headers],0),FALSE),0)*MAX(0,SUM('Construction Dashboard'!$G24:G24)),0)</f>
        <v>0</v>
      </c>
      <c r="G20" s="55">
        <f ca="1">IF(VALUE(CostRemaining[#Headers])&lt;='Construction Dashboard'!$F24,IFERROR(VLOOKUP(CostRemaining[[#This Row],[Cost]],Upgrades[],MATCH("C"&amp;CostRemaining[#Headers],Upgrades[#Headers],0),FALSE),0)*MAX(0,SUM('Construction Dashboard'!$G24:H24)),0)</f>
        <v>0</v>
      </c>
      <c r="H20" s="55">
        <f ca="1">IF(VALUE(CostRemaining[#Headers])&lt;='Construction Dashboard'!$F24,IFERROR(VLOOKUP(CostRemaining[[#This Row],[Cost]],Upgrades[],MATCH("C"&amp;CostRemaining[#Headers],Upgrades[#Headers],0),FALSE),0)*MAX(0,SUM('Construction Dashboard'!$G24:I24)),0)</f>
        <v>0</v>
      </c>
      <c r="I20" s="55">
        <f ca="1">IF(VALUE(CostRemaining[#Headers])&lt;='Construction Dashboard'!$F24,IFERROR(VLOOKUP(CostRemaining[[#This Row],[Cost]],Upgrades[],MATCH("C"&amp;CostRemaining[#Headers],Upgrades[#Headers],0),FALSE),0)*MAX(0,SUM('Construction Dashboard'!$G24:J24)),0)</f>
        <v>0</v>
      </c>
      <c r="J20" s="55">
        <f ca="1">IF(VALUE(CostRemaining[#Headers])&lt;='Construction Dashboard'!$F24,IFERROR(VLOOKUP(CostRemaining[[#This Row],[Cost]],Upgrades[],MATCH("C"&amp;CostRemaining[#Headers],Upgrades[#Headers],0),FALSE),0)*MAX(0,SUM('Construction Dashboard'!$G24:K24)),0)</f>
        <v>0</v>
      </c>
      <c r="K20" s="55">
        <f ca="1">IF(VALUE(CostRemaining[#Headers])&lt;='Construction Dashboard'!$F24,IFERROR(VLOOKUP(CostRemaining[[#This Row],[Cost]],Upgrades[],MATCH("C"&amp;CostRemaining[#Headers],Upgrades[#Headers],0),FALSE),0)*MAX(0,SUM('Construction Dashboard'!$G24:L24)),0)</f>
        <v>0</v>
      </c>
      <c r="L20" s="55">
        <f ca="1">IF(VALUE(CostRemaining[#Headers])&lt;='Construction Dashboard'!$F24,IFERROR(VLOOKUP(CostRemaining[[#This Row],[Cost]],Upgrades[],MATCH("C"&amp;CostRemaining[#Headers],Upgrades[#Headers],0),FALSE),0)*MAX(0,SUM('Construction Dashboard'!$G24:M24)),0)</f>
        <v>0</v>
      </c>
      <c r="M20" s="55">
        <f ca="1">IF(VALUE(CostRemaining[#Headers])&lt;='Construction Dashboard'!$F24,IFERROR(VLOOKUP(CostRemaining[[#This Row],[Cost]],Upgrades[],MATCH("C"&amp;CostRemaining[#Headers],Upgrades[#Headers],0),FALSE),0)*MAX(0,SUM('Construction Dashboard'!$G24:N24)),0)</f>
        <v>2000000</v>
      </c>
      <c r="N20" s="55">
        <f ca="1">IF(VALUE(CostRemaining[#Headers])&lt;='Construction Dashboard'!$F24,IFERROR(VLOOKUP(CostRemaining[[#This Row],[Cost]],Upgrades[],MATCH("C"&amp;CostRemaining[#Headers],Upgrades[#Headers],0),FALSE),0)*MAX(0,SUM('Construction Dashboard'!$G24:O24)),0)</f>
        <v>0</v>
      </c>
      <c r="O20" s="55">
        <f ca="1">IF(VALUE(CostRemaining[#Headers])&lt;='Construction Dashboard'!$F24,IFERROR(VLOOKUP(CostRemaining[[#This Row],[Cost]],Upgrades[],MATCH("C"&amp;CostRemaining[#Headers],Upgrades[#Headers],0),FALSE),0)*MAX(0,SUM('Construction Dashboard'!$G24:P24)),0)</f>
        <v>0</v>
      </c>
      <c r="P20" s="55">
        <f ca="1">IF(VALUE(CostRemaining[#Headers])&lt;='Construction Dashboard'!$F24,IFERROR(VLOOKUP(CostRemaining[[#This Row],[Cost]],Upgrades[],MATCH("C"&amp;CostRemaining[#Headers],Upgrades[#Headers],0),FALSE),0)*MAX(0,SUM('Construction Dashboard'!$G24:Q24)),0)</f>
        <v>0</v>
      </c>
      <c r="Q20" s="55">
        <f ca="1">IF(VALUE(CostRemaining[#Headers])&lt;='Construction Dashboard'!$F24,IFERROR(VLOOKUP(CostRemaining[[#This Row],[Cost]],Upgrades[],MATCH("C"&amp;CostRemaining[#Headers],Upgrades[#Headers],0),FALSE),0)*MAX(0,SUM('Construction Dashboard'!$G24:R24)),0)</f>
        <v>0</v>
      </c>
      <c r="R20" s="55">
        <f ca="1">IF(CostRemaining[[#This Row],[MatchStr]]="IGNORE",0,SUM(CostRemaining[[#This Row],[1]:[12]]))</f>
        <v>2000000</v>
      </c>
    </row>
    <row r="21" spans="1:27">
      <c r="A21" s="11" t="s">
        <v>20</v>
      </c>
      <c r="B21" s="11" t="str">
        <f>VLOOKUP(CostRemaining[[#This Row],[Cost]],Upgrades[],2,FALSE)</f>
        <v>Building</v>
      </c>
      <c r="C21" s="11" t="str">
        <f>VLOOKUP(CostRemaining[[#This Row],[Cost]],Upgrades[],3,FALSE)</f>
        <v>Elixir</v>
      </c>
      <c r="D21" s="131" t="str">
        <f>IF(COUNTIF(Skips,CostRemaining[[#This Row],[Cost]])&gt;0,"IGNORE",CostRemaining[Kind]&amp;"-"&amp;CostRemaining[Resource])</f>
        <v>Building-Elixir</v>
      </c>
      <c r="E21" s="54" t="str">
        <f ca="1">IFERROR(VLOOKUP(CostRemaining[[#This Row],[Cost]],Upgrades[],MATCH("C"&amp;MATCH(TRUE,INDEX(CostRemaining[[#This Row],[1]:[12]]&lt;&gt;0,),0),Upgrades[#Headers],0),FALSE),"")</f>
        <v/>
      </c>
      <c r="F21" s="55">
        <f ca="1">IF(VALUE(CostRemaining[#Headers])&lt;='Construction Dashboard'!$F25,IFERROR(VLOOKUP(CostRemaining[[#This Row],[Cost]],Upgrades[],MATCH("C"&amp;CostRemaining[#Headers],Upgrades[#Headers],0),FALSE),0)*MAX(0,SUM('Construction Dashboard'!$G25:G25)),0)</f>
        <v>0</v>
      </c>
      <c r="G21" s="55">
        <f ca="1">IF(VALUE(CostRemaining[#Headers])&lt;='Construction Dashboard'!$F25,IFERROR(VLOOKUP(CostRemaining[[#This Row],[Cost]],Upgrades[],MATCH("C"&amp;CostRemaining[#Headers],Upgrades[#Headers],0),FALSE),0)*MAX(0,SUM('Construction Dashboard'!$G25:H25)),0)</f>
        <v>0</v>
      </c>
      <c r="H21" s="55">
        <f ca="1">IF(VALUE(CostRemaining[#Headers])&lt;='Construction Dashboard'!$F25,IFERROR(VLOOKUP(CostRemaining[[#This Row],[Cost]],Upgrades[],MATCH("C"&amp;CostRemaining[#Headers],Upgrades[#Headers],0),FALSE),0)*MAX(0,SUM('Construction Dashboard'!$G25:I25)),0)</f>
        <v>0</v>
      </c>
      <c r="I21" s="55">
        <f ca="1">IF(VALUE(CostRemaining[#Headers])&lt;='Construction Dashboard'!$F25,IFERROR(VLOOKUP(CostRemaining[[#This Row],[Cost]],Upgrades[],MATCH("C"&amp;CostRemaining[#Headers],Upgrades[#Headers],0),FALSE),0)*MAX(0,SUM('Construction Dashboard'!$G25:J25)),0)</f>
        <v>0</v>
      </c>
      <c r="J21" s="55">
        <f ca="1">IF(VALUE(CostRemaining[#Headers])&lt;='Construction Dashboard'!$F25,IFERROR(VLOOKUP(CostRemaining[[#This Row],[Cost]],Upgrades[],MATCH("C"&amp;CostRemaining[#Headers],Upgrades[#Headers],0),FALSE),0)*MAX(0,SUM('Construction Dashboard'!$G25:K25)),0)</f>
        <v>0</v>
      </c>
      <c r="K21" s="55">
        <f ca="1">IF(VALUE(CostRemaining[#Headers])&lt;='Construction Dashboard'!$F25,IFERROR(VLOOKUP(CostRemaining[[#This Row],[Cost]],Upgrades[],MATCH("C"&amp;CostRemaining[#Headers],Upgrades[#Headers],0),FALSE),0)*MAX(0,SUM('Construction Dashboard'!$G25:L25)),0)</f>
        <v>0</v>
      </c>
      <c r="L21" s="55">
        <f ca="1">IF(VALUE(CostRemaining[#Headers])&lt;='Construction Dashboard'!$F25,IFERROR(VLOOKUP(CostRemaining[[#This Row],[Cost]],Upgrades[],MATCH("C"&amp;CostRemaining[#Headers],Upgrades[#Headers],0),FALSE),0)*MAX(0,SUM('Construction Dashboard'!$G25:M25)),0)</f>
        <v>0</v>
      </c>
      <c r="M21" s="55">
        <f ca="1">IF(VALUE(CostRemaining[#Headers])&lt;='Construction Dashboard'!$F25,IFERROR(VLOOKUP(CostRemaining[[#This Row],[Cost]],Upgrades[],MATCH("C"&amp;CostRemaining[#Headers],Upgrades[#Headers],0),FALSE),0)*MAX(0,SUM('Construction Dashboard'!$G25:N25)),0)</f>
        <v>0</v>
      </c>
      <c r="N21" s="55">
        <f ca="1">IF(VALUE(CostRemaining[#Headers])&lt;='Construction Dashboard'!$F25,IFERROR(VLOOKUP(CostRemaining[[#This Row],[Cost]],Upgrades[],MATCH("C"&amp;CostRemaining[#Headers],Upgrades[#Headers],0),FALSE),0)*MAX(0,SUM('Construction Dashboard'!$G25:O25)),0)</f>
        <v>0</v>
      </c>
      <c r="O21" s="55">
        <f ca="1">IF(VALUE(CostRemaining[#Headers])&lt;='Construction Dashboard'!$F25,IFERROR(VLOOKUP(CostRemaining[[#This Row],[Cost]],Upgrades[],MATCH("C"&amp;CostRemaining[#Headers],Upgrades[#Headers],0),FALSE),0)*MAX(0,SUM('Construction Dashboard'!$G25:P25)),0)</f>
        <v>0</v>
      </c>
      <c r="P21" s="55">
        <f ca="1">IF(VALUE(CostRemaining[#Headers])&lt;='Construction Dashboard'!$F25,IFERROR(VLOOKUP(CostRemaining[[#This Row],[Cost]],Upgrades[],MATCH("C"&amp;CostRemaining[#Headers],Upgrades[#Headers],0),FALSE),0)*MAX(0,SUM('Construction Dashboard'!$G25:Q25)),0)</f>
        <v>0</v>
      </c>
      <c r="Q21" s="55">
        <f ca="1">IF(VALUE(CostRemaining[#Headers])&lt;='Construction Dashboard'!$F25,IFERROR(VLOOKUP(CostRemaining[[#This Row],[Cost]],Upgrades[],MATCH("C"&amp;CostRemaining[#Headers],Upgrades[#Headers],0),FALSE),0)*MAX(0,SUM('Construction Dashboard'!$G25:R25)),0)</f>
        <v>0</v>
      </c>
      <c r="R21" s="55">
        <f ca="1">IF(CostRemaining[[#This Row],[MatchStr]]="IGNORE",0,SUM(CostRemaining[[#This Row],[1]:[12]]))</f>
        <v>0</v>
      </c>
    </row>
    <row r="22" spans="1:27">
      <c r="A22" s="11" t="s">
        <v>2</v>
      </c>
      <c r="B22" s="56" t="str">
        <f>VLOOKUP(CostRemaining[[#This Row],[Cost]],Upgrades[],2,FALSE)</f>
        <v>Building</v>
      </c>
      <c r="C22" s="56" t="str">
        <f>VLOOKUP(CostRemaining[[#This Row],[Cost]],Upgrades[],3,FALSE)</f>
        <v>Elixir</v>
      </c>
      <c r="D22" s="132" t="str">
        <f>IF(COUNTIF(Skips,CostRemaining[[#This Row],[Cost]])&gt;0,"IGNORE",CostRemaining[Kind]&amp;"-"&amp;CostRemaining[Resource])</f>
        <v>Building-Elixir</v>
      </c>
      <c r="E22" s="54">
        <f ca="1">IFERROR(VLOOKUP(CostRemaining[[#This Row],[Cost]],Upgrades[],MATCH("C"&amp;MATCH(TRUE,INDEX(CostRemaining[[#This Row],[1]:[12]]&lt;&gt;0,),0),Upgrades[#Headers],0),FALSE),"")</f>
        <v>1500000</v>
      </c>
      <c r="F22" s="55">
        <f ca="1">IF(VALUE(CostRemaining[#Headers])&lt;='Construction Dashboard'!$F26,IFERROR(VLOOKUP(CostRemaining[[#This Row],[Cost]],Upgrades[],MATCH("C"&amp;CostRemaining[#Headers],Upgrades[#Headers],0),FALSE),0)*MAX(0,SUM('Construction Dashboard'!$G26:G26)),0)</f>
        <v>0</v>
      </c>
      <c r="G22" s="55">
        <f ca="1">IF(VALUE(CostRemaining[#Headers])&lt;='Construction Dashboard'!$F26,IFERROR(VLOOKUP(CostRemaining[[#This Row],[Cost]],Upgrades[],MATCH("C"&amp;CostRemaining[#Headers],Upgrades[#Headers],0),FALSE),0)*MAX(0,SUM('Construction Dashboard'!$G26:H26)),0)</f>
        <v>0</v>
      </c>
      <c r="H22" s="55">
        <f ca="1">IF(VALUE(CostRemaining[#Headers])&lt;='Construction Dashboard'!$F26,IFERROR(VLOOKUP(CostRemaining[[#This Row],[Cost]],Upgrades[],MATCH("C"&amp;CostRemaining[#Headers],Upgrades[#Headers],0),FALSE),0)*MAX(0,SUM('Construction Dashboard'!$G26:I26)),0)</f>
        <v>0</v>
      </c>
      <c r="I22" s="55">
        <f ca="1">IF(VALUE(CostRemaining[#Headers])&lt;='Construction Dashboard'!$F26,IFERROR(VLOOKUP(CostRemaining[[#This Row],[Cost]],Upgrades[],MATCH("C"&amp;CostRemaining[#Headers],Upgrades[#Headers],0),FALSE),0)*MAX(0,SUM('Construction Dashboard'!$G26:J26)),0)</f>
        <v>0</v>
      </c>
      <c r="J22" s="55">
        <f ca="1">IF(VALUE(CostRemaining[#Headers])&lt;='Construction Dashboard'!$F26,IFERROR(VLOOKUP(CostRemaining[[#This Row],[Cost]],Upgrades[],MATCH("C"&amp;CostRemaining[#Headers],Upgrades[#Headers],0),FALSE),0)*MAX(0,SUM('Construction Dashboard'!$G26:K26)),0)</f>
        <v>0</v>
      </c>
      <c r="K22" s="55">
        <f ca="1">IF(VALUE(CostRemaining[#Headers])&lt;='Construction Dashboard'!$F26,IFERROR(VLOOKUP(CostRemaining[[#This Row],[Cost]],Upgrades[],MATCH("C"&amp;CostRemaining[#Headers],Upgrades[#Headers],0),FALSE),0)*MAX(0,SUM('Construction Dashboard'!$G26:L26)),0)</f>
        <v>0</v>
      </c>
      <c r="L22" s="55">
        <f ca="1">IF(VALUE(CostRemaining[#Headers])&lt;='Construction Dashboard'!$F26,IFERROR(VLOOKUP(CostRemaining[[#This Row],[Cost]],Upgrades[],MATCH("C"&amp;CostRemaining[#Headers],Upgrades[#Headers],0),FALSE),0)*MAX(0,SUM('Construction Dashboard'!$G26:M26)),0)</f>
        <v>0</v>
      </c>
      <c r="M22" s="55">
        <f ca="1">IF(VALUE(CostRemaining[#Headers])&lt;='Construction Dashboard'!$F26,IFERROR(VLOOKUP(CostRemaining[[#This Row],[Cost]],Upgrades[],MATCH("C"&amp;CostRemaining[#Headers],Upgrades[#Headers],0),FALSE),0)*MAX(0,SUM('Construction Dashboard'!$G26:N26)),0)</f>
        <v>0</v>
      </c>
      <c r="N22" s="55">
        <f ca="1">IF(VALUE(CostRemaining[#Headers])&lt;='Construction Dashboard'!$F26,IFERROR(VLOOKUP(CostRemaining[[#This Row],[Cost]],Upgrades[],MATCH("C"&amp;CostRemaining[#Headers],Upgrades[#Headers],0),FALSE),0)*MAX(0,SUM('Construction Dashboard'!$G26:O26)),0)</f>
        <v>4500000</v>
      </c>
      <c r="O22" s="55">
        <f ca="1">IF(VALUE(CostRemaining[#Headers])&lt;='Construction Dashboard'!$F26,IFERROR(VLOOKUP(CostRemaining[[#This Row],[Cost]],Upgrades[],MATCH("C"&amp;CostRemaining[#Headers],Upgrades[#Headers],0),FALSE),0)*MAX(0,SUM('Construction Dashboard'!$G26:P26)),0)</f>
        <v>0</v>
      </c>
      <c r="P22" s="55">
        <f ca="1">IF(VALUE(CostRemaining[#Headers])&lt;='Construction Dashboard'!$F26,IFERROR(VLOOKUP(CostRemaining[[#This Row],[Cost]],Upgrades[],MATCH("C"&amp;CostRemaining[#Headers],Upgrades[#Headers],0),FALSE),0)*MAX(0,SUM('Construction Dashboard'!$G26:Q26)),0)</f>
        <v>0</v>
      </c>
      <c r="Q22" s="55">
        <f ca="1">IF(VALUE(CostRemaining[#Headers])&lt;='Construction Dashboard'!$F26,IFERROR(VLOOKUP(CostRemaining[[#This Row],[Cost]],Upgrades[],MATCH("C"&amp;CostRemaining[#Headers],Upgrades[#Headers],0),FALSE),0)*MAX(0,SUM('Construction Dashboard'!$G26:R26)),0)</f>
        <v>0</v>
      </c>
      <c r="R22" s="55">
        <f ca="1">IF(CostRemaining[[#This Row],[MatchStr]]="IGNORE",0,SUM(CostRemaining[[#This Row],[1]:[12]]))</f>
        <v>4500000</v>
      </c>
    </row>
    <row r="23" spans="1:27">
      <c r="A23" s="11" t="s">
        <v>260</v>
      </c>
      <c r="B23" s="56" t="str">
        <f>VLOOKUP(CostRemaining[[#This Row],[Cost]],Upgrades[],2,FALSE)</f>
        <v>Building</v>
      </c>
      <c r="C23" s="56" t="str">
        <f>VLOOKUP(CostRemaining[[#This Row],[Cost]],Upgrades[],3,FALSE)</f>
        <v>Elixir</v>
      </c>
      <c r="D23" s="132" t="str">
        <f>IF(COUNTIF(Skips,CostRemaining[[#This Row],[Cost]])&gt;0,"IGNORE",CostRemaining[Kind]&amp;"-"&amp;CostRemaining[Resource])</f>
        <v>Building-Elixir</v>
      </c>
      <c r="E23" s="54" t="str">
        <f ca="1">IFERROR(VLOOKUP(CostRemaining[[#This Row],[Cost]],Upgrades[],MATCH("C"&amp;MATCH(TRUE,INDEX(CostRemaining[[#This Row],[1]:[12]]&lt;&gt;0,),0),Upgrades[#Headers],0),FALSE),"")</f>
        <v/>
      </c>
      <c r="F23" s="55">
        <f ca="1">IF(VALUE(CostRemaining[#Headers])&lt;='Construction Dashboard'!$F27,IFERROR(VLOOKUP(CostRemaining[[#This Row],[Cost]],Upgrades[],MATCH("C"&amp;CostRemaining[#Headers],Upgrades[#Headers],0),FALSE),0)*MAX(0,SUM('Construction Dashboard'!$G27:G27)),0)</f>
        <v>0</v>
      </c>
      <c r="G23" s="55">
        <f ca="1">IF(VALUE(CostRemaining[#Headers])&lt;='Construction Dashboard'!$F27,IFERROR(VLOOKUP(CostRemaining[[#This Row],[Cost]],Upgrades[],MATCH("C"&amp;CostRemaining[#Headers],Upgrades[#Headers],0),FALSE),0)*MAX(0,SUM('Construction Dashboard'!$G27:H27)),0)</f>
        <v>0</v>
      </c>
      <c r="H23" s="55">
        <f ca="1">IF(VALUE(CostRemaining[#Headers])&lt;='Construction Dashboard'!$F27,IFERROR(VLOOKUP(CostRemaining[[#This Row],[Cost]],Upgrades[],MATCH("C"&amp;CostRemaining[#Headers],Upgrades[#Headers],0),FALSE),0)*MAX(0,SUM('Construction Dashboard'!$G27:I27)),0)</f>
        <v>0</v>
      </c>
      <c r="I23" s="55">
        <f ca="1">IF(VALUE(CostRemaining[#Headers])&lt;='Construction Dashboard'!$F27,IFERROR(VLOOKUP(CostRemaining[[#This Row],[Cost]],Upgrades[],MATCH("C"&amp;CostRemaining[#Headers],Upgrades[#Headers],0),FALSE),0)*MAX(0,SUM('Construction Dashboard'!$G27:J27)),0)</f>
        <v>0</v>
      </c>
      <c r="J23" s="55">
        <f ca="1">IF(VALUE(CostRemaining[#Headers])&lt;='Construction Dashboard'!$F27,IFERROR(VLOOKUP(CostRemaining[[#This Row],[Cost]],Upgrades[],MATCH("C"&amp;CostRemaining[#Headers],Upgrades[#Headers],0),FALSE),0)*MAX(0,SUM('Construction Dashboard'!$G27:K27)),0)</f>
        <v>0</v>
      </c>
      <c r="K23" s="55">
        <f ca="1">IF(VALUE(CostRemaining[#Headers])&lt;='Construction Dashboard'!$F27,IFERROR(VLOOKUP(CostRemaining[[#This Row],[Cost]],Upgrades[],MATCH("C"&amp;CostRemaining[#Headers],Upgrades[#Headers],0),FALSE),0)*MAX(0,SUM('Construction Dashboard'!$G27:L27)),0)</f>
        <v>0</v>
      </c>
      <c r="L23" s="55">
        <f ca="1">IF(VALUE(CostRemaining[#Headers])&lt;='Construction Dashboard'!$F27,IFERROR(VLOOKUP(CostRemaining[[#This Row],[Cost]],Upgrades[],MATCH("C"&amp;CostRemaining[#Headers],Upgrades[#Headers],0),FALSE),0)*MAX(0,SUM('Construction Dashboard'!$G27:M27)),0)</f>
        <v>0</v>
      </c>
      <c r="M23" s="55">
        <f ca="1">IF(VALUE(CostRemaining[#Headers])&lt;='Construction Dashboard'!$F27,IFERROR(VLOOKUP(CostRemaining[[#This Row],[Cost]],Upgrades[],MATCH("C"&amp;CostRemaining[#Headers],Upgrades[#Headers],0),FALSE),0)*MAX(0,SUM('Construction Dashboard'!$G27:N27)),0)</f>
        <v>0</v>
      </c>
      <c r="N23" s="55">
        <f ca="1">IF(VALUE(CostRemaining[#Headers])&lt;='Construction Dashboard'!$F27,IFERROR(VLOOKUP(CostRemaining[[#This Row],[Cost]],Upgrades[],MATCH("C"&amp;CostRemaining[#Headers],Upgrades[#Headers],0),FALSE),0)*MAX(0,SUM('Construction Dashboard'!$G27:O27)),0)</f>
        <v>0</v>
      </c>
      <c r="O23" s="55">
        <f ca="1">IF(VALUE(CostRemaining[#Headers])&lt;='Construction Dashboard'!$F27,IFERROR(VLOOKUP(CostRemaining[[#This Row],[Cost]],Upgrades[],MATCH("C"&amp;CostRemaining[#Headers],Upgrades[#Headers],0),FALSE),0)*MAX(0,SUM('Construction Dashboard'!$G27:P27)),0)</f>
        <v>0</v>
      </c>
      <c r="P23" s="55">
        <f ca="1">IF(VALUE(CostRemaining[#Headers])&lt;='Construction Dashboard'!$F27,IFERROR(VLOOKUP(CostRemaining[[#This Row],[Cost]],Upgrades[],MATCH("C"&amp;CostRemaining[#Headers],Upgrades[#Headers],0),FALSE),0)*MAX(0,SUM('Construction Dashboard'!$G27:Q27)),0)</f>
        <v>0</v>
      </c>
      <c r="Q23" s="55">
        <f ca="1">IF(VALUE(CostRemaining[#Headers])&lt;='Construction Dashboard'!$F27,IFERROR(VLOOKUP(CostRemaining[[#This Row],[Cost]],Upgrades[],MATCH("C"&amp;CostRemaining[#Headers],Upgrades[#Headers],0),FALSE),0)*MAX(0,SUM('Construction Dashboard'!$G27:R27)),0)</f>
        <v>0</v>
      </c>
      <c r="R23" s="55">
        <f ca="1">IF(CostRemaining[[#This Row],[MatchStr]]="IGNORE",0,SUM(CostRemaining[[#This Row],[1]:[12]]))</f>
        <v>0</v>
      </c>
    </row>
    <row r="24" spans="1:27">
      <c r="A24" s="11" t="s">
        <v>15</v>
      </c>
      <c r="B24" s="11" t="str">
        <f>VLOOKUP(CostRemaining[[#This Row],[Cost]],Upgrades[],2,FALSE)</f>
        <v>Building</v>
      </c>
      <c r="C24" s="11" t="str">
        <f>VLOOKUP(CostRemaining[[#This Row],[Cost]],Upgrades[],3,FALSE)</f>
        <v>Elixir</v>
      </c>
      <c r="D24" s="131" t="str">
        <f>IF(COUNTIF(Skips,CostRemaining[[#This Row],[Cost]])&gt;0,"IGNORE",CostRemaining[Kind]&amp;"-"&amp;CostRemaining[Resource])</f>
        <v>Building-Elixir</v>
      </c>
      <c r="E24" s="54" t="str">
        <f ca="1">IFERROR(VLOOKUP(CostRemaining[[#This Row],[Cost]],Upgrades[],MATCH("C"&amp;MATCH(TRUE,INDEX(CostRemaining[[#This Row],[1]:[12]]&lt;&gt;0,),0),Upgrades[#Headers],0),FALSE),"")</f>
        <v/>
      </c>
      <c r="F24" s="55">
        <f ca="1">IF(VALUE(CostRemaining[#Headers])&lt;='Construction Dashboard'!$F28,IFERROR(VLOOKUP(CostRemaining[[#This Row],[Cost]],Upgrades[],MATCH("C"&amp;CostRemaining[#Headers],Upgrades[#Headers],0),FALSE),0)*MAX(0,SUM('Construction Dashboard'!$G28:G28)),0)</f>
        <v>0</v>
      </c>
      <c r="G24" s="55">
        <f ca="1">IF(VALUE(CostRemaining[#Headers])&lt;='Construction Dashboard'!$F28,IFERROR(VLOOKUP(CostRemaining[[#This Row],[Cost]],Upgrades[],MATCH("C"&amp;CostRemaining[#Headers],Upgrades[#Headers],0),FALSE),0)*MAX(0,SUM('Construction Dashboard'!$G28:H28)),0)</f>
        <v>0</v>
      </c>
      <c r="H24" s="55">
        <f ca="1">IF(VALUE(CostRemaining[#Headers])&lt;='Construction Dashboard'!$F28,IFERROR(VLOOKUP(CostRemaining[[#This Row],[Cost]],Upgrades[],MATCH("C"&amp;CostRemaining[#Headers],Upgrades[#Headers],0),FALSE),0)*MAX(0,SUM('Construction Dashboard'!$G28:I28)),0)</f>
        <v>0</v>
      </c>
      <c r="I24" s="55">
        <f ca="1">IF(VALUE(CostRemaining[#Headers])&lt;='Construction Dashboard'!$F28,IFERROR(VLOOKUP(CostRemaining[[#This Row],[Cost]],Upgrades[],MATCH("C"&amp;CostRemaining[#Headers],Upgrades[#Headers],0),FALSE),0)*MAX(0,SUM('Construction Dashboard'!$G28:J28)),0)</f>
        <v>0</v>
      </c>
      <c r="J24" s="55">
        <f ca="1">IF(VALUE(CostRemaining[#Headers])&lt;='Construction Dashboard'!$F28,IFERROR(VLOOKUP(CostRemaining[[#This Row],[Cost]],Upgrades[],MATCH("C"&amp;CostRemaining[#Headers],Upgrades[#Headers],0),FALSE),0)*MAX(0,SUM('Construction Dashboard'!$G28:K28)),0)</f>
        <v>0</v>
      </c>
      <c r="K24" s="55">
        <f ca="1">IF(VALUE(CostRemaining[#Headers])&lt;='Construction Dashboard'!$F28,IFERROR(VLOOKUP(CostRemaining[[#This Row],[Cost]],Upgrades[],MATCH("C"&amp;CostRemaining[#Headers],Upgrades[#Headers],0),FALSE),0)*MAX(0,SUM('Construction Dashboard'!$G28:L28)),0)</f>
        <v>0</v>
      </c>
      <c r="L24" s="55">
        <f ca="1">IF(VALUE(CostRemaining[#Headers])&lt;='Construction Dashboard'!$F28,IFERROR(VLOOKUP(CostRemaining[[#This Row],[Cost]],Upgrades[],MATCH("C"&amp;CostRemaining[#Headers],Upgrades[#Headers],0),FALSE),0)*MAX(0,SUM('Construction Dashboard'!$G28:M28)),0)</f>
        <v>0</v>
      </c>
      <c r="M24" s="55">
        <f ca="1">IF(VALUE(CostRemaining[#Headers])&lt;='Construction Dashboard'!$F28,IFERROR(VLOOKUP(CostRemaining[[#This Row],[Cost]],Upgrades[],MATCH("C"&amp;CostRemaining[#Headers],Upgrades[#Headers],0),FALSE),0)*MAX(0,SUM('Construction Dashboard'!$G28:N28)),0)</f>
        <v>0</v>
      </c>
      <c r="N24" s="55">
        <f ca="1">IF(VALUE(CostRemaining[#Headers])&lt;='Construction Dashboard'!$F28,IFERROR(VLOOKUP(CostRemaining[[#This Row],[Cost]],Upgrades[],MATCH("C"&amp;CostRemaining[#Headers],Upgrades[#Headers],0),FALSE),0)*MAX(0,SUM('Construction Dashboard'!$G28:O28)),0)</f>
        <v>0</v>
      </c>
      <c r="O24" s="55">
        <f ca="1">IF(VALUE(CostRemaining[#Headers])&lt;='Construction Dashboard'!$F28,IFERROR(VLOOKUP(CostRemaining[[#This Row],[Cost]],Upgrades[],MATCH("C"&amp;CostRemaining[#Headers],Upgrades[#Headers],0),FALSE),0)*MAX(0,SUM('Construction Dashboard'!$G28:P28)),0)</f>
        <v>0</v>
      </c>
      <c r="P24" s="55">
        <f ca="1">IF(VALUE(CostRemaining[#Headers])&lt;='Construction Dashboard'!$F28,IFERROR(VLOOKUP(CostRemaining[[#This Row],[Cost]],Upgrades[],MATCH("C"&amp;CostRemaining[#Headers],Upgrades[#Headers],0),FALSE),0)*MAX(0,SUM('Construction Dashboard'!$G28:Q28)),0)</f>
        <v>0</v>
      </c>
      <c r="Q24" s="55">
        <f ca="1">IF(VALUE(CostRemaining[#Headers])&lt;='Construction Dashboard'!$F28,IFERROR(VLOOKUP(CostRemaining[[#This Row],[Cost]],Upgrades[],MATCH("C"&amp;CostRemaining[#Headers],Upgrades[#Headers],0),FALSE),0)*MAX(0,SUM('Construction Dashboard'!$G28:R28)),0)</f>
        <v>0</v>
      </c>
      <c r="R24" s="55">
        <f ca="1">IF(CostRemaining[[#This Row],[MatchStr]]="IGNORE",0,SUM(CostRemaining[[#This Row],[1]:[12]]))</f>
        <v>0</v>
      </c>
    </row>
    <row r="25" spans="1:27">
      <c r="A25" s="11" t="s">
        <v>16</v>
      </c>
      <c r="B25" s="11" t="str">
        <f>VLOOKUP(CostRemaining[[#This Row],[Cost]],Upgrades[],2,FALSE)</f>
        <v>Building</v>
      </c>
      <c r="C25" s="11" t="str">
        <f>VLOOKUP(CostRemaining[[#This Row],[Cost]],Upgrades[],3,FALSE)</f>
        <v>Gold</v>
      </c>
      <c r="D25" s="131" t="str">
        <f>IF(COUNTIF(Skips,CostRemaining[[#This Row],[Cost]])&gt;0,"IGNORE",CostRemaining[Kind]&amp;"-"&amp;CostRemaining[Resource])</f>
        <v>Building-Gold</v>
      </c>
      <c r="E25" s="54" t="str">
        <f ca="1">IFERROR(VLOOKUP(CostRemaining[[#This Row],[Cost]],Upgrades[],MATCH("C"&amp;MATCH(TRUE,INDEX(CostRemaining[[#This Row],[1]:[12]]&lt;&gt;0,),0),Upgrades[#Headers],0),FALSE),"")</f>
        <v/>
      </c>
      <c r="F25" s="55">
        <f ca="1">IF(VALUE(CostRemaining[#Headers])&lt;='Construction Dashboard'!$F29,IFERROR(VLOOKUP(CostRemaining[[#This Row],[Cost]],Upgrades[],MATCH("C"&amp;CostRemaining[#Headers],Upgrades[#Headers],0),FALSE),0)*MAX(0,SUM('Construction Dashboard'!$G29:G29)),0)</f>
        <v>0</v>
      </c>
      <c r="G25" s="55">
        <f ca="1">IF(VALUE(CostRemaining[#Headers])&lt;='Construction Dashboard'!$F29,IFERROR(VLOOKUP(CostRemaining[[#This Row],[Cost]],Upgrades[],MATCH("C"&amp;CostRemaining[#Headers],Upgrades[#Headers],0),FALSE),0)*MAX(0,SUM('Construction Dashboard'!$G29:H29)),0)</f>
        <v>0</v>
      </c>
      <c r="H25" s="55">
        <f ca="1">IF(VALUE(CostRemaining[#Headers])&lt;='Construction Dashboard'!$F29,IFERROR(VLOOKUP(CostRemaining[[#This Row],[Cost]],Upgrades[],MATCH("C"&amp;CostRemaining[#Headers],Upgrades[#Headers],0),FALSE),0)*MAX(0,SUM('Construction Dashboard'!$G29:I29)),0)</f>
        <v>0</v>
      </c>
      <c r="I25" s="55">
        <f ca="1">IF(VALUE(CostRemaining[#Headers])&lt;='Construction Dashboard'!$F29,IFERROR(VLOOKUP(CostRemaining[[#This Row],[Cost]],Upgrades[],MATCH("C"&amp;CostRemaining[#Headers],Upgrades[#Headers],0),FALSE),0)*MAX(0,SUM('Construction Dashboard'!$G29:J29)),0)</f>
        <v>0</v>
      </c>
      <c r="J25" s="55">
        <f ca="1">IF(VALUE(CostRemaining[#Headers])&lt;='Construction Dashboard'!$F29,IFERROR(VLOOKUP(CostRemaining[[#This Row],[Cost]],Upgrades[],MATCH("C"&amp;CostRemaining[#Headers],Upgrades[#Headers],0),FALSE),0)*MAX(0,SUM('Construction Dashboard'!$G29:K29)),0)</f>
        <v>0</v>
      </c>
      <c r="K25" s="55">
        <f ca="1">IF(VALUE(CostRemaining[#Headers])&lt;='Construction Dashboard'!$F29,IFERROR(VLOOKUP(CostRemaining[[#This Row],[Cost]],Upgrades[],MATCH("C"&amp;CostRemaining[#Headers],Upgrades[#Headers],0),FALSE),0)*MAX(0,SUM('Construction Dashboard'!$G29:L29)),0)</f>
        <v>0</v>
      </c>
      <c r="L25" s="55">
        <f ca="1">IF(VALUE(CostRemaining[#Headers])&lt;='Construction Dashboard'!$F29,IFERROR(VLOOKUP(CostRemaining[[#This Row],[Cost]],Upgrades[],MATCH("C"&amp;CostRemaining[#Headers],Upgrades[#Headers],0),FALSE),0)*MAX(0,SUM('Construction Dashboard'!$G29:M29)),0)</f>
        <v>0</v>
      </c>
      <c r="M25" s="55">
        <f ca="1">IF(VALUE(CostRemaining[#Headers])&lt;='Construction Dashboard'!$F29,IFERROR(VLOOKUP(CostRemaining[[#This Row],[Cost]],Upgrades[],MATCH("C"&amp;CostRemaining[#Headers],Upgrades[#Headers],0),FALSE),0)*MAX(0,SUM('Construction Dashboard'!$G29:N29)),0)</f>
        <v>0</v>
      </c>
      <c r="N25" s="55">
        <f ca="1">IF(VALUE(CostRemaining[#Headers])&lt;='Construction Dashboard'!$F29,IFERROR(VLOOKUP(CostRemaining[[#This Row],[Cost]],Upgrades[],MATCH("C"&amp;CostRemaining[#Headers],Upgrades[#Headers],0),FALSE),0)*MAX(0,SUM('Construction Dashboard'!$G29:O29)),0)</f>
        <v>0</v>
      </c>
      <c r="O25" s="55">
        <f ca="1">IF(VALUE(CostRemaining[#Headers])&lt;='Construction Dashboard'!$F29,IFERROR(VLOOKUP(CostRemaining[[#This Row],[Cost]],Upgrades[],MATCH("C"&amp;CostRemaining[#Headers],Upgrades[#Headers],0),FALSE),0)*MAX(0,SUM('Construction Dashboard'!$G29:P29)),0)</f>
        <v>0</v>
      </c>
      <c r="P25" s="55">
        <f ca="1">IF(VALUE(CostRemaining[#Headers])&lt;='Construction Dashboard'!$F29,IFERROR(VLOOKUP(CostRemaining[[#This Row],[Cost]],Upgrades[],MATCH("C"&amp;CostRemaining[#Headers],Upgrades[#Headers],0),FALSE),0)*MAX(0,SUM('Construction Dashboard'!$G29:Q29)),0)</f>
        <v>0</v>
      </c>
      <c r="Q25" s="55">
        <f ca="1">IF(VALUE(CostRemaining[#Headers])&lt;='Construction Dashboard'!$F29,IFERROR(VLOOKUP(CostRemaining[[#This Row],[Cost]],Upgrades[],MATCH("C"&amp;CostRemaining[#Headers],Upgrades[#Headers],0),FALSE),0)*MAX(0,SUM('Construction Dashboard'!$G29:R29)),0)</f>
        <v>0</v>
      </c>
      <c r="R25" s="55">
        <f ca="1">IF(CostRemaining[[#This Row],[MatchStr]]="IGNORE",0,SUM(CostRemaining[[#This Row],[1]:[12]]))</f>
        <v>0</v>
      </c>
    </row>
    <row r="26" spans="1:27">
      <c r="A26" s="11" t="s">
        <v>17</v>
      </c>
      <c r="B26" s="11" t="str">
        <f>VLOOKUP(CostRemaining[[#This Row],[Cost]],Upgrades[],2,FALSE)</f>
        <v>Building</v>
      </c>
      <c r="C26" s="11" t="str">
        <f>VLOOKUP(CostRemaining[[#This Row],[Cost]],Upgrades[],3,FALSE)</f>
        <v>Elixir</v>
      </c>
      <c r="D26" s="131" t="str">
        <f>IF(COUNTIF(Skips,CostRemaining[[#This Row],[Cost]])&gt;0,"IGNORE",CostRemaining[Kind]&amp;"-"&amp;CostRemaining[Resource])</f>
        <v>Building-Elixir</v>
      </c>
      <c r="E26" s="54" t="str">
        <f ca="1">IFERROR(VLOOKUP(CostRemaining[[#This Row],[Cost]],Upgrades[],MATCH("C"&amp;MATCH(TRUE,INDEX(CostRemaining[[#This Row],[1]:[12]]&lt;&gt;0,),0),Upgrades[#Headers],0),FALSE),"")</f>
        <v/>
      </c>
      <c r="F26" s="55">
        <f ca="1">IF(VALUE(CostRemaining[#Headers])&lt;='Construction Dashboard'!$F30,IFERROR(VLOOKUP(CostRemaining[[#This Row],[Cost]],Upgrades[],MATCH("C"&amp;CostRemaining[#Headers],Upgrades[#Headers],0),FALSE),0)*MAX(0,SUM('Construction Dashboard'!$G30:G30)),0)</f>
        <v>0</v>
      </c>
      <c r="G26" s="55">
        <f ca="1">IF(VALUE(CostRemaining[#Headers])&lt;='Construction Dashboard'!$F30,IFERROR(VLOOKUP(CostRemaining[[#This Row],[Cost]],Upgrades[],MATCH("C"&amp;CostRemaining[#Headers],Upgrades[#Headers],0),FALSE),0)*MAX(0,SUM('Construction Dashboard'!$G30:H30)),0)</f>
        <v>0</v>
      </c>
      <c r="H26" s="55">
        <f ca="1">IF(VALUE(CostRemaining[#Headers])&lt;='Construction Dashboard'!$F30,IFERROR(VLOOKUP(CostRemaining[[#This Row],[Cost]],Upgrades[],MATCH("C"&amp;CostRemaining[#Headers],Upgrades[#Headers],0),FALSE),0)*MAX(0,SUM('Construction Dashboard'!$G30:I30)),0)</f>
        <v>0</v>
      </c>
      <c r="I26" s="55">
        <f ca="1">IF(VALUE(CostRemaining[#Headers])&lt;='Construction Dashboard'!$F30,IFERROR(VLOOKUP(CostRemaining[[#This Row],[Cost]],Upgrades[],MATCH("C"&amp;CostRemaining[#Headers],Upgrades[#Headers],0),FALSE),0)*MAX(0,SUM('Construction Dashboard'!$G30:J30)),0)</f>
        <v>0</v>
      </c>
      <c r="J26" s="55">
        <f ca="1">IF(VALUE(CostRemaining[#Headers])&lt;='Construction Dashboard'!$F30,IFERROR(VLOOKUP(CostRemaining[[#This Row],[Cost]],Upgrades[],MATCH("C"&amp;CostRemaining[#Headers],Upgrades[#Headers],0),FALSE),0)*MAX(0,SUM('Construction Dashboard'!$G30:K30)),0)</f>
        <v>0</v>
      </c>
      <c r="K26" s="55">
        <f ca="1">IF(VALUE(CostRemaining[#Headers])&lt;='Construction Dashboard'!$F30,IFERROR(VLOOKUP(CostRemaining[[#This Row],[Cost]],Upgrades[],MATCH("C"&amp;CostRemaining[#Headers],Upgrades[#Headers],0),FALSE),0)*MAX(0,SUM('Construction Dashboard'!$G30:L30)),0)</f>
        <v>0</v>
      </c>
      <c r="L26" s="55">
        <f ca="1">IF(VALUE(CostRemaining[#Headers])&lt;='Construction Dashboard'!$F30,IFERROR(VLOOKUP(CostRemaining[[#This Row],[Cost]],Upgrades[],MATCH("C"&amp;CostRemaining[#Headers],Upgrades[#Headers],0),FALSE),0)*MAX(0,SUM('Construction Dashboard'!$G30:M30)),0)</f>
        <v>0</v>
      </c>
      <c r="M26" s="55">
        <f ca="1">IF(VALUE(CostRemaining[#Headers])&lt;='Construction Dashboard'!$F30,IFERROR(VLOOKUP(CostRemaining[[#This Row],[Cost]],Upgrades[],MATCH("C"&amp;CostRemaining[#Headers],Upgrades[#Headers],0),FALSE),0)*MAX(0,SUM('Construction Dashboard'!$G30:N30)),0)</f>
        <v>0</v>
      </c>
      <c r="N26" s="55">
        <f ca="1">IF(VALUE(CostRemaining[#Headers])&lt;='Construction Dashboard'!$F30,IFERROR(VLOOKUP(CostRemaining[[#This Row],[Cost]],Upgrades[],MATCH("C"&amp;CostRemaining[#Headers],Upgrades[#Headers],0),FALSE),0)*MAX(0,SUM('Construction Dashboard'!$G30:O30)),0)</f>
        <v>0</v>
      </c>
      <c r="O26" s="55">
        <f ca="1">IF(VALUE(CostRemaining[#Headers])&lt;='Construction Dashboard'!$F30,IFERROR(VLOOKUP(CostRemaining[[#This Row],[Cost]],Upgrades[],MATCH("C"&amp;CostRemaining[#Headers],Upgrades[#Headers],0),FALSE),0)*MAX(0,SUM('Construction Dashboard'!$G30:P30)),0)</f>
        <v>0</v>
      </c>
      <c r="P26" s="55">
        <f ca="1">IF(VALUE(CostRemaining[#Headers])&lt;='Construction Dashboard'!$F30,IFERROR(VLOOKUP(CostRemaining[[#This Row],[Cost]],Upgrades[],MATCH("C"&amp;CostRemaining[#Headers],Upgrades[#Headers],0),FALSE),0)*MAX(0,SUM('Construction Dashboard'!$G30:Q30)),0)</f>
        <v>0</v>
      </c>
      <c r="Q26" s="55">
        <f ca="1">IF(VALUE(CostRemaining[#Headers])&lt;='Construction Dashboard'!$F30,IFERROR(VLOOKUP(CostRemaining[[#This Row],[Cost]],Upgrades[],MATCH("C"&amp;CostRemaining[#Headers],Upgrades[#Headers],0),FALSE),0)*MAX(0,SUM('Construction Dashboard'!$G30:R30)),0)</f>
        <v>0</v>
      </c>
      <c r="R26" s="55">
        <f ca="1">IF(CostRemaining[[#This Row],[MatchStr]]="IGNORE",0,SUM(CostRemaining[[#This Row],[1]:[12]]))</f>
        <v>0</v>
      </c>
    </row>
    <row r="27" spans="1:27">
      <c r="A27" s="11" t="s">
        <v>3</v>
      </c>
      <c r="B27" s="11" t="str">
        <f>VLOOKUP(CostRemaining[[#This Row],[Cost]],Upgrades[],2,FALSE)</f>
        <v>Building</v>
      </c>
      <c r="C27" s="11" t="str">
        <f>VLOOKUP(CostRemaining[[#This Row],[Cost]],Upgrades[],3,FALSE)</f>
        <v>Elixir</v>
      </c>
      <c r="D27" s="131" t="str">
        <f>IF(COUNTIF(Skips,CostRemaining[[#This Row],[Cost]])&gt;0,"IGNORE",CostRemaining[Kind]&amp;"-"&amp;CostRemaining[Resource])</f>
        <v>Building-Elixir</v>
      </c>
      <c r="E27" s="54" t="str">
        <f ca="1">IFERROR(VLOOKUP(CostRemaining[[#This Row],[Cost]],Upgrades[],MATCH("C"&amp;MATCH(TRUE,INDEX(CostRemaining[[#This Row],[1]:[12]]&lt;&gt;0,),0),Upgrades[#Headers],0),FALSE),"")</f>
        <v/>
      </c>
      <c r="F27" s="55">
        <f ca="1">IF(VALUE(CostRemaining[#Headers])&lt;='Construction Dashboard'!$F31,IFERROR(VLOOKUP(CostRemaining[[#This Row],[Cost]],Upgrades[],MATCH("C"&amp;CostRemaining[#Headers],Upgrades[#Headers],0),FALSE),0)*MAX(0,SUM('Construction Dashboard'!$G31:G31)),0)</f>
        <v>0</v>
      </c>
      <c r="G27" s="55">
        <f ca="1">IF(VALUE(CostRemaining[#Headers])&lt;='Construction Dashboard'!$F31,IFERROR(VLOOKUP(CostRemaining[[#This Row],[Cost]],Upgrades[],MATCH("C"&amp;CostRemaining[#Headers],Upgrades[#Headers],0),FALSE),0)*MAX(0,SUM('Construction Dashboard'!$G31:H31)),0)</f>
        <v>0</v>
      </c>
      <c r="H27" s="55">
        <f ca="1">IF(VALUE(CostRemaining[#Headers])&lt;='Construction Dashboard'!$F31,IFERROR(VLOOKUP(CostRemaining[[#This Row],[Cost]],Upgrades[],MATCH("C"&amp;CostRemaining[#Headers],Upgrades[#Headers],0),FALSE),0)*MAX(0,SUM('Construction Dashboard'!$G31:I31)),0)</f>
        <v>0</v>
      </c>
      <c r="I27" s="55">
        <f ca="1">IF(VALUE(CostRemaining[#Headers])&lt;='Construction Dashboard'!$F31,IFERROR(VLOOKUP(CostRemaining[[#This Row],[Cost]],Upgrades[],MATCH("C"&amp;CostRemaining[#Headers],Upgrades[#Headers],0),FALSE),0)*MAX(0,SUM('Construction Dashboard'!$G31:J31)),0)</f>
        <v>0</v>
      </c>
      <c r="J27" s="55">
        <f ca="1">IF(VALUE(CostRemaining[#Headers])&lt;='Construction Dashboard'!$F31,IFERROR(VLOOKUP(CostRemaining[[#This Row],[Cost]],Upgrades[],MATCH("C"&amp;CostRemaining[#Headers],Upgrades[#Headers],0),FALSE),0)*MAX(0,SUM('Construction Dashboard'!$G31:K31)),0)</f>
        <v>0</v>
      </c>
      <c r="K27" s="55">
        <f ca="1">IF(VALUE(CostRemaining[#Headers])&lt;='Construction Dashboard'!$F31,IFERROR(VLOOKUP(CostRemaining[[#This Row],[Cost]],Upgrades[],MATCH("C"&amp;CostRemaining[#Headers],Upgrades[#Headers],0),FALSE),0)*MAX(0,SUM('Construction Dashboard'!$G31:L31)),0)</f>
        <v>0</v>
      </c>
      <c r="L27" s="55">
        <f ca="1">IF(VALUE(CostRemaining[#Headers])&lt;='Construction Dashboard'!$F31,IFERROR(VLOOKUP(CostRemaining[[#This Row],[Cost]],Upgrades[],MATCH("C"&amp;CostRemaining[#Headers],Upgrades[#Headers],0),FALSE),0)*MAX(0,SUM('Construction Dashboard'!$G31:M31)),0)</f>
        <v>0</v>
      </c>
      <c r="M27" s="55">
        <f ca="1">IF(VALUE(CostRemaining[#Headers])&lt;='Construction Dashboard'!$F31,IFERROR(VLOOKUP(CostRemaining[[#This Row],[Cost]],Upgrades[],MATCH("C"&amp;CostRemaining[#Headers],Upgrades[#Headers],0),FALSE),0)*MAX(0,SUM('Construction Dashboard'!$G31:N31)),0)</f>
        <v>0</v>
      </c>
      <c r="N27" s="55">
        <f ca="1">IF(VALUE(CostRemaining[#Headers])&lt;='Construction Dashboard'!$F31,IFERROR(VLOOKUP(CostRemaining[[#This Row],[Cost]],Upgrades[],MATCH("C"&amp;CostRemaining[#Headers],Upgrades[#Headers],0),FALSE),0)*MAX(0,SUM('Construction Dashboard'!$G31:O31)),0)</f>
        <v>0</v>
      </c>
      <c r="O27" s="55">
        <f ca="1">IF(VALUE(CostRemaining[#Headers])&lt;='Construction Dashboard'!$F31,IFERROR(VLOOKUP(CostRemaining[[#This Row],[Cost]],Upgrades[],MATCH("C"&amp;CostRemaining[#Headers],Upgrades[#Headers],0),FALSE),0)*MAX(0,SUM('Construction Dashboard'!$G31:P31)),0)</f>
        <v>0</v>
      </c>
      <c r="P27" s="55">
        <f ca="1">IF(VALUE(CostRemaining[#Headers])&lt;='Construction Dashboard'!$F31,IFERROR(VLOOKUP(CostRemaining[[#This Row],[Cost]],Upgrades[],MATCH("C"&amp;CostRemaining[#Headers],Upgrades[#Headers],0),FALSE),0)*MAX(0,SUM('Construction Dashboard'!$G31:Q31)),0)</f>
        <v>0</v>
      </c>
      <c r="Q27" s="55">
        <f ca="1">IF(VALUE(CostRemaining[#Headers])&lt;='Construction Dashboard'!$F31,IFERROR(VLOOKUP(CostRemaining[[#This Row],[Cost]],Upgrades[],MATCH("C"&amp;CostRemaining[#Headers],Upgrades[#Headers],0),FALSE),0)*MAX(0,SUM('Construction Dashboard'!$G31:R31)),0)</f>
        <v>0</v>
      </c>
      <c r="R27" s="55">
        <f ca="1">IF(CostRemaining[[#This Row],[MatchStr]]="IGNORE",0,SUM(CostRemaining[[#This Row],[1]:[12]]))</f>
        <v>0</v>
      </c>
    </row>
    <row r="28" spans="1:27">
      <c r="A28" s="11" t="s">
        <v>4</v>
      </c>
      <c r="B28" s="11" t="str">
        <f>VLOOKUP(CostRemaining[[#This Row],[Cost]],Upgrades[],2,FALSE)</f>
        <v>Building</v>
      </c>
      <c r="C28" s="11" t="str">
        <f>VLOOKUP(CostRemaining[[#This Row],[Cost]],Upgrades[],3,FALSE)</f>
        <v>Gold</v>
      </c>
      <c r="D28" s="131" t="str">
        <f>IF(COUNTIF(Skips,CostRemaining[[#This Row],[Cost]])&gt;0,"IGNORE",CostRemaining[Kind]&amp;"-"&amp;CostRemaining[Resource])</f>
        <v>Building-Gold</v>
      </c>
      <c r="E28" s="54" t="str">
        <f ca="1">IFERROR(VLOOKUP(CostRemaining[[#This Row],[Cost]],Upgrades[],MATCH("C"&amp;MATCH(TRUE,INDEX(CostRemaining[[#This Row],[1]:[12]]&lt;&gt;0,),0),Upgrades[#Headers],0),FALSE),"")</f>
        <v/>
      </c>
      <c r="F28" s="55">
        <f ca="1">IF(VALUE(CostRemaining[#Headers])&lt;='Construction Dashboard'!$F32,IFERROR(VLOOKUP(CostRemaining[[#This Row],[Cost]],Upgrades[],MATCH("C"&amp;CostRemaining[#Headers],Upgrades[#Headers],0),FALSE),0)*MAX(0,SUM('Construction Dashboard'!$G32:G32)),0)</f>
        <v>0</v>
      </c>
      <c r="G28" s="55">
        <f ca="1">IF(VALUE(CostRemaining[#Headers])&lt;='Construction Dashboard'!$F32,IFERROR(VLOOKUP(CostRemaining[[#This Row],[Cost]],Upgrades[],MATCH("C"&amp;CostRemaining[#Headers],Upgrades[#Headers],0),FALSE),0)*MAX(0,SUM('Construction Dashboard'!$G32:H32)),0)</f>
        <v>0</v>
      </c>
      <c r="H28" s="55">
        <f ca="1">IF(VALUE(CostRemaining[#Headers])&lt;='Construction Dashboard'!$F32,IFERROR(VLOOKUP(CostRemaining[[#This Row],[Cost]],Upgrades[],MATCH("C"&amp;CostRemaining[#Headers],Upgrades[#Headers],0),FALSE),0)*MAX(0,SUM('Construction Dashboard'!$G32:I32)),0)</f>
        <v>0</v>
      </c>
      <c r="I28" s="55">
        <f ca="1">IF(VALUE(CostRemaining[#Headers])&lt;='Construction Dashboard'!$F32,IFERROR(VLOOKUP(CostRemaining[[#This Row],[Cost]],Upgrades[],MATCH("C"&amp;CostRemaining[#Headers],Upgrades[#Headers],0),FALSE),0)*MAX(0,SUM('Construction Dashboard'!$G32:J32)),0)</f>
        <v>0</v>
      </c>
      <c r="J28" s="55">
        <f ca="1">IF(VALUE(CostRemaining[#Headers])&lt;='Construction Dashboard'!$F32,IFERROR(VLOOKUP(CostRemaining[[#This Row],[Cost]],Upgrades[],MATCH("C"&amp;CostRemaining[#Headers],Upgrades[#Headers],0),FALSE),0)*MAX(0,SUM('Construction Dashboard'!$G32:K32)),0)</f>
        <v>0</v>
      </c>
      <c r="K28" s="55">
        <f ca="1">IF(VALUE(CostRemaining[#Headers])&lt;='Construction Dashboard'!$F32,IFERROR(VLOOKUP(CostRemaining[[#This Row],[Cost]],Upgrades[],MATCH("C"&amp;CostRemaining[#Headers],Upgrades[#Headers],0),FALSE),0)*MAX(0,SUM('Construction Dashboard'!$G32:L32)),0)</f>
        <v>0</v>
      </c>
      <c r="L28" s="55">
        <f ca="1">IF(VALUE(CostRemaining[#Headers])&lt;='Construction Dashboard'!$F32,IFERROR(VLOOKUP(CostRemaining[[#This Row],[Cost]],Upgrades[],MATCH("C"&amp;CostRemaining[#Headers],Upgrades[#Headers],0),FALSE),0)*MAX(0,SUM('Construction Dashboard'!$G32:M32)),0)</f>
        <v>0</v>
      </c>
      <c r="M28" s="55">
        <f ca="1">IF(VALUE(CostRemaining[#Headers])&lt;='Construction Dashboard'!$F32,IFERROR(VLOOKUP(CostRemaining[[#This Row],[Cost]],Upgrades[],MATCH("C"&amp;CostRemaining[#Headers],Upgrades[#Headers],0),FALSE),0)*MAX(0,SUM('Construction Dashboard'!$G32:N32)),0)</f>
        <v>0</v>
      </c>
      <c r="N28" s="55">
        <f ca="1">IF(VALUE(CostRemaining[#Headers])&lt;='Construction Dashboard'!$F32,IFERROR(VLOOKUP(CostRemaining[[#This Row],[Cost]],Upgrades[],MATCH("C"&amp;CostRemaining[#Headers],Upgrades[#Headers],0),FALSE),0)*MAX(0,SUM('Construction Dashboard'!$G32:O32)),0)</f>
        <v>0</v>
      </c>
      <c r="O28" s="55">
        <f ca="1">IF(VALUE(CostRemaining[#Headers])&lt;='Construction Dashboard'!$F32,IFERROR(VLOOKUP(CostRemaining[[#This Row],[Cost]],Upgrades[],MATCH("C"&amp;CostRemaining[#Headers],Upgrades[#Headers],0),FALSE),0)*MAX(0,SUM('Construction Dashboard'!$G32:P32)),0)</f>
        <v>0</v>
      </c>
      <c r="P28" s="55">
        <f ca="1">IF(VALUE(CostRemaining[#Headers])&lt;='Construction Dashboard'!$F32,IFERROR(VLOOKUP(CostRemaining[[#This Row],[Cost]],Upgrades[],MATCH("C"&amp;CostRemaining[#Headers],Upgrades[#Headers],0),FALSE),0)*MAX(0,SUM('Construction Dashboard'!$G32:Q32)),0)</f>
        <v>0</v>
      </c>
      <c r="Q28" s="55">
        <f ca="1">IF(VALUE(CostRemaining[#Headers])&lt;='Construction Dashboard'!$F32,IFERROR(VLOOKUP(CostRemaining[[#This Row],[Cost]],Upgrades[],MATCH("C"&amp;CostRemaining[#Headers],Upgrades[#Headers],0),FALSE),0)*MAX(0,SUM('Construction Dashboard'!$G32:R32)),0)</f>
        <v>0</v>
      </c>
      <c r="R28" s="55">
        <f ca="1">IF(CostRemaining[[#This Row],[MatchStr]]="IGNORE",0,SUM(CostRemaining[[#This Row],[1]:[12]]))</f>
        <v>0</v>
      </c>
    </row>
    <row r="29" spans="1:27">
      <c r="A29" s="11" t="s">
        <v>18</v>
      </c>
      <c r="B29" s="11" t="str">
        <f>VLOOKUP(CostRemaining[[#This Row],[Cost]],Upgrades[],2,FALSE)</f>
        <v>Building</v>
      </c>
      <c r="C29" s="11" t="str">
        <f>VLOOKUP(CostRemaining[[#This Row],[Cost]],Upgrades[],3,FALSE)</f>
        <v>Elixir</v>
      </c>
      <c r="D29" s="131" t="str">
        <f>IF(COUNTIF(Skips,CostRemaining[[#This Row],[Cost]])&gt;0,"IGNORE",CostRemaining[Kind]&amp;"-"&amp;CostRemaining[Resource])</f>
        <v>IGNORE</v>
      </c>
      <c r="E29" s="54">
        <f ca="1">IFERROR(VLOOKUP(CostRemaining[[#This Row],[Cost]],Upgrades[],MATCH("C"&amp;MATCH(TRUE,INDEX(CostRemaining[[#This Row],[1]:[12]]&lt;&gt;0,),0),Upgrades[#Headers],0),FALSE),"")</f>
        <v>1200000</v>
      </c>
      <c r="F29" s="55">
        <f ca="1">IF(VALUE(CostRemaining[#Headers])&lt;='Construction Dashboard'!$F33,IFERROR(VLOOKUP(CostRemaining[[#This Row],[Cost]],Upgrades[],MATCH("C"&amp;CostRemaining[#Headers],Upgrades[#Headers],0),FALSE),0)*MAX(0,SUM('Construction Dashboard'!$G33:G33)),0)</f>
        <v>0</v>
      </c>
      <c r="G29" s="55">
        <f ca="1">IF(VALUE(CostRemaining[#Headers])&lt;='Construction Dashboard'!$F33,IFERROR(VLOOKUP(CostRemaining[[#This Row],[Cost]],Upgrades[],MATCH("C"&amp;CostRemaining[#Headers],Upgrades[#Headers],0),FALSE),0)*MAX(0,SUM('Construction Dashboard'!$G33:H33)),0)</f>
        <v>1200000</v>
      </c>
      <c r="H29" s="55">
        <f ca="1">IF(VALUE(CostRemaining[#Headers])&lt;='Construction Dashboard'!$F33,IFERROR(VLOOKUP(CostRemaining[[#This Row],[Cost]],Upgrades[],MATCH("C"&amp;CostRemaining[#Headers],Upgrades[#Headers],0),FALSE),0)*MAX(0,SUM('Construction Dashboard'!$G33:I33)),0)</f>
        <v>0</v>
      </c>
      <c r="I29" s="55">
        <f ca="1">IF(VALUE(CostRemaining[#Headers])&lt;='Construction Dashboard'!$F33,IFERROR(VLOOKUP(CostRemaining[[#This Row],[Cost]],Upgrades[],MATCH("C"&amp;CostRemaining[#Headers],Upgrades[#Headers],0),FALSE),0)*MAX(0,SUM('Construction Dashboard'!$G33:J33)),0)</f>
        <v>0</v>
      </c>
      <c r="J29" s="55">
        <f ca="1">IF(VALUE(CostRemaining[#Headers])&lt;='Construction Dashboard'!$F33,IFERROR(VLOOKUP(CostRemaining[[#This Row],[Cost]],Upgrades[],MATCH("C"&amp;CostRemaining[#Headers],Upgrades[#Headers],0),FALSE),0)*MAX(0,SUM('Construction Dashboard'!$G33:K33)),0)</f>
        <v>0</v>
      </c>
      <c r="K29" s="55">
        <f ca="1">IF(VALUE(CostRemaining[#Headers])&lt;='Construction Dashboard'!$F33,IFERROR(VLOOKUP(CostRemaining[[#This Row],[Cost]],Upgrades[],MATCH("C"&amp;CostRemaining[#Headers],Upgrades[#Headers],0),FALSE),0)*MAX(0,SUM('Construction Dashboard'!$G33:L33)),0)</f>
        <v>0</v>
      </c>
      <c r="L29" s="55">
        <f ca="1">IF(VALUE(CostRemaining[#Headers])&lt;='Construction Dashboard'!$F33,IFERROR(VLOOKUP(CostRemaining[[#This Row],[Cost]],Upgrades[],MATCH("C"&amp;CostRemaining[#Headers],Upgrades[#Headers],0),FALSE),0)*MAX(0,SUM('Construction Dashboard'!$G33:M33)),0)</f>
        <v>0</v>
      </c>
      <c r="M29" s="55">
        <f ca="1">IF(VALUE(CostRemaining[#Headers])&lt;='Construction Dashboard'!$F33,IFERROR(VLOOKUP(CostRemaining[[#This Row],[Cost]],Upgrades[],MATCH("C"&amp;CostRemaining[#Headers],Upgrades[#Headers],0),FALSE),0)*MAX(0,SUM('Construction Dashboard'!$G33:N33)),0)</f>
        <v>0</v>
      </c>
      <c r="N29" s="55">
        <f ca="1">IF(VALUE(CostRemaining[#Headers])&lt;='Construction Dashboard'!$F33,IFERROR(VLOOKUP(CostRemaining[[#This Row],[Cost]],Upgrades[],MATCH("C"&amp;CostRemaining[#Headers],Upgrades[#Headers],0),FALSE),0)*MAX(0,SUM('Construction Dashboard'!$G33:O33)),0)</f>
        <v>0</v>
      </c>
      <c r="O29" s="55">
        <f ca="1">IF(VALUE(CostRemaining[#Headers])&lt;='Construction Dashboard'!$F33,IFERROR(VLOOKUP(CostRemaining[[#This Row],[Cost]],Upgrades[],MATCH("C"&amp;CostRemaining[#Headers],Upgrades[#Headers],0),FALSE),0)*MAX(0,SUM('Construction Dashboard'!$G33:P33)),0)</f>
        <v>0</v>
      </c>
      <c r="P29" s="55">
        <f ca="1">IF(VALUE(CostRemaining[#Headers])&lt;='Construction Dashboard'!$F33,IFERROR(VLOOKUP(CostRemaining[[#This Row],[Cost]],Upgrades[],MATCH("C"&amp;CostRemaining[#Headers],Upgrades[#Headers],0),FALSE),0)*MAX(0,SUM('Construction Dashboard'!$G33:Q33)),0)</f>
        <v>0</v>
      </c>
      <c r="Q29" s="55">
        <f ca="1">IF(VALUE(CostRemaining[#Headers])&lt;='Construction Dashboard'!$F33,IFERROR(VLOOKUP(CostRemaining[[#This Row],[Cost]],Upgrades[],MATCH("C"&amp;CostRemaining[#Headers],Upgrades[#Headers],0),FALSE),0)*MAX(0,SUM('Construction Dashboard'!$G33:R33)),0)</f>
        <v>0</v>
      </c>
      <c r="R29" s="55">
        <f>IF(CostRemaining[[#This Row],[MatchStr]]="IGNORE",0,SUM(CostRemaining[[#This Row],[1]:[12]]))</f>
        <v>0</v>
      </c>
    </row>
    <row r="30" spans="1:27">
      <c r="A30" s="11" t="s">
        <v>19</v>
      </c>
      <c r="B30" s="11" t="str">
        <f>VLOOKUP(CostRemaining[[#This Row],[Cost]],Upgrades[],2,FALSE)</f>
        <v>Building</v>
      </c>
      <c r="C30" s="11" t="str">
        <f>VLOOKUP(CostRemaining[[#This Row],[Cost]],Upgrades[],3,FALSE)</f>
        <v>Elixir</v>
      </c>
      <c r="D30" s="131" t="str">
        <f>IF(COUNTIF(Skips,CostRemaining[[#This Row],[Cost]])&gt;0,"IGNORE",CostRemaining[Kind]&amp;"-"&amp;CostRemaining[Resource])</f>
        <v>Building-Elixir</v>
      </c>
      <c r="E30" s="54">
        <f ca="1">IFERROR(VLOOKUP(CostRemaining[[#This Row],[Cost]],Upgrades[],MATCH("C"&amp;MATCH(TRUE,INDEX(CostRemaining[[#This Row],[1]:[12]]&lt;&gt;0,),0),Upgrades[#Headers],0),FALSE),"")</f>
        <v>1250000</v>
      </c>
      <c r="F30" s="55">
        <f ca="1">IF(VALUE(CostRemaining[#Headers])&lt;='Construction Dashboard'!$F34,IFERROR(VLOOKUP(CostRemaining[[#This Row],[Cost]],Upgrades[],MATCH("C"&amp;CostRemaining[#Headers],Upgrades[#Headers],0),FALSE),0)*MAX(0,SUM('Construction Dashboard'!$G34:G34)),0)</f>
        <v>0</v>
      </c>
      <c r="G30" s="55">
        <f ca="1">IF(VALUE(CostRemaining[#Headers])&lt;='Construction Dashboard'!$F34,IFERROR(VLOOKUP(CostRemaining[[#This Row],[Cost]],Upgrades[],MATCH("C"&amp;CostRemaining[#Headers],Upgrades[#Headers],0),FALSE),0)*MAX(0,SUM('Construction Dashboard'!$G34:H34)),0)</f>
        <v>1250000</v>
      </c>
      <c r="H30" s="55">
        <f ca="1">IF(VALUE(CostRemaining[#Headers])&lt;='Construction Dashboard'!$F34,IFERROR(VLOOKUP(CostRemaining[[#This Row],[Cost]],Upgrades[],MATCH("C"&amp;CostRemaining[#Headers],Upgrades[#Headers],0),FALSE),0)*MAX(0,SUM('Construction Dashboard'!$G34:I34)),0)</f>
        <v>0</v>
      </c>
      <c r="I30" s="55">
        <f ca="1">IF(VALUE(CostRemaining[#Headers])&lt;='Construction Dashboard'!$F34,IFERROR(VLOOKUP(CostRemaining[[#This Row],[Cost]],Upgrades[],MATCH("C"&amp;CostRemaining[#Headers],Upgrades[#Headers],0),FALSE),0)*MAX(0,SUM('Construction Dashboard'!$G34:J34)),0)</f>
        <v>0</v>
      </c>
      <c r="J30" s="55">
        <f ca="1">IF(VALUE(CostRemaining[#Headers])&lt;='Construction Dashboard'!$F34,IFERROR(VLOOKUP(CostRemaining[[#This Row],[Cost]],Upgrades[],MATCH("C"&amp;CostRemaining[#Headers],Upgrades[#Headers],0),FALSE),0)*MAX(0,SUM('Construction Dashboard'!$G34:K34)),0)</f>
        <v>0</v>
      </c>
      <c r="K30" s="55">
        <f ca="1">IF(VALUE(CostRemaining[#Headers])&lt;='Construction Dashboard'!$F34,IFERROR(VLOOKUP(CostRemaining[[#This Row],[Cost]],Upgrades[],MATCH("C"&amp;CostRemaining[#Headers],Upgrades[#Headers],0),FALSE),0)*MAX(0,SUM('Construction Dashboard'!$G34:L34)),0)</f>
        <v>0</v>
      </c>
      <c r="L30" s="55">
        <f ca="1">IF(VALUE(CostRemaining[#Headers])&lt;='Construction Dashboard'!$F34,IFERROR(VLOOKUP(CostRemaining[[#This Row],[Cost]],Upgrades[],MATCH("C"&amp;CostRemaining[#Headers],Upgrades[#Headers],0),FALSE),0)*MAX(0,SUM('Construction Dashboard'!$G34:M34)),0)</f>
        <v>0</v>
      </c>
      <c r="M30" s="55">
        <f ca="1">IF(VALUE(CostRemaining[#Headers])&lt;='Construction Dashboard'!$F34,IFERROR(VLOOKUP(CostRemaining[[#This Row],[Cost]],Upgrades[],MATCH("C"&amp;CostRemaining[#Headers],Upgrades[#Headers],0),FALSE),0)*MAX(0,SUM('Construction Dashboard'!$G34:N34)),0)</f>
        <v>0</v>
      </c>
      <c r="N30" s="55">
        <f ca="1">IF(VALUE(CostRemaining[#Headers])&lt;='Construction Dashboard'!$F34,IFERROR(VLOOKUP(CostRemaining[[#This Row],[Cost]],Upgrades[],MATCH("C"&amp;CostRemaining[#Headers],Upgrades[#Headers],0),FALSE),0)*MAX(0,SUM('Construction Dashboard'!$G34:O34)),0)</f>
        <v>0</v>
      </c>
      <c r="O30" s="55">
        <f ca="1">IF(VALUE(CostRemaining[#Headers])&lt;='Construction Dashboard'!$F34,IFERROR(VLOOKUP(CostRemaining[[#This Row],[Cost]],Upgrades[],MATCH("C"&amp;CostRemaining[#Headers],Upgrades[#Headers],0),FALSE),0)*MAX(0,SUM('Construction Dashboard'!$G34:P34)),0)</f>
        <v>0</v>
      </c>
      <c r="P30" s="55">
        <f ca="1">IF(VALUE(CostRemaining[#Headers])&lt;='Construction Dashboard'!$F34,IFERROR(VLOOKUP(CostRemaining[[#This Row],[Cost]],Upgrades[],MATCH("C"&amp;CostRemaining[#Headers],Upgrades[#Headers],0),FALSE),0)*MAX(0,SUM('Construction Dashboard'!$G34:Q34)),0)</f>
        <v>0</v>
      </c>
      <c r="Q30" s="55">
        <f ca="1">IF(VALUE(CostRemaining[#Headers])&lt;='Construction Dashboard'!$F34,IFERROR(VLOOKUP(CostRemaining[[#This Row],[Cost]],Upgrades[],MATCH("C"&amp;CostRemaining[#Headers],Upgrades[#Headers],0),FALSE),0)*MAX(0,SUM('Construction Dashboard'!$G34:R34)),0)</f>
        <v>0</v>
      </c>
      <c r="R30" s="55">
        <f ca="1">IF(CostRemaining[[#This Row],[MatchStr]]="IGNORE",0,SUM(CostRemaining[[#This Row],[1]:[12]]))</f>
        <v>1250000</v>
      </c>
    </row>
    <row r="31" spans="1:27">
      <c r="A31" s="11" t="s">
        <v>21</v>
      </c>
      <c r="B31" s="11" t="str">
        <f>VLOOKUP(CostRemaining[[#This Row],[Cost]],Upgrades[],2,FALSE)</f>
        <v>Building</v>
      </c>
      <c r="C31" s="11" t="str">
        <f>VLOOKUP(CostRemaining[[#This Row],[Cost]],Upgrades[],3,FALSE)</f>
        <v>Elixir</v>
      </c>
      <c r="D31" s="131" t="str">
        <f>IF(COUNTIF(Skips,CostRemaining[[#This Row],[Cost]])&gt;0,"IGNORE",CostRemaining[Kind]&amp;"-"&amp;CostRemaining[Resource])</f>
        <v>Building-Elixir</v>
      </c>
      <c r="E31" s="54" t="str">
        <f ca="1">IFERROR(VLOOKUP(CostRemaining[[#This Row],[Cost]],Upgrades[],MATCH("C"&amp;MATCH(TRUE,INDEX(CostRemaining[[#This Row],[1]:[12]]&lt;&gt;0,),0),Upgrades[#Headers],0),FALSE),"")</f>
        <v/>
      </c>
      <c r="F31" s="55">
        <f ca="1">IF(VALUE(CostRemaining[#Headers])&lt;='Construction Dashboard'!$F35,IFERROR(VLOOKUP(CostRemaining[[#This Row],[Cost]],Upgrades[],MATCH("C"&amp;CostRemaining[#Headers],Upgrades[#Headers],0),FALSE),0)*MAX(0,SUM('Construction Dashboard'!$G35:G35)),0)</f>
        <v>0</v>
      </c>
      <c r="G31" s="55">
        <f ca="1">IF(VALUE(CostRemaining[#Headers])&lt;='Construction Dashboard'!$F35,IFERROR(VLOOKUP(CostRemaining[[#This Row],[Cost]],Upgrades[],MATCH("C"&amp;CostRemaining[#Headers],Upgrades[#Headers],0),FALSE),0)*MAX(0,SUM('Construction Dashboard'!$G35:H35)),0)</f>
        <v>0</v>
      </c>
      <c r="H31" s="55">
        <f ca="1">IF(VALUE(CostRemaining[#Headers])&lt;='Construction Dashboard'!$F35,IFERROR(VLOOKUP(CostRemaining[[#This Row],[Cost]],Upgrades[],MATCH("C"&amp;CostRemaining[#Headers],Upgrades[#Headers],0),FALSE),0)*MAX(0,SUM('Construction Dashboard'!$G35:I35)),0)</f>
        <v>0</v>
      </c>
      <c r="I31" s="55">
        <f ca="1">IF(VALUE(CostRemaining[#Headers])&lt;='Construction Dashboard'!$F35,IFERROR(VLOOKUP(CostRemaining[[#This Row],[Cost]],Upgrades[],MATCH("C"&amp;CostRemaining[#Headers],Upgrades[#Headers],0),FALSE),0)*MAX(0,SUM('Construction Dashboard'!$G35:J35)),0)</f>
        <v>0</v>
      </c>
      <c r="J31" s="55">
        <f ca="1">IF(VALUE(CostRemaining[#Headers])&lt;='Construction Dashboard'!$F35,IFERROR(VLOOKUP(CostRemaining[[#This Row],[Cost]],Upgrades[],MATCH("C"&amp;CostRemaining[#Headers],Upgrades[#Headers],0),FALSE),0)*MAX(0,SUM('Construction Dashboard'!$G35:K35)),0)</f>
        <v>0</v>
      </c>
      <c r="K31" s="55">
        <f ca="1">IF(VALUE(CostRemaining[#Headers])&lt;='Construction Dashboard'!$F35,IFERROR(VLOOKUP(CostRemaining[[#This Row],[Cost]],Upgrades[],MATCH("C"&amp;CostRemaining[#Headers],Upgrades[#Headers],0),FALSE),0)*MAX(0,SUM('Construction Dashboard'!$G35:L35)),0)</f>
        <v>0</v>
      </c>
      <c r="L31" s="55">
        <f ca="1">IF(VALUE(CostRemaining[#Headers])&lt;='Construction Dashboard'!$F35,IFERROR(VLOOKUP(CostRemaining[[#This Row],[Cost]],Upgrades[],MATCH("C"&amp;CostRemaining[#Headers],Upgrades[#Headers],0),FALSE),0)*MAX(0,SUM('Construction Dashboard'!$G35:M35)),0)</f>
        <v>0</v>
      </c>
      <c r="M31" s="55">
        <f ca="1">IF(VALUE(CostRemaining[#Headers])&lt;='Construction Dashboard'!$F35,IFERROR(VLOOKUP(CostRemaining[[#This Row],[Cost]],Upgrades[],MATCH("C"&amp;CostRemaining[#Headers],Upgrades[#Headers],0),FALSE),0)*MAX(0,SUM('Construction Dashboard'!$G35:N35)),0)</f>
        <v>0</v>
      </c>
      <c r="N31" s="55">
        <f ca="1">IF(VALUE(CostRemaining[#Headers])&lt;='Construction Dashboard'!$F35,IFERROR(VLOOKUP(CostRemaining[[#This Row],[Cost]],Upgrades[],MATCH("C"&amp;CostRemaining[#Headers],Upgrades[#Headers],0),FALSE),0)*MAX(0,SUM('Construction Dashboard'!$G35:O35)),0)</f>
        <v>0</v>
      </c>
      <c r="O31" s="55">
        <f ca="1">IF(VALUE(CostRemaining[#Headers])&lt;='Construction Dashboard'!$F35,IFERROR(VLOOKUP(CostRemaining[[#This Row],[Cost]],Upgrades[],MATCH("C"&amp;CostRemaining[#Headers],Upgrades[#Headers],0),FALSE),0)*MAX(0,SUM('Construction Dashboard'!$G35:P35)),0)</f>
        <v>0</v>
      </c>
      <c r="P31" s="55">
        <f ca="1">IF(VALUE(CostRemaining[#Headers])&lt;='Construction Dashboard'!$F35,IFERROR(VLOOKUP(CostRemaining[[#This Row],[Cost]],Upgrades[],MATCH("C"&amp;CostRemaining[#Headers],Upgrades[#Headers],0),FALSE),0)*MAX(0,SUM('Construction Dashboard'!$G35:Q35)),0)</f>
        <v>0</v>
      </c>
      <c r="Q31" s="55">
        <f ca="1">IF(VALUE(CostRemaining[#Headers])&lt;='Construction Dashboard'!$F35,IFERROR(VLOOKUP(CostRemaining[[#This Row],[Cost]],Upgrades[],MATCH("C"&amp;CostRemaining[#Headers],Upgrades[#Headers],0),FALSE),0)*MAX(0,SUM('Construction Dashboard'!$G35:R35)),0)</f>
        <v>0</v>
      </c>
      <c r="R31" s="55">
        <f ca="1">IF(CostRemaining[[#This Row],[MatchStr]]="IGNORE",0,SUM(CostRemaining[[#This Row],[1]:[12]]))</f>
        <v>0</v>
      </c>
    </row>
    <row r="32" spans="1:27">
      <c r="A32" s="11" t="s">
        <v>5</v>
      </c>
      <c r="B32" s="11" t="str">
        <f>VLOOKUP(CostRemaining[[#This Row],[Cost]],Upgrades[],2,FALSE)</f>
        <v>Building</v>
      </c>
      <c r="C32" s="11" t="str">
        <f>VLOOKUP(CostRemaining[[#This Row],[Cost]],Upgrades[],3,FALSE)</f>
        <v>Gold</v>
      </c>
      <c r="D32" s="131" t="str">
        <f>IF(COUNTIF(Skips,CostRemaining[[#This Row],[Cost]])&gt;0,"IGNORE",CostRemaining[Kind]&amp;"-"&amp;CostRemaining[Resource])</f>
        <v>Building-Gold</v>
      </c>
      <c r="E32" s="54" t="str">
        <f ca="1">IFERROR(VLOOKUP(CostRemaining[[#This Row],[Cost]],Upgrades[],MATCH("C"&amp;MATCH(TRUE,INDEX(CostRemaining[[#This Row],[1]:[12]]&lt;&gt;0,),0),Upgrades[#Headers],0),FALSE),"")</f>
        <v/>
      </c>
      <c r="F32" s="55">
        <f ca="1">IF(VALUE(CostRemaining[#Headers])&lt;='Construction Dashboard'!$F36,IFERROR(VLOOKUP(CostRemaining[[#This Row],[Cost]],Upgrades[],MATCH("C"&amp;CostRemaining[#Headers],Upgrades[#Headers],0),FALSE),0)*MAX(0,SUM('Construction Dashboard'!$G36:G36)),0)</f>
        <v>0</v>
      </c>
      <c r="G32" s="55">
        <f ca="1">IF(VALUE(CostRemaining[#Headers])&lt;='Construction Dashboard'!$F36,IFERROR(VLOOKUP(CostRemaining[[#This Row],[Cost]],Upgrades[],MATCH("C"&amp;CostRemaining[#Headers],Upgrades[#Headers],0),FALSE),0)*MAX(0,SUM('Construction Dashboard'!$G36:H36)),0)</f>
        <v>0</v>
      </c>
      <c r="H32" s="55">
        <f ca="1">IF(VALUE(CostRemaining[#Headers])&lt;='Construction Dashboard'!$F36,IFERROR(VLOOKUP(CostRemaining[[#This Row],[Cost]],Upgrades[],MATCH("C"&amp;CostRemaining[#Headers],Upgrades[#Headers],0),FALSE),0)*MAX(0,SUM('Construction Dashboard'!$G36:I36)),0)</f>
        <v>0</v>
      </c>
      <c r="I32" s="55">
        <f ca="1">IF(VALUE(CostRemaining[#Headers])&lt;='Construction Dashboard'!$F36,IFERROR(VLOOKUP(CostRemaining[[#This Row],[Cost]],Upgrades[],MATCH("C"&amp;CostRemaining[#Headers],Upgrades[#Headers],0),FALSE),0)*MAX(0,SUM('Construction Dashboard'!$G36:J36)),0)</f>
        <v>0</v>
      </c>
      <c r="J32" s="55">
        <f ca="1">IF(VALUE(CostRemaining[#Headers])&lt;='Construction Dashboard'!$F36,IFERROR(VLOOKUP(CostRemaining[[#This Row],[Cost]],Upgrades[],MATCH("C"&amp;CostRemaining[#Headers],Upgrades[#Headers],0),FALSE),0)*MAX(0,SUM('Construction Dashboard'!$G36:K36)),0)</f>
        <v>0</v>
      </c>
      <c r="K32" s="55">
        <f ca="1">IF(VALUE(CostRemaining[#Headers])&lt;='Construction Dashboard'!$F36,IFERROR(VLOOKUP(CostRemaining[[#This Row],[Cost]],Upgrades[],MATCH("C"&amp;CostRemaining[#Headers],Upgrades[#Headers],0),FALSE),0)*MAX(0,SUM('Construction Dashboard'!$G36:L36)),0)</f>
        <v>0</v>
      </c>
      <c r="L32" s="55">
        <f ca="1">IF(VALUE(CostRemaining[#Headers])&lt;='Construction Dashboard'!$F36,IFERROR(VLOOKUP(CostRemaining[[#This Row],[Cost]],Upgrades[],MATCH("C"&amp;CostRemaining[#Headers],Upgrades[#Headers],0),FALSE),0)*MAX(0,SUM('Construction Dashboard'!$G36:M36)),0)</f>
        <v>0</v>
      </c>
      <c r="M32" s="55">
        <f ca="1">IF(VALUE(CostRemaining[#Headers])&lt;='Construction Dashboard'!$F36,IFERROR(VLOOKUP(CostRemaining[[#This Row],[Cost]],Upgrades[],MATCH("C"&amp;CostRemaining[#Headers],Upgrades[#Headers],0),FALSE),0)*MAX(0,SUM('Construction Dashboard'!$G36:N36)),0)</f>
        <v>0</v>
      </c>
      <c r="N32" s="55">
        <f ca="1">IF(VALUE(CostRemaining[#Headers])&lt;='Construction Dashboard'!$F36,IFERROR(VLOOKUP(CostRemaining[[#This Row],[Cost]],Upgrades[],MATCH("C"&amp;CostRemaining[#Headers],Upgrades[#Headers],0),FALSE),0)*MAX(0,SUM('Construction Dashboard'!$G36:O36)),0)</f>
        <v>0</v>
      </c>
      <c r="O32" s="55">
        <f ca="1">IF(VALUE(CostRemaining[#Headers])&lt;='Construction Dashboard'!$F36,IFERROR(VLOOKUP(CostRemaining[[#This Row],[Cost]],Upgrades[],MATCH("C"&amp;CostRemaining[#Headers],Upgrades[#Headers],0),FALSE),0)*MAX(0,SUM('Construction Dashboard'!$G36:P36)),0)</f>
        <v>0</v>
      </c>
      <c r="P32" s="55">
        <f ca="1">IF(VALUE(CostRemaining[#Headers])&lt;='Construction Dashboard'!$F36,IFERROR(VLOOKUP(CostRemaining[[#This Row],[Cost]],Upgrades[],MATCH("C"&amp;CostRemaining[#Headers],Upgrades[#Headers],0),FALSE),0)*MAX(0,SUM('Construction Dashboard'!$G36:Q36)),0)</f>
        <v>0</v>
      </c>
      <c r="Q32" s="55">
        <f ca="1">IF(VALUE(CostRemaining[#Headers])&lt;='Construction Dashboard'!$F36,IFERROR(VLOOKUP(CostRemaining[[#This Row],[Cost]],Upgrades[],MATCH("C"&amp;CostRemaining[#Headers],Upgrades[#Headers],0),FALSE),0)*MAX(0,SUM('Construction Dashboard'!$G36:R36)),0)</f>
        <v>0</v>
      </c>
      <c r="R32" s="55">
        <f ca="1">IF(CostRemaining[[#This Row],[MatchStr]]="IGNORE",0,SUM(CostRemaining[[#This Row],[1]:[12]]))</f>
        <v>0</v>
      </c>
    </row>
    <row r="33" spans="1:18">
      <c r="A33" s="11" t="s">
        <v>6</v>
      </c>
      <c r="B33" s="11" t="str">
        <f>VLOOKUP(CostRemaining[[#This Row],[Cost]],Upgrades[],2,FALSE)</f>
        <v>Building</v>
      </c>
      <c r="C33" s="11" t="str">
        <f>VLOOKUP(CostRemaining[[#This Row],[Cost]],Upgrades[],3,FALSE)</f>
        <v>Gold</v>
      </c>
      <c r="D33" s="131" t="str">
        <f>IF(COUNTIF(Skips,CostRemaining[[#This Row],[Cost]])&gt;0,"IGNORE",CostRemaining[Kind]&amp;"-"&amp;CostRemaining[Resource])</f>
        <v>Building-Gold</v>
      </c>
      <c r="E33" s="54" t="str">
        <f ca="1">IFERROR(VLOOKUP(CostRemaining[[#This Row],[Cost]],Upgrades[],MATCH("C"&amp;MATCH(TRUE,INDEX(CostRemaining[[#This Row],[1]:[12]]&lt;&gt;0,),0),Upgrades[#Headers],0),FALSE),"")</f>
        <v/>
      </c>
      <c r="F33" s="55">
        <f ca="1">IF(VALUE(CostRemaining[#Headers])&lt;='Construction Dashboard'!$F37,IFERROR(VLOOKUP(CostRemaining[[#This Row],[Cost]],Upgrades[],MATCH("C"&amp;CostRemaining[#Headers],Upgrades[#Headers],0),FALSE),0)*MAX(0,SUM('Construction Dashboard'!$G37:G37)),0)</f>
        <v>0</v>
      </c>
      <c r="G33" s="55">
        <f ca="1">IF(VALUE(CostRemaining[#Headers])&lt;='Construction Dashboard'!$F37,IFERROR(VLOOKUP(CostRemaining[[#This Row],[Cost]],Upgrades[],MATCH("C"&amp;CostRemaining[#Headers],Upgrades[#Headers],0),FALSE),0)*MAX(0,SUM('Construction Dashboard'!$G37:H37)),0)</f>
        <v>0</v>
      </c>
      <c r="H33" s="55">
        <f ca="1">IF(VALUE(CostRemaining[#Headers])&lt;='Construction Dashboard'!$F37,IFERROR(VLOOKUP(CostRemaining[[#This Row],[Cost]],Upgrades[],MATCH("C"&amp;CostRemaining[#Headers],Upgrades[#Headers],0),FALSE),0)*MAX(0,SUM('Construction Dashboard'!$G37:I37)),0)</f>
        <v>0</v>
      </c>
      <c r="I33" s="55">
        <f ca="1">IF(VALUE(CostRemaining[#Headers])&lt;='Construction Dashboard'!$F37,IFERROR(VLOOKUP(CostRemaining[[#This Row],[Cost]],Upgrades[],MATCH("C"&amp;CostRemaining[#Headers],Upgrades[#Headers],0),FALSE),0)*MAX(0,SUM('Construction Dashboard'!$G37:J37)),0)</f>
        <v>0</v>
      </c>
      <c r="J33" s="55">
        <f ca="1">IF(VALUE(CostRemaining[#Headers])&lt;='Construction Dashboard'!$F37,IFERROR(VLOOKUP(CostRemaining[[#This Row],[Cost]],Upgrades[],MATCH("C"&amp;CostRemaining[#Headers],Upgrades[#Headers],0),FALSE),0)*MAX(0,SUM('Construction Dashboard'!$G37:K37)),0)</f>
        <v>0</v>
      </c>
      <c r="K33" s="55">
        <f ca="1">IF(VALUE(CostRemaining[#Headers])&lt;='Construction Dashboard'!$F37,IFERROR(VLOOKUP(CostRemaining[[#This Row],[Cost]],Upgrades[],MATCH("C"&amp;CostRemaining[#Headers],Upgrades[#Headers],0),FALSE),0)*MAX(0,SUM('Construction Dashboard'!$G37:L37)),0)</f>
        <v>0</v>
      </c>
      <c r="L33" s="55">
        <f ca="1">IF(VALUE(CostRemaining[#Headers])&lt;='Construction Dashboard'!$F37,IFERROR(VLOOKUP(CostRemaining[[#This Row],[Cost]],Upgrades[],MATCH("C"&amp;CostRemaining[#Headers],Upgrades[#Headers],0),FALSE),0)*MAX(0,SUM('Construction Dashboard'!$G37:M37)),0)</f>
        <v>0</v>
      </c>
      <c r="M33" s="55">
        <f ca="1">IF(VALUE(CostRemaining[#Headers])&lt;='Construction Dashboard'!$F37,IFERROR(VLOOKUP(CostRemaining[[#This Row],[Cost]],Upgrades[],MATCH("C"&amp;CostRemaining[#Headers],Upgrades[#Headers],0),FALSE),0)*MAX(0,SUM('Construction Dashboard'!$G37:N37)),0)</f>
        <v>0</v>
      </c>
      <c r="N33" s="55">
        <f ca="1">IF(VALUE(CostRemaining[#Headers])&lt;='Construction Dashboard'!$F37,IFERROR(VLOOKUP(CostRemaining[[#This Row],[Cost]],Upgrades[],MATCH("C"&amp;CostRemaining[#Headers],Upgrades[#Headers],0),FALSE),0)*MAX(0,SUM('Construction Dashboard'!$G37:O37)),0)</f>
        <v>0</v>
      </c>
      <c r="O33" s="55">
        <f ca="1">IF(VALUE(CostRemaining[#Headers])&lt;='Construction Dashboard'!$F37,IFERROR(VLOOKUP(CostRemaining[[#This Row],[Cost]],Upgrades[],MATCH("C"&amp;CostRemaining[#Headers],Upgrades[#Headers],0),FALSE),0)*MAX(0,SUM('Construction Dashboard'!$G37:P37)),0)</f>
        <v>0</v>
      </c>
      <c r="P33" s="55">
        <f ca="1">IF(VALUE(CostRemaining[#Headers])&lt;='Construction Dashboard'!$F37,IFERROR(VLOOKUP(CostRemaining[[#This Row],[Cost]],Upgrades[],MATCH("C"&amp;CostRemaining[#Headers],Upgrades[#Headers],0),FALSE),0)*MAX(0,SUM('Construction Dashboard'!$G37:Q37)),0)</f>
        <v>0</v>
      </c>
      <c r="Q33" s="55">
        <f ca="1">IF(VALUE(CostRemaining[#Headers])&lt;='Construction Dashboard'!$F37,IFERROR(VLOOKUP(CostRemaining[[#This Row],[Cost]],Upgrades[],MATCH("C"&amp;CostRemaining[#Headers],Upgrades[#Headers],0),FALSE),0)*MAX(0,SUM('Construction Dashboard'!$G37:R37)),0)</f>
        <v>0</v>
      </c>
      <c r="R33" s="55">
        <f ca="1">IF(CostRemaining[[#This Row],[MatchStr]]="IGNORE",0,SUM(CostRemaining[[#This Row],[1]:[12]]))</f>
        <v>0</v>
      </c>
    </row>
    <row r="34" spans="1:18">
      <c r="A34" s="11" t="s">
        <v>22</v>
      </c>
      <c r="B34" s="11" t="str">
        <f>VLOOKUP(CostRemaining[[#This Row],[Cost]],Upgrades[],2,FALSE)</f>
        <v>Building</v>
      </c>
      <c r="C34" s="11" t="str">
        <f>VLOOKUP(CostRemaining[[#This Row],[Cost]],Upgrades[],3,FALSE)</f>
        <v>Gold</v>
      </c>
      <c r="D34" s="131" t="str">
        <f>IF(COUNTIF(Skips,CostRemaining[[#This Row],[Cost]])&gt;0,"IGNORE",CostRemaining[Kind]&amp;"-"&amp;CostRemaining[Resource])</f>
        <v>Building-Gold</v>
      </c>
      <c r="E34" s="54" t="str">
        <f ca="1">IFERROR(VLOOKUP(CostRemaining[[#This Row],[Cost]],Upgrades[],MATCH("C"&amp;MATCH(TRUE,INDEX(CostRemaining[[#This Row],[1]:[12]]&lt;&gt;0,),0),Upgrades[#Headers],0),FALSE),"")</f>
        <v/>
      </c>
      <c r="F34" s="55">
        <f ca="1">IF(VALUE(CostRemaining[#Headers])&lt;='Construction Dashboard'!$F38,IFERROR(VLOOKUP(CostRemaining[[#This Row],[Cost]],Upgrades[],MATCH("C"&amp;CostRemaining[#Headers],Upgrades[#Headers],0),FALSE),0)*MAX(0,SUM('Construction Dashboard'!$G38:G38)),0)</f>
        <v>0</v>
      </c>
      <c r="G34" s="55">
        <f ca="1">IF(VALUE(CostRemaining[#Headers])&lt;='Construction Dashboard'!$F38,IFERROR(VLOOKUP(CostRemaining[[#This Row],[Cost]],Upgrades[],MATCH("C"&amp;CostRemaining[#Headers],Upgrades[#Headers],0),FALSE),0)*MAX(0,SUM('Construction Dashboard'!$G38:H38)),0)</f>
        <v>0</v>
      </c>
      <c r="H34" s="55">
        <f ca="1">IF(VALUE(CostRemaining[#Headers])&lt;='Construction Dashboard'!$F38,IFERROR(VLOOKUP(CostRemaining[[#This Row],[Cost]],Upgrades[],MATCH("C"&amp;CostRemaining[#Headers],Upgrades[#Headers],0),FALSE),0)*MAX(0,SUM('Construction Dashboard'!$G38:I38)),0)</f>
        <v>0</v>
      </c>
      <c r="I34" s="55">
        <f ca="1">IF(VALUE(CostRemaining[#Headers])&lt;='Construction Dashboard'!$F38,IFERROR(VLOOKUP(CostRemaining[[#This Row],[Cost]],Upgrades[],MATCH("C"&amp;CostRemaining[#Headers],Upgrades[#Headers],0),FALSE),0)*MAX(0,SUM('Construction Dashboard'!$G38:J38)),0)</f>
        <v>0</v>
      </c>
      <c r="J34" s="55">
        <f ca="1">IF(VALUE(CostRemaining[#Headers])&lt;='Construction Dashboard'!$F38,IFERROR(VLOOKUP(CostRemaining[[#This Row],[Cost]],Upgrades[],MATCH("C"&amp;CostRemaining[#Headers],Upgrades[#Headers],0),FALSE),0)*MAX(0,SUM('Construction Dashboard'!$G38:K38)),0)</f>
        <v>0</v>
      </c>
      <c r="K34" s="55">
        <f ca="1">IF(VALUE(CostRemaining[#Headers])&lt;='Construction Dashboard'!$F38,IFERROR(VLOOKUP(CostRemaining[[#This Row],[Cost]],Upgrades[],MATCH("C"&amp;CostRemaining[#Headers],Upgrades[#Headers],0),FALSE),0)*MAX(0,SUM('Construction Dashboard'!$G38:L38)),0)</f>
        <v>0</v>
      </c>
      <c r="L34" s="55">
        <f ca="1">IF(VALUE(CostRemaining[#Headers])&lt;='Construction Dashboard'!$F38,IFERROR(VLOOKUP(CostRemaining[[#This Row],[Cost]],Upgrades[],MATCH("C"&amp;CostRemaining[#Headers],Upgrades[#Headers],0),FALSE),0)*MAX(0,SUM('Construction Dashboard'!$G38:M38)),0)</f>
        <v>0</v>
      </c>
      <c r="M34" s="55">
        <f ca="1">IF(VALUE(CostRemaining[#Headers])&lt;='Construction Dashboard'!$F38,IFERROR(VLOOKUP(CostRemaining[[#This Row],[Cost]],Upgrades[],MATCH("C"&amp;CostRemaining[#Headers],Upgrades[#Headers],0),FALSE),0)*MAX(0,SUM('Construction Dashboard'!$G38:N38)),0)</f>
        <v>0</v>
      </c>
      <c r="N34" s="55">
        <f ca="1">IF(VALUE(CostRemaining[#Headers])&lt;='Construction Dashboard'!$F38,IFERROR(VLOOKUP(CostRemaining[[#This Row],[Cost]],Upgrades[],MATCH("C"&amp;CostRemaining[#Headers],Upgrades[#Headers],0),FALSE),0)*MAX(0,SUM('Construction Dashboard'!$G38:O38)),0)</f>
        <v>0</v>
      </c>
      <c r="O34" s="55">
        <f ca="1">IF(VALUE(CostRemaining[#Headers])&lt;='Construction Dashboard'!$F38,IFERROR(VLOOKUP(CostRemaining[[#This Row],[Cost]],Upgrades[],MATCH("C"&amp;CostRemaining[#Headers],Upgrades[#Headers],0),FALSE),0)*MAX(0,SUM('Construction Dashboard'!$G38:P38)),0)</f>
        <v>0</v>
      </c>
      <c r="P34" s="55">
        <f ca="1">IF(VALUE(CostRemaining[#Headers])&lt;='Construction Dashboard'!$F38,IFERROR(VLOOKUP(CostRemaining[[#This Row],[Cost]],Upgrades[],MATCH("C"&amp;CostRemaining[#Headers],Upgrades[#Headers],0),FALSE),0)*MAX(0,SUM('Construction Dashboard'!$G38:Q38)),0)</f>
        <v>0</v>
      </c>
      <c r="Q34" s="55">
        <f ca="1">IF(VALUE(CostRemaining[#Headers])&lt;='Construction Dashboard'!$F38,IFERROR(VLOOKUP(CostRemaining[[#This Row],[Cost]],Upgrades[],MATCH("C"&amp;CostRemaining[#Headers],Upgrades[#Headers],0),FALSE),0)*MAX(0,SUM('Construction Dashboard'!$G38:R38)),0)</f>
        <v>0</v>
      </c>
      <c r="R34" s="55">
        <f ca="1">IF(CostRemaining[[#This Row],[MatchStr]]="IGNORE",0,SUM(CostRemaining[[#This Row],[1]:[12]]))</f>
        <v>0</v>
      </c>
    </row>
    <row r="35" spans="1:18">
      <c r="A35" s="11" t="s">
        <v>23</v>
      </c>
      <c r="B35" s="11" t="str">
        <f>VLOOKUP(CostRemaining[[#This Row],[Cost]],Upgrades[],2,FALSE)</f>
        <v>Wall</v>
      </c>
      <c r="C35" s="11" t="str">
        <f>VLOOKUP(CostRemaining[[#This Row],[Cost]],Upgrades[],3,FALSE)</f>
        <v>Gold</v>
      </c>
      <c r="D35" s="131" t="str">
        <f>IF(COUNTIF(Skips,CostRemaining[[#This Row],[Cost]])&gt;0,"IGNORE",CostRemaining[Kind]&amp;"-"&amp;CostRemaining[Resource])</f>
        <v>Wall-Gold</v>
      </c>
      <c r="E35" s="54">
        <f ca="1">IFERROR(VLOOKUP(CostRemaining[[#This Row],[Cost]],Upgrades[],MATCH("C"&amp;MATCH(TRUE,INDEX(CostRemaining[[#This Row],[1]:[12]]&lt;&gt;0,),0),Upgrades[#Headers],0),FALSE),"")</f>
        <v>75000</v>
      </c>
      <c r="F35" s="55">
        <f ca="1">IF(VALUE(CostRemaining[#Headers])&lt;='Construction Dashboard'!$F39,IFERROR(VLOOKUP(CostRemaining[[#This Row],[Cost]],Upgrades[],MATCH("C"&amp;CostRemaining[#Headers],Upgrades[#Headers],0),FALSE),0)*MAX(0,SUM('Construction Dashboard'!$G39:G39)),0)</f>
        <v>0</v>
      </c>
      <c r="G35" s="55">
        <f ca="1">IF(VALUE(CostRemaining[#Headers])&lt;='Construction Dashboard'!$F39,IFERROR(VLOOKUP(CostRemaining[[#This Row],[Cost]],Upgrades[],MATCH("C"&amp;CostRemaining[#Headers],Upgrades[#Headers],0),FALSE),0)*MAX(0,SUM('Construction Dashboard'!$G39:H39)),0)</f>
        <v>0</v>
      </c>
      <c r="H35" s="55">
        <f ca="1">IF(VALUE(CostRemaining[#Headers])&lt;='Construction Dashboard'!$F39,IFERROR(VLOOKUP(CostRemaining[[#This Row],[Cost]],Upgrades[],MATCH("C"&amp;CostRemaining[#Headers],Upgrades[#Headers],0),FALSE),0)*MAX(0,SUM('Construction Dashboard'!$G39:I39)),0)</f>
        <v>0</v>
      </c>
      <c r="I35" s="55">
        <f ca="1">IF(VALUE(CostRemaining[#Headers])&lt;='Construction Dashboard'!$F39,IFERROR(VLOOKUP(CostRemaining[[#This Row],[Cost]],Upgrades[],MATCH("C"&amp;CostRemaining[#Headers],Upgrades[#Headers],0),FALSE),0)*MAX(0,SUM('Construction Dashboard'!$G39:J39)),0)</f>
        <v>0</v>
      </c>
      <c r="J35" s="55">
        <f ca="1">IF(VALUE(CostRemaining[#Headers])&lt;='Construction Dashboard'!$F39,IFERROR(VLOOKUP(CostRemaining[[#This Row],[Cost]],Upgrades[],MATCH("C"&amp;CostRemaining[#Headers],Upgrades[#Headers],0),FALSE),0)*MAX(0,SUM('Construction Dashboard'!$G39:K39)),0)</f>
        <v>0</v>
      </c>
      <c r="K35" s="55">
        <f ca="1">IF(VALUE(CostRemaining[#Headers])&lt;='Construction Dashboard'!$F39,IFERROR(VLOOKUP(CostRemaining[[#This Row],[Cost]],Upgrades[],MATCH("C"&amp;CostRemaining[#Headers],Upgrades[#Headers],0),FALSE),0)*MAX(0,SUM('Construction Dashboard'!$G39:L39)),0)</f>
        <v>6750000</v>
      </c>
      <c r="L35" s="55">
        <f ca="1">IF(VALUE(CostRemaining[#Headers])&lt;='Construction Dashboard'!$F39,IFERROR(VLOOKUP(CostRemaining[[#This Row],[Cost]],Upgrades[],MATCH("C"&amp;CostRemaining[#Headers],Upgrades[#Headers],0),FALSE),0)*MAX(0,SUM('Construction Dashboard'!$G39:M39)),0)</f>
        <v>34800000</v>
      </c>
      <c r="M35" s="55">
        <f ca="1">IF(VALUE(CostRemaining[#Headers])&lt;='Construction Dashboard'!$F39,IFERROR(VLOOKUP(CostRemaining[[#This Row],[Cost]],Upgrades[],MATCH("C"&amp;CostRemaining[#Headers],Upgrades[#Headers],0),FALSE),0)*MAX(0,SUM('Construction Dashboard'!$G39:N39)),0)</f>
        <v>0</v>
      </c>
      <c r="N35" s="55">
        <f ca="1">IF(VALUE(CostRemaining[#Headers])&lt;='Construction Dashboard'!$F39,IFERROR(VLOOKUP(CostRemaining[[#This Row],[Cost]],Upgrades[],MATCH("C"&amp;CostRemaining[#Headers],Upgrades[#Headers],0),FALSE),0)*MAX(0,SUM('Construction Dashboard'!$G39:O39)),0)</f>
        <v>0</v>
      </c>
      <c r="O35" s="55">
        <f ca="1">IF(VALUE(CostRemaining[#Headers])&lt;='Construction Dashboard'!$F39,IFERROR(VLOOKUP(CostRemaining[[#This Row],[Cost]],Upgrades[],MATCH("C"&amp;CostRemaining[#Headers],Upgrades[#Headers],0),FALSE),0)*MAX(0,SUM('Construction Dashboard'!$G39:P39)),0)</f>
        <v>0</v>
      </c>
      <c r="P35" s="55">
        <f ca="1">IF(VALUE(CostRemaining[#Headers])&lt;='Construction Dashboard'!$F39,IFERROR(VLOOKUP(CostRemaining[[#This Row],[Cost]],Upgrades[],MATCH("C"&amp;CostRemaining[#Headers],Upgrades[#Headers],0),FALSE),0)*MAX(0,SUM('Construction Dashboard'!$G39:Q39)),0)</f>
        <v>0</v>
      </c>
      <c r="Q35" s="55">
        <f ca="1">IF(VALUE(CostRemaining[#Headers])&lt;='Construction Dashboard'!$F39,IFERROR(VLOOKUP(CostRemaining[[#This Row],[Cost]],Upgrades[],MATCH("C"&amp;CostRemaining[#Headers],Upgrades[#Headers],0),FALSE),0)*MAX(0,SUM('Construction Dashboard'!$G39:R39)),0)</f>
        <v>0</v>
      </c>
      <c r="R35" s="55">
        <f ca="1">IF(CostRemaining[[#This Row],[MatchStr]]="IGNORE",0,SUM(CostRemaining[[#This Row],[1]:[12]]))</f>
        <v>41550000</v>
      </c>
    </row>
    <row r="36" spans="1:18">
      <c r="A36" s="11" t="s">
        <v>7</v>
      </c>
      <c r="B36" s="11" t="str">
        <f>VLOOKUP(CostRemaining[[#This Row],[Cost]],Upgrades[],2,FALSE)</f>
        <v>Building</v>
      </c>
      <c r="C36" s="11" t="str">
        <f>VLOOKUP(CostRemaining[[#This Row],[Cost]],Upgrades[],3,FALSE)</f>
        <v>Gold</v>
      </c>
      <c r="D36" s="131" t="str">
        <f>IF(COUNTIF(Skips,CostRemaining[[#This Row],[Cost]])&gt;0,"IGNORE",CostRemaining[Kind]&amp;"-"&amp;CostRemaining[Resource])</f>
        <v>Building-Gold</v>
      </c>
      <c r="E36" s="54" t="str">
        <f ca="1">IFERROR(VLOOKUP(CostRemaining[[#This Row],[Cost]],Upgrades[],MATCH("C"&amp;MATCH(TRUE,INDEX(CostRemaining[[#This Row],[1]:[12]]&lt;&gt;0,),0),Upgrades[#Headers],0),FALSE),"")</f>
        <v/>
      </c>
      <c r="F36" s="55">
        <f ca="1">IF(VALUE(CostRemaining[#Headers])&lt;='Construction Dashboard'!$F40,IFERROR(VLOOKUP(CostRemaining[[#This Row],[Cost]],Upgrades[],MATCH("C"&amp;CostRemaining[#Headers],Upgrades[#Headers],0),FALSE),0)*MAX(0,SUM('Construction Dashboard'!$G40:G40)),0)</f>
        <v>0</v>
      </c>
      <c r="G36" s="55">
        <f ca="1">IF(VALUE(CostRemaining[#Headers])&lt;='Construction Dashboard'!$F40,IFERROR(VLOOKUP(CostRemaining[[#This Row],[Cost]],Upgrades[],MATCH("C"&amp;CostRemaining[#Headers],Upgrades[#Headers],0),FALSE),0)*MAX(0,SUM('Construction Dashboard'!$G40:H40)),0)</f>
        <v>0</v>
      </c>
      <c r="H36" s="55">
        <f ca="1">IF(VALUE(CostRemaining[#Headers])&lt;='Construction Dashboard'!$F40,IFERROR(VLOOKUP(CostRemaining[[#This Row],[Cost]],Upgrades[],MATCH("C"&amp;CostRemaining[#Headers],Upgrades[#Headers],0),FALSE),0)*MAX(0,SUM('Construction Dashboard'!$G40:I40)),0)</f>
        <v>0</v>
      </c>
      <c r="I36" s="55">
        <f ca="1">IF(VALUE(CostRemaining[#Headers])&lt;='Construction Dashboard'!$F40,IFERROR(VLOOKUP(CostRemaining[[#This Row],[Cost]],Upgrades[],MATCH("C"&amp;CostRemaining[#Headers],Upgrades[#Headers],0),FALSE),0)*MAX(0,SUM('Construction Dashboard'!$G40:J40)),0)</f>
        <v>0</v>
      </c>
      <c r="J36" s="55">
        <f ca="1">IF(VALUE(CostRemaining[#Headers])&lt;='Construction Dashboard'!$F40,IFERROR(VLOOKUP(CostRemaining[[#This Row],[Cost]],Upgrades[],MATCH("C"&amp;CostRemaining[#Headers],Upgrades[#Headers],0),FALSE),0)*MAX(0,SUM('Construction Dashboard'!$G40:K40)),0)</f>
        <v>0</v>
      </c>
      <c r="K36" s="55">
        <f ca="1">IF(VALUE(CostRemaining[#Headers])&lt;='Construction Dashboard'!$F40,IFERROR(VLOOKUP(CostRemaining[[#This Row],[Cost]],Upgrades[],MATCH("C"&amp;CostRemaining[#Headers],Upgrades[#Headers],0),FALSE),0)*MAX(0,SUM('Construction Dashboard'!$G40:L40)),0)</f>
        <v>0</v>
      </c>
      <c r="L36" s="55">
        <f ca="1">IF(VALUE(CostRemaining[#Headers])&lt;='Construction Dashboard'!$F40,IFERROR(VLOOKUP(CostRemaining[[#This Row],[Cost]],Upgrades[],MATCH("C"&amp;CostRemaining[#Headers],Upgrades[#Headers],0),FALSE),0)*MAX(0,SUM('Construction Dashboard'!$G40:M40)),0)</f>
        <v>0</v>
      </c>
      <c r="M36" s="55">
        <f ca="1">IF(VALUE(CostRemaining[#Headers])&lt;='Construction Dashboard'!$F40,IFERROR(VLOOKUP(CostRemaining[[#This Row],[Cost]],Upgrades[],MATCH("C"&amp;CostRemaining[#Headers],Upgrades[#Headers],0),FALSE),0)*MAX(0,SUM('Construction Dashboard'!$G40:N40)),0)</f>
        <v>0</v>
      </c>
      <c r="N36" s="55">
        <f ca="1">IF(VALUE(CostRemaining[#Headers])&lt;='Construction Dashboard'!$F40,IFERROR(VLOOKUP(CostRemaining[[#This Row],[Cost]],Upgrades[],MATCH("C"&amp;CostRemaining[#Headers],Upgrades[#Headers],0),FALSE),0)*MAX(0,SUM('Construction Dashboard'!$G40:O40)),0)</f>
        <v>0</v>
      </c>
      <c r="O36" s="55">
        <f ca="1">IF(VALUE(CostRemaining[#Headers])&lt;='Construction Dashboard'!$F40,IFERROR(VLOOKUP(CostRemaining[[#This Row],[Cost]],Upgrades[],MATCH("C"&amp;CostRemaining[#Headers],Upgrades[#Headers],0),FALSE),0)*MAX(0,SUM('Construction Dashboard'!$G40:P40)),0)</f>
        <v>0</v>
      </c>
      <c r="P36" s="55">
        <f ca="1">IF(VALUE(CostRemaining[#Headers])&lt;='Construction Dashboard'!$F40,IFERROR(VLOOKUP(CostRemaining[[#This Row],[Cost]],Upgrades[],MATCH("C"&amp;CostRemaining[#Headers],Upgrades[#Headers],0),FALSE),0)*MAX(0,SUM('Construction Dashboard'!$G40:Q40)),0)</f>
        <v>0</v>
      </c>
      <c r="Q36" s="55">
        <f ca="1">IF(VALUE(CostRemaining[#Headers])&lt;='Construction Dashboard'!$F40,IFERROR(VLOOKUP(CostRemaining[[#This Row],[Cost]],Upgrades[],MATCH("C"&amp;CostRemaining[#Headers],Upgrades[#Headers],0),FALSE),0)*MAX(0,SUM('Construction Dashboard'!$G40:R40)),0)</f>
        <v>0</v>
      </c>
      <c r="R36" s="55">
        <f ca="1">IF(CostRemaining[[#This Row],[MatchStr]]="IGNORE",0,SUM(CostRemaining[[#This Row],[1]:[12]]))</f>
        <v>0</v>
      </c>
    </row>
    <row r="37" spans="1:18">
      <c r="A37" s="11" t="s">
        <v>8</v>
      </c>
      <c r="B37" s="11" t="str">
        <f>VLOOKUP(CostRemaining[[#This Row],[Cost]],Upgrades[],2,FALSE)</f>
        <v>Building</v>
      </c>
      <c r="C37" s="11" t="str">
        <f>VLOOKUP(CostRemaining[[#This Row],[Cost]],Upgrades[],3,FALSE)</f>
        <v>Gold</v>
      </c>
      <c r="D37" s="131" t="str">
        <f>IF(COUNTIF(Skips,CostRemaining[[#This Row],[Cost]])&gt;0,"IGNORE",CostRemaining[Kind]&amp;"-"&amp;CostRemaining[Resource])</f>
        <v>Building-Gold</v>
      </c>
      <c r="E37" s="54" t="str">
        <f ca="1">IFERROR(VLOOKUP(CostRemaining[[#This Row],[Cost]],Upgrades[],MATCH("C"&amp;MATCH(TRUE,INDEX(CostRemaining[[#This Row],[1]:[12]]&lt;&gt;0,),0),Upgrades[#Headers],0),FALSE),"")</f>
        <v/>
      </c>
      <c r="F37" s="55">
        <f ca="1">IF(VALUE(CostRemaining[#Headers])&lt;='Construction Dashboard'!$F41,IFERROR(VLOOKUP(CostRemaining[[#This Row],[Cost]],Upgrades[],MATCH("C"&amp;CostRemaining[#Headers],Upgrades[#Headers],0),FALSE),0)*MAX(0,SUM('Construction Dashboard'!$G41:G41)),0)</f>
        <v>0</v>
      </c>
      <c r="G37" s="55">
        <f ca="1">IF(VALUE(CostRemaining[#Headers])&lt;='Construction Dashboard'!$F41,IFERROR(VLOOKUP(CostRemaining[[#This Row],[Cost]],Upgrades[],MATCH("C"&amp;CostRemaining[#Headers],Upgrades[#Headers],0),FALSE),0)*MAX(0,SUM('Construction Dashboard'!$G41:H41)),0)</f>
        <v>0</v>
      </c>
      <c r="H37" s="55">
        <f ca="1">IF(VALUE(CostRemaining[#Headers])&lt;='Construction Dashboard'!$F41,IFERROR(VLOOKUP(CostRemaining[[#This Row],[Cost]],Upgrades[],MATCH("C"&amp;CostRemaining[#Headers],Upgrades[#Headers],0),FALSE),0)*MAX(0,SUM('Construction Dashboard'!$G41:I41)),0)</f>
        <v>0</v>
      </c>
      <c r="I37" s="55">
        <f ca="1">IF(VALUE(CostRemaining[#Headers])&lt;='Construction Dashboard'!$F41,IFERROR(VLOOKUP(CostRemaining[[#This Row],[Cost]],Upgrades[],MATCH("C"&amp;CostRemaining[#Headers],Upgrades[#Headers],0),FALSE),0)*MAX(0,SUM('Construction Dashboard'!$G41:J41)),0)</f>
        <v>0</v>
      </c>
      <c r="J37" s="55">
        <f ca="1">IF(VALUE(CostRemaining[#Headers])&lt;='Construction Dashboard'!$F41,IFERROR(VLOOKUP(CostRemaining[[#This Row],[Cost]],Upgrades[],MATCH("C"&amp;CostRemaining[#Headers],Upgrades[#Headers],0),FALSE),0)*MAX(0,SUM('Construction Dashboard'!$G41:K41)),0)</f>
        <v>0</v>
      </c>
      <c r="K37" s="55">
        <f ca="1">IF(VALUE(CostRemaining[#Headers])&lt;='Construction Dashboard'!$F41,IFERROR(VLOOKUP(CostRemaining[[#This Row],[Cost]],Upgrades[],MATCH("C"&amp;CostRemaining[#Headers],Upgrades[#Headers],0),FALSE),0)*MAX(0,SUM('Construction Dashboard'!$G41:L41)),0)</f>
        <v>0</v>
      </c>
      <c r="L37" s="55">
        <f ca="1">IF(VALUE(CostRemaining[#Headers])&lt;='Construction Dashboard'!$F41,IFERROR(VLOOKUP(CostRemaining[[#This Row],[Cost]],Upgrades[],MATCH("C"&amp;CostRemaining[#Headers],Upgrades[#Headers],0),FALSE),0)*MAX(0,SUM('Construction Dashboard'!$G41:M41)),0)</f>
        <v>0</v>
      </c>
      <c r="M37" s="55">
        <f ca="1">IF(VALUE(CostRemaining[#Headers])&lt;='Construction Dashboard'!$F41,IFERROR(VLOOKUP(CostRemaining[[#This Row],[Cost]],Upgrades[],MATCH("C"&amp;CostRemaining[#Headers],Upgrades[#Headers],0),FALSE),0)*MAX(0,SUM('Construction Dashboard'!$G41:N41)),0)</f>
        <v>0</v>
      </c>
      <c r="N37" s="55">
        <f ca="1">IF(VALUE(CostRemaining[#Headers])&lt;='Construction Dashboard'!$F41,IFERROR(VLOOKUP(CostRemaining[[#This Row],[Cost]],Upgrades[],MATCH("C"&amp;CostRemaining[#Headers],Upgrades[#Headers],0),FALSE),0)*MAX(0,SUM('Construction Dashboard'!$G41:O41)),0)</f>
        <v>0</v>
      </c>
      <c r="O37" s="55">
        <f ca="1">IF(VALUE(CostRemaining[#Headers])&lt;='Construction Dashboard'!$F41,IFERROR(VLOOKUP(CostRemaining[[#This Row],[Cost]],Upgrades[],MATCH("C"&amp;CostRemaining[#Headers],Upgrades[#Headers],0),FALSE),0)*MAX(0,SUM('Construction Dashboard'!$G41:P41)),0)</f>
        <v>0</v>
      </c>
      <c r="P37" s="55">
        <f ca="1">IF(VALUE(CostRemaining[#Headers])&lt;='Construction Dashboard'!$F41,IFERROR(VLOOKUP(CostRemaining[[#This Row],[Cost]],Upgrades[],MATCH("C"&amp;CostRemaining[#Headers],Upgrades[#Headers],0),FALSE),0)*MAX(0,SUM('Construction Dashboard'!$G41:Q41)),0)</f>
        <v>0</v>
      </c>
      <c r="Q37" s="55">
        <f ca="1">IF(VALUE(CostRemaining[#Headers])&lt;='Construction Dashboard'!$F41,IFERROR(VLOOKUP(CostRemaining[[#This Row],[Cost]],Upgrades[],MATCH("C"&amp;CostRemaining[#Headers],Upgrades[#Headers],0),FALSE),0)*MAX(0,SUM('Construction Dashboard'!$G41:R41)),0)</f>
        <v>0</v>
      </c>
      <c r="R37" s="55">
        <f ca="1">IF(CostRemaining[[#This Row],[MatchStr]]="IGNORE",0,SUM(CostRemaining[[#This Row],[1]:[12]]))</f>
        <v>0</v>
      </c>
    </row>
    <row r="38" spans="1:18">
      <c r="A38" s="11" t="s">
        <v>24</v>
      </c>
      <c r="B38" s="11" t="str">
        <f>VLOOKUP(CostRemaining[[#This Row],[Cost]],Upgrades[],2,FALSE)</f>
        <v>Building</v>
      </c>
      <c r="C38" s="11" t="str">
        <f>VLOOKUP(CostRemaining[[#This Row],[Cost]],Upgrades[],3,FALSE)</f>
        <v>Gold</v>
      </c>
      <c r="D38" s="131" t="str">
        <f>IF(COUNTIF(Skips,CostRemaining[[#This Row],[Cost]])&gt;0,"IGNORE",CostRemaining[Kind]&amp;"-"&amp;CostRemaining[Resource])</f>
        <v>Building-Gold</v>
      </c>
      <c r="E38" s="54" t="str">
        <f ca="1">IFERROR(VLOOKUP(CostRemaining[[#This Row],[Cost]],Upgrades[],MATCH("C"&amp;MATCH(TRUE,INDEX(CostRemaining[[#This Row],[1]:[12]]&lt;&gt;0,),0),Upgrades[#Headers],0),FALSE),"")</f>
        <v/>
      </c>
      <c r="F38" s="55">
        <f ca="1">IF(VALUE(CostRemaining[#Headers])&lt;='Construction Dashboard'!$F42,IFERROR(VLOOKUP(CostRemaining[[#This Row],[Cost]],Upgrades[],MATCH("C"&amp;CostRemaining[#Headers],Upgrades[#Headers],0),FALSE),0)*MAX(0,SUM('Construction Dashboard'!$G42:G42)),0)</f>
        <v>0</v>
      </c>
      <c r="G38" s="55">
        <f ca="1">IF(VALUE(CostRemaining[#Headers])&lt;='Construction Dashboard'!$F42,IFERROR(VLOOKUP(CostRemaining[[#This Row],[Cost]],Upgrades[],MATCH("C"&amp;CostRemaining[#Headers],Upgrades[#Headers],0),FALSE),0)*MAX(0,SUM('Construction Dashboard'!$G42:H42)),0)</f>
        <v>0</v>
      </c>
      <c r="H38" s="55">
        <f ca="1">IF(VALUE(CostRemaining[#Headers])&lt;='Construction Dashboard'!$F42,IFERROR(VLOOKUP(CostRemaining[[#This Row],[Cost]],Upgrades[],MATCH("C"&amp;CostRemaining[#Headers],Upgrades[#Headers],0),FALSE),0)*MAX(0,SUM('Construction Dashboard'!$G42:I42)),0)</f>
        <v>0</v>
      </c>
      <c r="I38" s="55">
        <f ca="1">IF(VALUE(CostRemaining[#Headers])&lt;='Construction Dashboard'!$F42,IFERROR(VLOOKUP(CostRemaining[[#This Row],[Cost]],Upgrades[],MATCH("C"&amp;CostRemaining[#Headers],Upgrades[#Headers],0),FALSE),0)*MAX(0,SUM('Construction Dashboard'!$G42:J42)),0)</f>
        <v>0</v>
      </c>
      <c r="J38" s="55">
        <f ca="1">IF(VALUE(CostRemaining[#Headers])&lt;='Construction Dashboard'!$F42,IFERROR(VLOOKUP(CostRemaining[[#This Row],[Cost]],Upgrades[],MATCH("C"&amp;CostRemaining[#Headers],Upgrades[#Headers],0),FALSE),0)*MAX(0,SUM('Construction Dashboard'!$G42:K42)),0)</f>
        <v>0</v>
      </c>
      <c r="K38" s="55">
        <f ca="1">IF(VALUE(CostRemaining[#Headers])&lt;='Construction Dashboard'!$F42,IFERROR(VLOOKUP(CostRemaining[[#This Row],[Cost]],Upgrades[],MATCH("C"&amp;CostRemaining[#Headers],Upgrades[#Headers],0),FALSE),0)*MAX(0,SUM('Construction Dashboard'!$G42:L42)),0)</f>
        <v>0</v>
      </c>
      <c r="L38" s="55">
        <f ca="1">IF(VALUE(CostRemaining[#Headers])&lt;='Construction Dashboard'!$F42,IFERROR(VLOOKUP(CostRemaining[[#This Row],[Cost]],Upgrades[],MATCH("C"&amp;CostRemaining[#Headers],Upgrades[#Headers],0),FALSE),0)*MAX(0,SUM('Construction Dashboard'!$G42:M42)),0)</f>
        <v>0</v>
      </c>
      <c r="M38" s="55">
        <f ca="1">IF(VALUE(CostRemaining[#Headers])&lt;='Construction Dashboard'!$F42,IFERROR(VLOOKUP(CostRemaining[[#This Row],[Cost]],Upgrades[],MATCH("C"&amp;CostRemaining[#Headers],Upgrades[#Headers],0),FALSE),0)*MAX(0,SUM('Construction Dashboard'!$G42:N42)),0)</f>
        <v>0</v>
      </c>
      <c r="N38" s="55">
        <f ca="1">IF(VALUE(CostRemaining[#Headers])&lt;='Construction Dashboard'!$F42,IFERROR(VLOOKUP(CostRemaining[[#This Row],[Cost]],Upgrades[],MATCH("C"&amp;CostRemaining[#Headers],Upgrades[#Headers],0),FALSE),0)*MAX(0,SUM('Construction Dashboard'!$G42:O42)),0)</f>
        <v>0</v>
      </c>
      <c r="O38" s="55">
        <f ca="1">IF(VALUE(CostRemaining[#Headers])&lt;='Construction Dashboard'!$F42,IFERROR(VLOOKUP(CostRemaining[[#This Row],[Cost]],Upgrades[],MATCH("C"&amp;CostRemaining[#Headers],Upgrades[#Headers],0),FALSE),0)*MAX(0,SUM('Construction Dashboard'!$G42:P42)),0)</f>
        <v>0</v>
      </c>
      <c r="P38" s="55">
        <f ca="1">IF(VALUE(CostRemaining[#Headers])&lt;='Construction Dashboard'!$F42,IFERROR(VLOOKUP(CostRemaining[[#This Row],[Cost]],Upgrades[],MATCH("C"&amp;CostRemaining[#Headers],Upgrades[#Headers],0),FALSE),0)*MAX(0,SUM('Construction Dashboard'!$G42:Q42)),0)</f>
        <v>0</v>
      </c>
      <c r="Q38" s="55">
        <f ca="1">IF(VALUE(CostRemaining[#Headers])&lt;='Construction Dashboard'!$F42,IFERROR(VLOOKUP(CostRemaining[[#This Row],[Cost]],Upgrades[],MATCH("C"&amp;CostRemaining[#Headers],Upgrades[#Headers],0),FALSE),0)*MAX(0,SUM('Construction Dashboard'!$G42:R42)),0)</f>
        <v>0</v>
      </c>
      <c r="R38" s="55">
        <f ca="1">IF(CostRemaining[[#This Row],[MatchStr]]="IGNORE",0,SUM(CostRemaining[[#This Row],[1]:[12]]))</f>
        <v>0</v>
      </c>
    </row>
    <row r="39" spans="1:18">
      <c r="A39" s="11" t="s">
        <v>25</v>
      </c>
      <c r="B39" s="11" t="str">
        <f>VLOOKUP(CostRemaining[[#This Row],[Cost]],Upgrades[],2,FALSE)</f>
        <v>Building</v>
      </c>
      <c r="C39" s="11" t="str">
        <f>VLOOKUP(CostRemaining[[#This Row],[Cost]],Upgrades[],3,FALSE)</f>
        <v>Gold</v>
      </c>
      <c r="D39" s="131" t="str">
        <f>IF(COUNTIF(Skips,CostRemaining[[#This Row],[Cost]])&gt;0,"IGNORE",CostRemaining[Kind]&amp;"-"&amp;CostRemaining[Resource])</f>
        <v>Building-Gold</v>
      </c>
      <c r="E39" s="54" t="str">
        <f ca="1">IFERROR(VLOOKUP(CostRemaining[[#This Row],[Cost]],Upgrades[],MATCH("C"&amp;MATCH(TRUE,INDEX(CostRemaining[[#This Row],[1]:[12]]&lt;&gt;0,),0),Upgrades[#Headers],0),FALSE),"")</f>
        <v/>
      </c>
      <c r="F39" s="55">
        <f ca="1">IF(VALUE(CostRemaining[#Headers])&lt;='Construction Dashboard'!$F43,IFERROR(VLOOKUP(CostRemaining[[#This Row],[Cost]],Upgrades[],MATCH("C"&amp;CostRemaining[#Headers],Upgrades[#Headers],0),FALSE),0)*MAX(0,SUM('Construction Dashboard'!$G43:G43)),0)</f>
        <v>0</v>
      </c>
      <c r="G39" s="55">
        <f ca="1">IF(VALUE(CostRemaining[#Headers])&lt;='Construction Dashboard'!$F43,IFERROR(VLOOKUP(CostRemaining[[#This Row],[Cost]],Upgrades[],MATCH("C"&amp;CostRemaining[#Headers],Upgrades[#Headers],0),FALSE),0)*MAX(0,SUM('Construction Dashboard'!$G43:H43)),0)</f>
        <v>0</v>
      </c>
      <c r="H39" s="55">
        <f ca="1">IF(VALUE(CostRemaining[#Headers])&lt;='Construction Dashboard'!$F43,IFERROR(VLOOKUP(CostRemaining[[#This Row],[Cost]],Upgrades[],MATCH("C"&amp;CostRemaining[#Headers],Upgrades[#Headers],0),FALSE),0)*MAX(0,SUM('Construction Dashboard'!$G43:I43)),0)</f>
        <v>0</v>
      </c>
      <c r="I39" s="55">
        <f ca="1">IF(VALUE(CostRemaining[#Headers])&lt;='Construction Dashboard'!$F43,IFERROR(VLOOKUP(CostRemaining[[#This Row],[Cost]],Upgrades[],MATCH("C"&amp;CostRemaining[#Headers],Upgrades[#Headers],0),FALSE),0)*MAX(0,SUM('Construction Dashboard'!$G43:J43)),0)</f>
        <v>0</v>
      </c>
      <c r="J39" s="55">
        <f ca="1">IF(VALUE(CostRemaining[#Headers])&lt;='Construction Dashboard'!$F43,IFERROR(VLOOKUP(CostRemaining[[#This Row],[Cost]],Upgrades[],MATCH("C"&amp;CostRemaining[#Headers],Upgrades[#Headers],0),FALSE),0)*MAX(0,SUM('Construction Dashboard'!$G43:K43)),0)</f>
        <v>0</v>
      </c>
      <c r="K39" s="55">
        <f ca="1">IF(VALUE(CostRemaining[#Headers])&lt;='Construction Dashboard'!$F43,IFERROR(VLOOKUP(CostRemaining[[#This Row],[Cost]],Upgrades[],MATCH("C"&amp;CostRemaining[#Headers],Upgrades[#Headers],0),FALSE),0)*MAX(0,SUM('Construction Dashboard'!$G43:L43)),0)</f>
        <v>0</v>
      </c>
      <c r="L39" s="55">
        <f ca="1">IF(VALUE(CostRemaining[#Headers])&lt;='Construction Dashboard'!$F43,IFERROR(VLOOKUP(CostRemaining[[#This Row],[Cost]],Upgrades[],MATCH("C"&amp;CostRemaining[#Headers],Upgrades[#Headers],0),FALSE),0)*MAX(0,SUM('Construction Dashboard'!$G43:M43)),0)</f>
        <v>0</v>
      </c>
      <c r="M39" s="55">
        <f ca="1">IF(VALUE(CostRemaining[#Headers])&lt;='Construction Dashboard'!$F43,IFERROR(VLOOKUP(CostRemaining[[#This Row],[Cost]],Upgrades[],MATCH("C"&amp;CostRemaining[#Headers],Upgrades[#Headers],0),FALSE),0)*MAX(0,SUM('Construction Dashboard'!$G43:N43)),0)</f>
        <v>0</v>
      </c>
      <c r="N39" s="55">
        <f ca="1">IF(VALUE(CostRemaining[#Headers])&lt;='Construction Dashboard'!$F43,IFERROR(VLOOKUP(CostRemaining[[#This Row],[Cost]],Upgrades[],MATCH("C"&amp;CostRemaining[#Headers],Upgrades[#Headers],0),FALSE),0)*MAX(0,SUM('Construction Dashboard'!$G43:O43)),0)</f>
        <v>0</v>
      </c>
      <c r="O39" s="55">
        <f ca="1">IF(VALUE(CostRemaining[#Headers])&lt;='Construction Dashboard'!$F43,IFERROR(VLOOKUP(CostRemaining[[#This Row],[Cost]],Upgrades[],MATCH("C"&amp;CostRemaining[#Headers],Upgrades[#Headers],0),FALSE),0)*MAX(0,SUM('Construction Dashboard'!$G43:P43)),0)</f>
        <v>0</v>
      </c>
      <c r="P39" s="55">
        <f ca="1">IF(VALUE(CostRemaining[#Headers])&lt;='Construction Dashboard'!$F43,IFERROR(VLOOKUP(CostRemaining[[#This Row],[Cost]],Upgrades[],MATCH("C"&amp;CostRemaining[#Headers],Upgrades[#Headers],0),FALSE),0)*MAX(0,SUM('Construction Dashboard'!$G43:Q43)),0)</f>
        <v>0</v>
      </c>
      <c r="Q39" s="55">
        <f ca="1">IF(VALUE(CostRemaining[#Headers])&lt;='Construction Dashboard'!$F43,IFERROR(VLOOKUP(CostRemaining[[#This Row],[Cost]],Upgrades[],MATCH("C"&amp;CostRemaining[#Headers],Upgrades[#Headers],0),FALSE),0)*MAX(0,SUM('Construction Dashboard'!$G43:R43)),0)</f>
        <v>0</v>
      </c>
      <c r="R39" s="55">
        <f ca="1">IF(CostRemaining[[#This Row],[MatchStr]]="IGNORE",0,SUM(CostRemaining[[#This Row],[1]:[12]]))</f>
        <v>0</v>
      </c>
    </row>
    <row r="40" spans="1:18">
      <c r="A40" s="11" t="s">
        <v>26</v>
      </c>
      <c r="B40" s="11" t="str">
        <f>VLOOKUP(CostRemaining[[#This Row],[Cost]],Upgrades[],2,FALSE)</f>
        <v>Building</v>
      </c>
      <c r="C40" s="11" t="str">
        <f>VLOOKUP(CostRemaining[[#This Row],[Cost]],Upgrades[],3,FALSE)</f>
        <v>Gold</v>
      </c>
      <c r="D40" s="131" t="str">
        <f>IF(COUNTIF(Skips,CostRemaining[[#This Row],[Cost]])&gt;0,"IGNORE",CostRemaining[Kind]&amp;"-"&amp;CostRemaining[Resource])</f>
        <v>Building-Gold</v>
      </c>
      <c r="E40" s="54" t="str">
        <f ca="1">IFERROR(VLOOKUP(CostRemaining[[#This Row],[Cost]],Upgrades[],MATCH("C"&amp;MATCH(TRUE,INDEX(CostRemaining[[#This Row],[1]:[12]]&lt;&gt;0,),0),Upgrades[#Headers],0),FALSE),"")</f>
        <v/>
      </c>
      <c r="F40" s="55">
        <f ca="1">IF(VALUE(CostRemaining[#Headers])&lt;='Construction Dashboard'!$F44,IFERROR(VLOOKUP(CostRemaining[[#This Row],[Cost]],Upgrades[],MATCH("C"&amp;CostRemaining[#Headers],Upgrades[#Headers],0),FALSE),0)*MAX(0,SUM('Construction Dashboard'!$G44:G44)),0)</f>
        <v>0</v>
      </c>
      <c r="G40" s="55">
        <f ca="1">IF(VALUE(CostRemaining[#Headers])&lt;='Construction Dashboard'!$F44,IFERROR(VLOOKUP(CostRemaining[[#This Row],[Cost]],Upgrades[],MATCH("C"&amp;CostRemaining[#Headers],Upgrades[#Headers],0),FALSE),0)*MAX(0,SUM('Construction Dashboard'!$G44:H44)),0)</f>
        <v>0</v>
      </c>
      <c r="H40" s="55">
        <f ca="1">IF(VALUE(CostRemaining[#Headers])&lt;='Construction Dashboard'!$F44,IFERROR(VLOOKUP(CostRemaining[[#This Row],[Cost]],Upgrades[],MATCH("C"&amp;CostRemaining[#Headers],Upgrades[#Headers],0),FALSE),0)*MAX(0,SUM('Construction Dashboard'!$G44:I44)),0)</f>
        <v>0</v>
      </c>
      <c r="I40" s="55">
        <f ca="1">IF(VALUE(CostRemaining[#Headers])&lt;='Construction Dashboard'!$F44,IFERROR(VLOOKUP(CostRemaining[[#This Row],[Cost]],Upgrades[],MATCH("C"&amp;CostRemaining[#Headers],Upgrades[#Headers],0),FALSE),0)*MAX(0,SUM('Construction Dashboard'!$G44:J44)),0)</f>
        <v>0</v>
      </c>
      <c r="J40" s="55">
        <f ca="1">IF(VALUE(CostRemaining[#Headers])&lt;='Construction Dashboard'!$F44,IFERROR(VLOOKUP(CostRemaining[[#This Row],[Cost]],Upgrades[],MATCH("C"&amp;CostRemaining[#Headers],Upgrades[#Headers],0),FALSE),0)*MAX(0,SUM('Construction Dashboard'!$G44:K44)),0)</f>
        <v>0</v>
      </c>
      <c r="K40" s="55">
        <f ca="1">IF(VALUE(CostRemaining[#Headers])&lt;='Construction Dashboard'!$F44,IFERROR(VLOOKUP(CostRemaining[[#This Row],[Cost]],Upgrades[],MATCH("C"&amp;CostRemaining[#Headers],Upgrades[#Headers],0),FALSE),0)*MAX(0,SUM('Construction Dashboard'!$G44:L44)),0)</f>
        <v>0</v>
      </c>
      <c r="L40" s="55">
        <f ca="1">IF(VALUE(CostRemaining[#Headers])&lt;='Construction Dashboard'!$F44,IFERROR(VLOOKUP(CostRemaining[[#This Row],[Cost]],Upgrades[],MATCH("C"&amp;CostRemaining[#Headers],Upgrades[#Headers],0),FALSE),0)*MAX(0,SUM('Construction Dashboard'!$G44:M44)),0)</f>
        <v>0</v>
      </c>
      <c r="M40" s="55">
        <f ca="1">IF(VALUE(CostRemaining[#Headers])&lt;='Construction Dashboard'!$F44,IFERROR(VLOOKUP(CostRemaining[[#This Row],[Cost]],Upgrades[],MATCH("C"&amp;CostRemaining[#Headers],Upgrades[#Headers],0),FALSE),0)*MAX(0,SUM('Construction Dashboard'!$G44:N44)),0)</f>
        <v>0</v>
      </c>
      <c r="N40" s="55">
        <f ca="1">IF(VALUE(CostRemaining[#Headers])&lt;='Construction Dashboard'!$F44,IFERROR(VLOOKUP(CostRemaining[[#This Row],[Cost]],Upgrades[],MATCH("C"&amp;CostRemaining[#Headers],Upgrades[#Headers],0),FALSE),0)*MAX(0,SUM('Construction Dashboard'!$G44:O44)),0)</f>
        <v>0</v>
      </c>
      <c r="O40" s="55">
        <f ca="1">IF(VALUE(CostRemaining[#Headers])&lt;='Construction Dashboard'!$F44,IFERROR(VLOOKUP(CostRemaining[[#This Row],[Cost]],Upgrades[],MATCH("C"&amp;CostRemaining[#Headers],Upgrades[#Headers],0),FALSE),0)*MAX(0,SUM('Construction Dashboard'!$G44:P44)),0)</f>
        <v>0</v>
      </c>
      <c r="P40" s="55">
        <f ca="1">IF(VALUE(CostRemaining[#Headers])&lt;='Construction Dashboard'!$F44,IFERROR(VLOOKUP(CostRemaining[[#This Row],[Cost]],Upgrades[],MATCH("C"&amp;CostRemaining[#Headers],Upgrades[#Headers],0),FALSE),0)*MAX(0,SUM('Construction Dashboard'!$G44:Q44)),0)</f>
        <v>0</v>
      </c>
      <c r="Q40" s="55">
        <f ca="1">IF(VALUE(CostRemaining[#Headers])&lt;='Construction Dashboard'!$F44,IFERROR(VLOOKUP(CostRemaining[[#This Row],[Cost]],Upgrades[],MATCH("C"&amp;CostRemaining[#Headers],Upgrades[#Headers],0),FALSE),0)*MAX(0,SUM('Construction Dashboard'!$G44:R44)),0)</f>
        <v>0</v>
      </c>
      <c r="R40" s="55">
        <f ca="1">IF(CostRemaining[[#This Row],[MatchStr]]="IGNORE",0,SUM(CostRemaining[[#This Row],[1]:[12]]))</f>
        <v>0</v>
      </c>
    </row>
    <row r="41" spans="1:18">
      <c r="A41" s="11" t="s">
        <v>9</v>
      </c>
      <c r="B41" s="11" t="str">
        <f>VLOOKUP(CostRemaining[[#This Row],[Cost]],Upgrades[],2,FALSE)</f>
        <v>Building</v>
      </c>
      <c r="C41" s="11" t="str">
        <f>VLOOKUP(CostRemaining[[#This Row],[Cost]],Upgrades[],3,FALSE)</f>
        <v>Gold</v>
      </c>
      <c r="D41" s="131" t="str">
        <f>IF(COUNTIF(Skips,CostRemaining[[#This Row],[Cost]])&gt;0,"IGNORE",CostRemaining[Kind]&amp;"-"&amp;CostRemaining[Resource])</f>
        <v>Building-Gold</v>
      </c>
      <c r="E41" s="54" t="str">
        <f ca="1">IFERROR(VLOOKUP(CostRemaining[[#This Row],[Cost]],Upgrades[],MATCH("C"&amp;MATCH(TRUE,INDEX(CostRemaining[[#This Row],[1]:[12]]&lt;&gt;0,),0),Upgrades[#Headers],0),FALSE),"")</f>
        <v/>
      </c>
      <c r="F41" s="55">
        <f ca="1">IF(VALUE(CostRemaining[#Headers])&lt;='Construction Dashboard'!$F45,IFERROR(VLOOKUP(CostRemaining[[#This Row],[Cost]],Upgrades[],MATCH("C"&amp;CostRemaining[#Headers],Upgrades[#Headers],0),FALSE),0)*MAX(0,SUM('Construction Dashboard'!$G45:G45)),0)</f>
        <v>0</v>
      </c>
      <c r="G41" s="55">
        <f ca="1">IF(VALUE(CostRemaining[#Headers])&lt;='Construction Dashboard'!$F45,IFERROR(VLOOKUP(CostRemaining[[#This Row],[Cost]],Upgrades[],MATCH("C"&amp;CostRemaining[#Headers],Upgrades[#Headers],0),FALSE),0)*MAX(0,SUM('Construction Dashboard'!$G45:H45)),0)</f>
        <v>0</v>
      </c>
      <c r="H41" s="55">
        <f ca="1">IF(VALUE(CostRemaining[#Headers])&lt;='Construction Dashboard'!$F45,IFERROR(VLOOKUP(CostRemaining[[#This Row],[Cost]],Upgrades[],MATCH("C"&amp;CostRemaining[#Headers],Upgrades[#Headers],0),FALSE),0)*MAX(0,SUM('Construction Dashboard'!$G45:I45)),0)</f>
        <v>0</v>
      </c>
      <c r="I41" s="55">
        <f ca="1">IF(VALUE(CostRemaining[#Headers])&lt;='Construction Dashboard'!$F45,IFERROR(VLOOKUP(CostRemaining[[#This Row],[Cost]],Upgrades[],MATCH("C"&amp;CostRemaining[#Headers],Upgrades[#Headers],0),FALSE),0)*MAX(0,SUM('Construction Dashboard'!$G45:J45)),0)</f>
        <v>0</v>
      </c>
      <c r="J41" s="55">
        <f ca="1">IF(VALUE(CostRemaining[#Headers])&lt;='Construction Dashboard'!$F45,IFERROR(VLOOKUP(CostRemaining[[#This Row],[Cost]],Upgrades[],MATCH("C"&amp;CostRemaining[#Headers],Upgrades[#Headers],0),FALSE),0)*MAX(0,SUM('Construction Dashboard'!$G45:K45)),0)</f>
        <v>0</v>
      </c>
      <c r="K41" s="55">
        <f ca="1">IF(VALUE(CostRemaining[#Headers])&lt;='Construction Dashboard'!$F45,IFERROR(VLOOKUP(CostRemaining[[#This Row],[Cost]],Upgrades[],MATCH("C"&amp;CostRemaining[#Headers],Upgrades[#Headers],0),FALSE),0)*MAX(0,SUM('Construction Dashboard'!$G45:L45)),0)</f>
        <v>0</v>
      </c>
      <c r="L41" s="55">
        <f ca="1">IF(VALUE(CostRemaining[#Headers])&lt;='Construction Dashboard'!$F45,IFERROR(VLOOKUP(CostRemaining[[#This Row],[Cost]],Upgrades[],MATCH("C"&amp;CostRemaining[#Headers],Upgrades[#Headers],0),FALSE),0)*MAX(0,SUM('Construction Dashboard'!$G45:M45)),0)</f>
        <v>0</v>
      </c>
      <c r="M41" s="55">
        <f ca="1">IF(VALUE(CostRemaining[#Headers])&lt;='Construction Dashboard'!$F45,IFERROR(VLOOKUP(CostRemaining[[#This Row],[Cost]],Upgrades[],MATCH("C"&amp;CostRemaining[#Headers],Upgrades[#Headers],0),FALSE),0)*MAX(0,SUM('Construction Dashboard'!$G45:N45)),0)</f>
        <v>0</v>
      </c>
      <c r="N41" s="55">
        <f ca="1">IF(VALUE(CostRemaining[#Headers])&lt;='Construction Dashboard'!$F45,IFERROR(VLOOKUP(CostRemaining[[#This Row],[Cost]],Upgrades[],MATCH("C"&amp;CostRemaining[#Headers],Upgrades[#Headers],0),FALSE),0)*MAX(0,SUM('Construction Dashboard'!$G45:O45)),0)</f>
        <v>0</v>
      </c>
      <c r="O41" s="55">
        <f ca="1">IF(VALUE(CostRemaining[#Headers])&lt;='Construction Dashboard'!$F45,IFERROR(VLOOKUP(CostRemaining[[#This Row],[Cost]],Upgrades[],MATCH("C"&amp;CostRemaining[#Headers],Upgrades[#Headers],0),FALSE),0)*MAX(0,SUM('Construction Dashboard'!$G45:P45)),0)</f>
        <v>0</v>
      </c>
      <c r="P41" s="55">
        <f ca="1">IF(VALUE(CostRemaining[#Headers])&lt;='Construction Dashboard'!$F45,IFERROR(VLOOKUP(CostRemaining[[#This Row],[Cost]],Upgrades[],MATCH("C"&amp;CostRemaining[#Headers],Upgrades[#Headers],0),FALSE),0)*MAX(0,SUM('Construction Dashboard'!$G45:Q45)),0)</f>
        <v>0</v>
      </c>
      <c r="Q41" s="55">
        <f ca="1">IF(VALUE(CostRemaining[#Headers])&lt;='Construction Dashboard'!$F45,IFERROR(VLOOKUP(CostRemaining[[#This Row],[Cost]],Upgrades[],MATCH("C"&amp;CostRemaining[#Headers],Upgrades[#Headers],0),FALSE),0)*MAX(0,SUM('Construction Dashboard'!$G45:R45)),0)</f>
        <v>0</v>
      </c>
      <c r="R41" s="55">
        <f ca="1">IF(CostRemaining[[#This Row],[MatchStr]]="IGNORE",0,SUM(CostRemaining[[#This Row],[1]:[12]]))</f>
        <v>0</v>
      </c>
    </row>
    <row r="42" spans="1:18">
      <c r="A42" s="11" t="s">
        <v>10</v>
      </c>
      <c r="B42" s="11" t="str">
        <f>VLOOKUP(CostRemaining[[#This Row],[Cost]],Upgrades[],2,FALSE)</f>
        <v>Building</v>
      </c>
      <c r="C42" s="11" t="str">
        <f>VLOOKUP(CostRemaining[[#This Row],[Cost]],Upgrades[],3,FALSE)</f>
        <v>Gold</v>
      </c>
      <c r="D42" s="131" t="str">
        <f>IF(COUNTIF(Skips,CostRemaining[[#This Row],[Cost]])&gt;0,"IGNORE",CostRemaining[Kind]&amp;"-"&amp;CostRemaining[Resource])</f>
        <v>Building-Gold</v>
      </c>
      <c r="E42" s="54" t="str">
        <f ca="1">IFERROR(VLOOKUP(CostRemaining[[#This Row],[Cost]],Upgrades[],MATCH("C"&amp;MATCH(TRUE,INDEX(CostRemaining[[#This Row],[1]:[12]]&lt;&gt;0,),0),Upgrades[#Headers],0),FALSE),"")</f>
        <v/>
      </c>
      <c r="F42" s="55">
        <f ca="1">IF(VALUE(CostRemaining[#Headers])&lt;='Construction Dashboard'!$F46,IFERROR(VLOOKUP(CostRemaining[[#This Row],[Cost]],Upgrades[],MATCH("C"&amp;CostRemaining[#Headers],Upgrades[#Headers],0),FALSE),0)*MAX(0,SUM('Construction Dashboard'!$G46:G46)),0)</f>
        <v>0</v>
      </c>
      <c r="G42" s="55">
        <f ca="1">IF(VALUE(CostRemaining[#Headers])&lt;='Construction Dashboard'!$F46,IFERROR(VLOOKUP(CostRemaining[[#This Row],[Cost]],Upgrades[],MATCH("C"&amp;CostRemaining[#Headers],Upgrades[#Headers],0),FALSE),0)*MAX(0,SUM('Construction Dashboard'!$G46:H46)),0)</f>
        <v>0</v>
      </c>
      <c r="H42" s="55">
        <f ca="1">IF(VALUE(CostRemaining[#Headers])&lt;='Construction Dashboard'!$F46,IFERROR(VLOOKUP(CostRemaining[[#This Row],[Cost]],Upgrades[],MATCH("C"&amp;CostRemaining[#Headers],Upgrades[#Headers],0),FALSE),0)*MAX(0,SUM('Construction Dashboard'!$G46:I46)),0)</f>
        <v>0</v>
      </c>
      <c r="I42" s="55">
        <f ca="1">IF(VALUE(CostRemaining[#Headers])&lt;='Construction Dashboard'!$F46,IFERROR(VLOOKUP(CostRemaining[[#This Row],[Cost]],Upgrades[],MATCH("C"&amp;CostRemaining[#Headers],Upgrades[#Headers],0),FALSE),0)*MAX(0,SUM('Construction Dashboard'!$G46:J46)),0)</f>
        <v>0</v>
      </c>
      <c r="J42" s="55">
        <f ca="1">IF(VALUE(CostRemaining[#Headers])&lt;='Construction Dashboard'!$F46,IFERROR(VLOOKUP(CostRemaining[[#This Row],[Cost]],Upgrades[],MATCH("C"&amp;CostRemaining[#Headers],Upgrades[#Headers],0),FALSE),0)*MAX(0,SUM('Construction Dashboard'!$G46:K46)),0)</f>
        <v>0</v>
      </c>
      <c r="K42" s="55">
        <f ca="1">IF(VALUE(CostRemaining[#Headers])&lt;='Construction Dashboard'!$F46,IFERROR(VLOOKUP(CostRemaining[[#This Row],[Cost]],Upgrades[],MATCH("C"&amp;CostRemaining[#Headers],Upgrades[#Headers],0),FALSE),0)*MAX(0,SUM('Construction Dashboard'!$G46:L46)),0)</f>
        <v>0</v>
      </c>
      <c r="L42" s="55">
        <f ca="1">IF(VALUE(CostRemaining[#Headers])&lt;='Construction Dashboard'!$F46,IFERROR(VLOOKUP(CostRemaining[[#This Row],[Cost]],Upgrades[],MATCH("C"&amp;CostRemaining[#Headers],Upgrades[#Headers],0),FALSE),0)*MAX(0,SUM('Construction Dashboard'!$G46:M46)),0)</f>
        <v>0</v>
      </c>
      <c r="M42" s="55">
        <f ca="1">IF(VALUE(CostRemaining[#Headers])&lt;='Construction Dashboard'!$F46,IFERROR(VLOOKUP(CostRemaining[[#This Row],[Cost]],Upgrades[],MATCH("C"&amp;CostRemaining[#Headers],Upgrades[#Headers],0),FALSE),0)*MAX(0,SUM('Construction Dashboard'!$G46:N46)),0)</f>
        <v>0</v>
      </c>
      <c r="N42" s="55">
        <f ca="1">IF(VALUE(CostRemaining[#Headers])&lt;='Construction Dashboard'!$F46,IFERROR(VLOOKUP(CostRemaining[[#This Row],[Cost]],Upgrades[],MATCH("C"&amp;CostRemaining[#Headers],Upgrades[#Headers],0),FALSE),0)*MAX(0,SUM('Construction Dashboard'!$G46:O46)),0)</f>
        <v>0</v>
      </c>
      <c r="O42" s="55">
        <f ca="1">IF(VALUE(CostRemaining[#Headers])&lt;='Construction Dashboard'!$F46,IFERROR(VLOOKUP(CostRemaining[[#This Row],[Cost]],Upgrades[],MATCH("C"&amp;CostRemaining[#Headers],Upgrades[#Headers],0),FALSE),0)*MAX(0,SUM('Construction Dashboard'!$G46:P46)),0)</f>
        <v>0</v>
      </c>
      <c r="P42" s="55">
        <f ca="1">IF(VALUE(CostRemaining[#Headers])&lt;='Construction Dashboard'!$F46,IFERROR(VLOOKUP(CostRemaining[[#This Row],[Cost]],Upgrades[],MATCH("C"&amp;CostRemaining[#Headers],Upgrades[#Headers],0),FALSE),0)*MAX(0,SUM('Construction Dashboard'!$G46:Q46)),0)</f>
        <v>0</v>
      </c>
      <c r="Q42" s="55">
        <f ca="1">IF(VALUE(CostRemaining[#Headers])&lt;='Construction Dashboard'!$F46,IFERROR(VLOOKUP(CostRemaining[[#This Row],[Cost]],Upgrades[],MATCH("C"&amp;CostRemaining[#Headers],Upgrades[#Headers],0),FALSE),0)*MAX(0,SUM('Construction Dashboard'!$G46:R46)),0)</f>
        <v>0</v>
      </c>
      <c r="R42" s="55">
        <f ca="1">IF(CostRemaining[[#This Row],[MatchStr]]="IGNORE",0,SUM(CostRemaining[[#This Row],[1]:[12]]))</f>
        <v>0</v>
      </c>
    </row>
    <row r="43" spans="1:18">
      <c r="A43" s="11" t="s">
        <v>27</v>
      </c>
      <c r="B43" s="11" t="str">
        <f>VLOOKUP(CostRemaining[[#This Row],[Cost]],Upgrades[],2,FALSE)</f>
        <v>Building</v>
      </c>
      <c r="C43" s="11" t="str">
        <f>VLOOKUP(CostRemaining[[#This Row],[Cost]],Upgrades[],3,FALSE)</f>
        <v>Gold</v>
      </c>
      <c r="D43" s="131" t="str">
        <f>IF(COUNTIF(Skips,CostRemaining[[#This Row],[Cost]])&gt;0,"IGNORE",CostRemaining[Kind]&amp;"-"&amp;CostRemaining[Resource])</f>
        <v>Building-Gold</v>
      </c>
      <c r="E43" s="54" t="str">
        <f ca="1">IFERROR(VLOOKUP(CostRemaining[[#This Row],[Cost]],Upgrades[],MATCH("C"&amp;MATCH(TRUE,INDEX(CostRemaining[[#This Row],[1]:[12]]&lt;&gt;0,),0),Upgrades[#Headers],0),FALSE),"")</f>
        <v/>
      </c>
      <c r="F43" s="55">
        <f ca="1">IF(VALUE(CostRemaining[#Headers])&lt;='Construction Dashboard'!$F47,IFERROR(VLOOKUP(CostRemaining[[#This Row],[Cost]],Upgrades[],MATCH("C"&amp;CostRemaining[#Headers],Upgrades[#Headers],0),FALSE),0)*MAX(0,SUM('Construction Dashboard'!$G47:G47)),0)</f>
        <v>0</v>
      </c>
      <c r="G43" s="55">
        <f ca="1">IF(VALUE(CostRemaining[#Headers])&lt;='Construction Dashboard'!$F47,IFERROR(VLOOKUP(CostRemaining[[#This Row],[Cost]],Upgrades[],MATCH("C"&amp;CostRemaining[#Headers],Upgrades[#Headers],0),FALSE),0)*MAX(0,SUM('Construction Dashboard'!$G47:H47)),0)</f>
        <v>0</v>
      </c>
      <c r="H43" s="55">
        <f ca="1">IF(VALUE(CostRemaining[#Headers])&lt;='Construction Dashboard'!$F47,IFERROR(VLOOKUP(CostRemaining[[#This Row],[Cost]],Upgrades[],MATCH("C"&amp;CostRemaining[#Headers],Upgrades[#Headers],0),FALSE),0)*MAX(0,SUM('Construction Dashboard'!$G47:I47)),0)</f>
        <v>0</v>
      </c>
      <c r="I43" s="55">
        <f ca="1">IF(VALUE(CostRemaining[#Headers])&lt;='Construction Dashboard'!$F47,IFERROR(VLOOKUP(CostRemaining[[#This Row],[Cost]],Upgrades[],MATCH("C"&amp;CostRemaining[#Headers],Upgrades[#Headers],0),FALSE),0)*MAX(0,SUM('Construction Dashboard'!$G47:J47)),0)</f>
        <v>0</v>
      </c>
      <c r="J43" s="55">
        <f ca="1">IF(VALUE(CostRemaining[#Headers])&lt;='Construction Dashboard'!$F47,IFERROR(VLOOKUP(CostRemaining[[#This Row],[Cost]],Upgrades[],MATCH("C"&amp;CostRemaining[#Headers],Upgrades[#Headers],0),FALSE),0)*MAX(0,SUM('Construction Dashboard'!$G47:K47)),0)</f>
        <v>0</v>
      </c>
      <c r="K43" s="55">
        <f ca="1">IF(VALUE(CostRemaining[#Headers])&lt;='Construction Dashboard'!$F47,IFERROR(VLOOKUP(CostRemaining[[#This Row],[Cost]],Upgrades[],MATCH("C"&amp;CostRemaining[#Headers],Upgrades[#Headers],0),FALSE),0)*MAX(0,SUM('Construction Dashboard'!$G47:L47)),0)</f>
        <v>0</v>
      </c>
      <c r="L43" s="55">
        <f ca="1">IF(VALUE(CostRemaining[#Headers])&lt;='Construction Dashboard'!$F47,IFERROR(VLOOKUP(CostRemaining[[#This Row],[Cost]],Upgrades[],MATCH("C"&amp;CostRemaining[#Headers],Upgrades[#Headers],0),FALSE),0)*MAX(0,SUM('Construction Dashboard'!$G47:M47)),0)</f>
        <v>0</v>
      </c>
      <c r="M43" s="55">
        <f ca="1">IF(VALUE(CostRemaining[#Headers])&lt;='Construction Dashboard'!$F47,IFERROR(VLOOKUP(CostRemaining[[#This Row],[Cost]],Upgrades[],MATCH("C"&amp;CostRemaining[#Headers],Upgrades[#Headers],0),FALSE),0)*MAX(0,SUM('Construction Dashboard'!$G47:N47)),0)</f>
        <v>0</v>
      </c>
      <c r="N43" s="55">
        <f ca="1">IF(VALUE(CostRemaining[#Headers])&lt;='Construction Dashboard'!$F47,IFERROR(VLOOKUP(CostRemaining[[#This Row],[Cost]],Upgrades[],MATCH("C"&amp;CostRemaining[#Headers],Upgrades[#Headers],0),FALSE),0)*MAX(0,SUM('Construction Dashboard'!$G47:O47)),0)</f>
        <v>0</v>
      </c>
      <c r="O43" s="55">
        <f ca="1">IF(VALUE(CostRemaining[#Headers])&lt;='Construction Dashboard'!$F47,IFERROR(VLOOKUP(CostRemaining[[#This Row],[Cost]],Upgrades[],MATCH("C"&amp;CostRemaining[#Headers],Upgrades[#Headers],0),FALSE),0)*MAX(0,SUM('Construction Dashboard'!$G47:P47)),0)</f>
        <v>0</v>
      </c>
      <c r="P43" s="55">
        <f ca="1">IF(VALUE(CostRemaining[#Headers])&lt;='Construction Dashboard'!$F47,IFERROR(VLOOKUP(CostRemaining[[#This Row],[Cost]],Upgrades[],MATCH("C"&amp;CostRemaining[#Headers],Upgrades[#Headers],0),FALSE),0)*MAX(0,SUM('Construction Dashboard'!$G47:Q47)),0)</f>
        <v>0</v>
      </c>
      <c r="Q43" s="55">
        <f ca="1">IF(VALUE(CostRemaining[#Headers])&lt;='Construction Dashboard'!$F47,IFERROR(VLOOKUP(CostRemaining[[#This Row],[Cost]],Upgrades[],MATCH("C"&amp;CostRemaining[#Headers],Upgrades[#Headers],0),FALSE),0)*MAX(0,SUM('Construction Dashboard'!$G47:R47)),0)</f>
        <v>0</v>
      </c>
      <c r="R43" s="55">
        <f ca="1">IF(CostRemaining[[#This Row],[MatchStr]]="IGNORE",0,SUM(CostRemaining[[#This Row],[1]:[12]]))</f>
        <v>0</v>
      </c>
    </row>
    <row r="44" spans="1:18">
      <c r="A44" s="11" t="s">
        <v>11</v>
      </c>
      <c r="B44" s="11" t="str">
        <f>VLOOKUP(CostRemaining[[#This Row],[Cost]],Upgrades[],2,FALSE)</f>
        <v>Building</v>
      </c>
      <c r="C44" s="11" t="str">
        <f>VLOOKUP(CostRemaining[[#This Row],[Cost]],Upgrades[],3,FALSE)</f>
        <v>Gold</v>
      </c>
      <c r="D44" s="131" t="str">
        <f>IF(COUNTIF(Skips,CostRemaining[[#This Row],[Cost]])&gt;0,"IGNORE",CostRemaining[Kind]&amp;"-"&amp;CostRemaining[Resource])</f>
        <v>Building-Gold</v>
      </c>
      <c r="E44" s="54" t="str">
        <f ca="1">IFERROR(VLOOKUP(CostRemaining[[#This Row],[Cost]],Upgrades[],MATCH("C"&amp;MATCH(TRUE,INDEX(CostRemaining[[#This Row],[1]:[12]]&lt;&gt;0,),0),Upgrades[#Headers],0),FALSE),"")</f>
        <v/>
      </c>
      <c r="F44" s="55">
        <f ca="1">IF(VALUE(CostRemaining[#Headers])&lt;='Construction Dashboard'!$F48,IFERROR(VLOOKUP(CostRemaining[[#This Row],[Cost]],Upgrades[],MATCH("C"&amp;CostRemaining[#Headers],Upgrades[#Headers],0),FALSE),0)*MAX(0,SUM('Construction Dashboard'!$G48:G48)),0)</f>
        <v>0</v>
      </c>
      <c r="G44" s="55">
        <f ca="1">IF(VALUE(CostRemaining[#Headers])&lt;='Construction Dashboard'!$F48,IFERROR(VLOOKUP(CostRemaining[[#This Row],[Cost]],Upgrades[],MATCH("C"&amp;CostRemaining[#Headers],Upgrades[#Headers],0),FALSE),0)*MAX(0,SUM('Construction Dashboard'!$G48:H48)),0)</f>
        <v>0</v>
      </c>
      <c r="H44" s="55">
        <f ca="1">IF(VALUE(CostRemaining[#Headers])&lt;='Construction Dashboard'!$F48,IFERROR(VLOOKUP(CostRemaining[[#This Row],[Cost]],Upgrades[],MATCH("C"&amp;CostRemaining[#Headers],Upgrades[#Headers],0),FALSE),0)*MAX(0,SUM('Construction Dashboard'!$G48:I48)),0)</f>
        <v>0</v>
      </c>
      <c r="I44" s="55">
        <f ca="1">IF(VALUE(CostRemaining[#Headers])&lt;='Construction Dashboard'!$F48,IFERROR(VLOOKUP(CostRemaining[[#This Row],[Cost]],Upgrades[],MATCH("C"&amp;CostRemaining[#Headers],Upgrades[#Headers],0),FALSE),0)*MAX(0,SUM('Construction Dashboard'!$G48:J48)),0)</f>
        <v>0</v>
      </c>
      <c r="J44" s="55">
        <f ca="1">IF(VALUE(CostRemaining[#Headers])&lt;='Construction Dashboard'!$F48,IFERROR(VLOOKUP(CostRemaining[[#This Row],[Cost]],Upgrades[],MATCH("C"&amp;CostRemaining[#Headers],Upgrades[#Headers],0),FALSE),0)*MAX(0,SUM('Construction Dashboard'!$G48:K48)),0)</f>
        <v>0</v>
      </c>
      <c r="K44" s="55">
        <f ca="1">IF(VALUE(CostRemaining[#Headers])&lt;='Construction Dashboard'!$F48,IFERROR(VLOOKUP(CostRemaining[[#This Row],[Cost]],Upgrades[],MATCH("C"&amp;CostRemaining[#Headers],Upgrades[#Headers],0),FALSE),0)*MAX(0,SUM('Construction Dashboard'!$G48:L48)),0)</f>
        <v>0</v>
      </c>
      <c r="L44" s="55">
        <f ca="1">IF(VALUE(CostRemaining[#Headers])&lt;='Construction Dashboard'!$F48,IFERROR(VLOOKUP(CostRemaining[[#This Row],[Cost]],Upgrades[],MATCH("C"&amp;CostRemaining[#Headers],Upgrades[#Headers],0),FALSE),0)*MAX(0,SUM('Construction Dashboard'!$G48:M48)),0)</f>
        <v>0</v>
      </c>
      <c r="M44" s="55">
        <f ca="1">IF(VALUE(CostRemaining[#Headers])&lt;='Construction Dashboard'!$F48,IFERROR(VLOOKUP(CostRemaining[[#This Row],[Cost]],Upgrades[],MATCH("C"&amp;CostRemaining[#Headers],Upgrades[#Headers],0),FALSE),0)*MAX(0,SUM('Construction Dashboard'!$G48:N48)),0)</f>
        <v>0</v>
      </c>
      <c r="N44" s="55">
        <f ca="1">IF(VALUE(CostRemaining[#Headers])&lt;='Construction Dashboard'!$F48,IFERROR(VLOOKUP(CostRemaining[[#This Row],[Cost]],Upgrades[],MATCH("C"&amp;CostRemaining[#Headers],Upgrades[#Headers],0),FALSE),0)*MAX(0,SUM('Construction Dashboard'!$G48:O48)),0)</f>
        <v>0</v>
      </c>
      <c r="O44" s="55">
        <f ca="1">IF(VALUE(CostRemaining[#Headers])&lt;='Construction Dashboard'!$F48,IFERROR(VLOOKUP(CostRemaining[[#This Row],[Cost]],Upgrades[],MATCH("C"&amp;CostRemaining[#Headers],Upgrades[#Headers],0),FALSE),0)*MAX(0,SUM('Construction Dashboard'!$G48:P48)),0)</f>
        <v>0</v>
      </c>
      <c r="P44" s="55">
        <f ca="1">IF(VALUE(CostRemaining[#Headers])&lt;='Construction Dashboard'!$F48,IFERROR(VLOOKUP(CostRemaining[[#This Row],[Cost]],Upgrades[],MATCH("C"&amp;CostRemaining[#Headers],Upgrades[#Headers],0),FALSE),0)*MAX(0,SUM('Construction Dashboard'!$G48:Q48)),0)</f>
        <v>0</v>
      </c>
      <c r="Q44" s="55">
        <f ca="1">IF(VALUE(CostRemaining[#Headers])&lt;='Construction Dashboard'!$F48,IFERROR(VLOOKUP(CostRemaining[[#This Row],[Cost]],Upgrades[],MATCH("C"&amp;CostRemaining[#Headers],Upgrades[#Headers],0),FALSE),0)*MAX(0,SUM('Construction Dashboard'!$G48:R48)),0)</f>
        <v>0</v>
      </c>
      <c r="R44" s="55">
        <f ca="1">IF(CostRemaining[[#This Row],[MatchStr]]="IGNORE",0,SUM(CostRemaining[[#This Row],[1]:[12]]))</f>
        <v>0</v>
      </c>
    </row>
    <row r="45" spans="1:18">
      <c r="A45" s="11" t="s">
        <v>12</v>
      </c>
      <c r="B45" s="11" t="str">
        <f>VLOOKUP(CostRemaining[[#This Row],[Cost]],Upgrades[],2,FALSE)</f>
        <v>Building</v>
      </c>
      <c r="C45" s="11" t="str">
        <f>VLOOKUP(CostRemaining[[#This Row],[Cost]],Upgrades[],3,FALSE)</f>
        <v>Gold</v>
      </c>
      <c r="D45" s="131" t="str">
        <f>IF(COUNTIF(Skips,CostRemaining[[#This Row],[Cost]])&gt;0,"IGNORE",CostRemaining[Kind]&amp;"-"&amp;CostRemaining[Resource])</f>
        <v>Building-Gold</v>
      </c>
      <c r="E45" s="54" t="str">
        <f ca="1">IFERROR(VLOOKUP(CostRemaining[[#This Row],[Cost]],Upgrades[],MATCH("C"&amp;MATCH(TRUE,INDEX(CostRemaining[[#This Row],[1]:[12]]&lt;&gt;0,),0),Upgrades[#Headers],0),FALSE),"")</f>
        <v/>
      </c>
      <c r="F45" s="55">
        <f ca="1">IF(VALUE(CostRemaining[#Headers])&lt;='Construction Dashboard'!$F49,IFERROR(VLOOKUP(CostRemaining[[#This Row],[Cost]],Upgrades[],MATCH("C"&amp;CostRemaining[#Headers],Upgrades[#Headers],0),FALSE),0)*MAX(0,SUM('Construction Dashboard'!$G49:G49)),0)</f>
        <v>0</v>
      </c>
      <c r="G45" s="55">
        <f ca="1">IF(VALUE(CostRemaining[#Headers])&lt;='Construction Dashboard'!$F49,IFERROR(VLOOKUP(CostRemaining[[#This Row],[Cost]],Upgrades[],MATCH("C"&amp;CostRemaining[#Headers],Upgrades[#Headers],0),FALSE),0)*MAX(0,SUM('Construction Dashboard'!$G49:H49)),0)</f>
        <v>0</v>
      </c>
      <c r="H45" s="55">
        <f ca="1">IF(VALUE(CostRemaining[#Headers])&lt;='Construction Dashboard'!$F49,IFERROR(VLOOKUP(CostRemaining[[#This Row],[Cost]],Upgrades[],MATCH("C"&amp;CostRemaining[#Headers],Upgrades[#Headers],0),FALSE),0)*MAX(0,SUM('Construction Dashboard'!$G49:I49)),0)</f>
        <v>0</v>
      </c>
      <c r="I45" s="55">
        <f ca="1">IF(VALUE(CostRemaining[#Headers])&lt;='Construction Dashboard'!$F49,IFERROR(VLOOKUP(CostRemaining[[#This Row],[Cost]],Upgrades[],MATCH("C"&amp;CostRemaining[#Headers],Upgrades[#Headers],0),FALSE),0)*MAX(0,SUM('Construction Dashboard'!$G49:J49)),0)</f>
        <v>0</v>
      </c>
      <c r="J45" s="55">
        <f ca="1">IF(VALUE(CostRemaining[#Headers])&lt;='Construction Dashboard'!$F49,IFERROR(VLOOKUP(CostRemaining[[#This Row],[Cost]],Upgrades[],MATCH("C"&amp;CostRemaining[#Headers],Upgrades[#Headers],0),FALSE),0)*MAX(0,SUM('Construction Dashboard'!$G49:K49)),0)</f>
        <v>0</v>
      </c>
      <c r="K45" s="55">
        <f ca="1">IF(VALUE(CostRemaining[#Headers])&lt;='Construction Dashboard'!$F49,IFERROR(VLOOKUP(CostRemaining[[#This Row],[Cost]],Upgrades[],MATCH("C"&amp;CostRemaining[#Headers],Upgrades[#Headers],0),FALSE),0)*MAX(0,SUM('Construction Dashboard'!$G49:L49)),0)</f>
        <v>0</v>
      </c>
      <c r="L45" s="55">
        <f ca="1">IF(VALUE(CostRemaining[#Headers])&lt;='Construction Dashboard'!$F49,IFERROR(VLOOKUP(CostRemaining[[#This Row],[Cost]],Upgrades[],MATCH("C"&amp;CostRemaining[#Headers],Upgrades[#Headers],0),FALSE),0)*MAX(0,SUM('Construction Dashboard'!$G49:M49)),0)</f>
        <v>0</v>
      </c>
      <c r="M45" s="55">
        <f ca="1">IF(VALUE(CostRemaining[#Headers])&lt;='Construction Dashboard'!$F49,IFERROR(VLOOKUP(CostRemaining[[#This Row],[Cost]],Upgrades[],MATCH("C"&amp;CostRemaining[#Headers],Upgrades[#Headers],0),FALSE),0)*MAX(0,SUM('Construction Dashboard'!$G49:N49)),0)</f>
        <v>0</v>
      </c>
      <c r="N45" s="55">
        <f ca="1">IF(VALUE(CostRemaining[#Headers])&lt;='Construction Dashboard'!$F49,IFERROR(VLOOKUP(CostRemaining[[#This Row],[Cost]],Upgrades[],MATCH("C"&amp;CostRemaining[#Headers],Upgrades[#Headers],0),FALSE),0)*MAX(0,SUM('Construction Dashboard'!$G49:O49)),0)</f>
        <v>0</v>
      </c>
      <c r="O45" s="55">
        <f ca="1">IF(VALUE(CostRemaining[#Headers])&lt;='Construction Dashboard'!$F49,IFERROR(VLOOKUP(CostRemaining[[#This Row],[Cost]],Upgrades[],MATCH("C"&amp;CostRemaining[#Headers],Upgrades[#Headers],0),FALSE),0)*MAX(0,SUM('Construction Dashboard'!$G49:P49)),0)</f>
        <v>0</v>
      </c>
      <c r="P45" s="55">
        <f ca="1">IF(VALUE(CostRemaining[#Headers])&lt;='Construction Dashboard'!$F49,IFERROR(VLOOKUP(CostRemaining[[#This Row],[Cost]],Upgrades[],MATCH("C"&amp;CostRemaining[#Headers],Upgrades[#Headers],0),FALSE),0)*MAX(0,SUM('Construction Dashboard'!$G49:Q49)),0)</f>
        <v>0</v>
      </c>
      <c r="Q45" s="55">
        <f ca="1">IF(VALUE(CostRemaining[#Headers])&lt;='Construction Dashboard'!$F49,IFERROR(VLOOKUP(CostRemaining[[#This Row],[Cost]],Upgrades[],MATCH("C"&amp;CostRemaining[#Headers],Upgrades[#Headers],0),FALSE),0)*MAX(0,SUM('Construction Dashboard'!$G49:R49)),0)</f>
        <v>0</v>
      </c>
      <c r="R45" s="55">
        <f ca="1">IF(CostRemaining[[#This Row],[MatchStr]]="IGNORE",0,SUM(CostRemaining[[#This Row],[1]:[12]]))</f>
        <v>0</v>
      </c>
    </row>
    <row r="46" spans="1:18">
      <c r="A46" s="11" t="s">
        <v>28</v>
      </c>
      <c r="B46" s="11" t="str">
        <f>VLOOKUP(CostRemaining[[#This Row],[Cost]],Upgrades[],2,FALSE)</f>
        <v>Building</v>
      </c>
      <c r="C46" s="11" t="str">
        <f>VLOOKUP(CostRemaining[[#This Row],[Cost]],Upgrades[],3,FALSE)</f>
        <v>Gold</v>
      </c>
      <c r="D46" s="131" t="str">
        <f>IF(COUNTIF(Skips,CostRemaining[[#This Row],[Cost]])&gt;0,"IGNORE",CostRemaining[Kind]&amp;"-"&amp;CostRemaining[Resource])</f>
        <v>Building-Gold</v>
      </c>
      <c r="E46" s="54" t="str">
        <f ca="1">IFERROR(VLOOKUP(CostRemaining[[#This Row],[Cost]],Upgrades[],MATCH("C"&amp;MATCH(TRUE,INDEX(CostRemaining[[#This Row],[1]:[12]]&lt;&gt;0,),0),Upgrades[#Headers],0),FALSE),"")</f>
        <v/>
      </c>
      <c r="F46" s="55">
        <f ca="1">IF(VALUE(CostRemaining[#Headers])&lt;='Construction Dashboard'!$F50,IFERROR(VLOOKUP(CostRemaining[[#This Row],[Cost]],Upgrades[],MATCH("C"&amp;CostRemaining[#Headers],Upgrades[#Headers],0),FALSE),0)*MAX(0,SUM('Construction Dashboard'!$G50:G50)),0)</f>
        <v>0</v>
      </c>
      <c r="G46" s="55">
        <f ca="1">IF(VALUE(CostRemaining[#Headers])&lt;='Construction Dashboard'!$F50,IFERROR(VLOOKUP(CostRemaining[[#This Row],[Cost]],Upgrades[],MATCH("C"&amp;CostRemaining[#Headers],Upgrades[#Headers],0),FALSE),0)*MAX(0,SUM('Construction Dashboard'!$G50:H50)),0)</f>
        <v>0</v>
      </c>
      <c r="H46" s="55">
        <f ca="1">IF(VALUE(CostRemaining[#Headers])&lt;='Construction Dashboard'!$F50,IFERROR(VLOOKUP(CostRemaining[[#This Row],[Cost]],Upgrades[],MATCH("C"&amp;CostRemaining[#Headers],Upgrades[#Headers],0),FALSE),0)*MAX(0,SUM('Construction Dashboard'!$G50:I50)),0)</f>
        <v>0</v>
      </c>
      <c r="I46" s="55">
        <f ca="1">IF(VALUE(CostRemaining[#Headers])&lt;='Construction Dashboard'!$F50,IFERROR(VLOOKUP(CostRemaining[[#This Row],[Cost]],Upgrades[],MATCH("C"&amp;CostRemaining[#Headers],Upgrades[#Headers],0),FALSE),0)*MAX(0,SUM('Construction Dashboard'!$G50:J50)),0)</f>
        <v>0</v>
      </c>
      <c r="J46" s="55">
        <f ca="1">IF(VALUE(CostRemaining[#Headers])&lt;='Construction Dashboard'!$F50,IFERROR(VLOOKUP(CostRemaining[[#This Row],[Cost]],Upgrades[],MATCH("C"&amp;CostRemaining[#Headers],Upgrades[#Headers],0),FALSE),0)*MAX(0,SUM('Construction Dashboard'!$G50:K50)),0)</f>
        <v>0</v>
      </c>
      <c r="K46" s="55">
        <f ca="1">IF(VALUE(CostRemaining[#Headers])&lt;='Construction Dashboard'!$F50,IFERROR(VLOOKUP(CostRemaining[[#This Row],[Cost]],Upgrades[],MATCH("C"&amp;CostRemaining[#Headers],Upgrades[#Headers],0),FALSE),0)*MAX(0,SUM('Construction Dashboard'!$G50:L50)),0)</f>
        <v>0</v>
      </c>
      <c r="L46" s="55">
        <f ca="1">IF(VALUE(CostRemaining[#Headers])&lt;='Construction Dashboard'!$F50,IFERROR(VLOOKUP(CostRemaining[[#This Row],[Cost]],Upgrades[],MATCH("C"&amp;CostRemaining[#Headers],Upgrades[#Headers],0),FALSE),0)*MAX(0,SUM('Construction Dashboard'!$G50:M50)),0)</f>
        <v>0</v>
      </c>
      <c r="M46" s="55">
        <f ca="1">IF(VALUE(CostRemaining[#Headers])&lt;='Construction Dashboard'!$F50,IFERROR(VLOOKUP(CostRemaining[[#This Row],[Cost]],Upgrades[],MATCH("C"&amp;CostRemaining[#Headers],Upgrades[#Headers],0),FALSE),0)*MAX(0,SUM('Construction Dashboard'!$G50:N50)),0)</f>
        <v>0</v>
      </c>
      <c r="N46" s="55">
        <f ca="1">IF(VALUE(CostRemaining[#Headers])&lt;='Construction Dashboard'!$F50,IFERROR(VLOOKUP(CostRemaining[[#This Row],[Cost]],Upgrades[],MATCH("C"&amp;CostRemaining[#Headers],Upgrades[#Headers],0),FALSE),0)*MAX(0,SUM('Construction Dashboard'!$G50:O50)),0)</f>
        <v>0</v>
      </c>
      <c r="O46" s="55">
        <f ca="1">IF(VALUE(CostRemaining[#Headers])&lt;='Construction Dashboard'!$F50,IFERROR(VLOOKUP(CostRemaining[[#This Row],[Cost]],Upgrades[],MATCH("C"&amp;CostRemaining[#Headers],Upgrades[#Headers],0),FALSE),0)*MAX(0,SUM('Construction Dashboard'!$G50:P50)),0)</f>
        <v>0</v>
      </c>
      <c r="P46" s="55">
        <f ca="1">IF(VALUE(CostRemaining[#Headers])&lt;='Construction Dashboard'!$F50,IFERROR(VLOOKUP(CostRemaining[[#This Row],[Cost]],Upgrades[],MATCH("C"&amp;CostRemaining[#Headers],Upgrades[#Headers],0),FALSE),0)*MAX(0,SUM('Construction Dashboard'!$G50:Q50)),0)</f>
        <v>0</v>
      </c>
      <c r="Q46" s="55">
        <f ca="1">IF(VALUE(CostRemaining[#Headers])&lt;='Construction Dashboard'!$F50,IFERROR(VLOOKUP(CostRemaining[[#This Row],[Cost]],Upgrades[],MATCH("C"&amp;CostRemaining[#Headers],Upgrades[#Headers],0),FALSE),0)*MAX(0,SUM('Construction Dashboard'!$G50:R50)),0)</f>
        <v>0</v>
      </c>
      <c r="R46" s="55">
        <f ca="1">IF(CostRemaining[[#This Row],[MatchStr]]="IGNORE",0,SUM(CostRemaining[[#This Row],[1]:[12]]))</f>
        <v>0</v>
      </c>
    </row>
    <row r="47" spans="1:18">
      <c r="A47" s="11" t="s">
        <v>105</v>
      </c>
      <c r="B47" s="56" t="str">
        <f>VLOOKUP(CostRemaining[[#This Row],[Cost]],Upgrades[],2,FALSE)</f>
        <v>Building</v>
      </c>
      <c r="C47" s="56" t="str">
        <f>VLOOKUP(CostRemaining[[#This Row],[Cost]],Upgrades[],3,FALSE)</f>
        <v>Dark Elixir</v>
      </c>
      <c r="D47" s="132" t="str">
        <f>IF(COUNTIF(Skips,CostRemaining[[#This Row],[Cost]])&gt;0,"IGNORE",CostRemaining[Kind]&amp;"-"&amp;CostRemaining[Resource])</f>
        <v>Building-Dark Elixir</v>
      </c>
      <c r="E47" s="54" t="str">
        <f ca="1">IFERROR(VLOOKUP(CostRemaining[[#This Row],[Cost]],Upgrades[],MATCH("C"&amp;MATCH(TRUE,INDEX(CostRemaining[[#This Row],[1]:[12]]&lt;&gt;0,),0),Upgrades[#Headers],0),FALSE),"")</f>
        <v/>
      </c>
      <c r="F47" s="55">
        <f ca="1">IF(VALUE(CostRemaining[#Headers])&lt;='Construction Dashboard'!$F51,IFERROR(VLOOKUP(CostRemaining[[#This Row],[Cost]],Upgrades[],MATCH("C"&amp;CostRemaining[#Headers],Upgrades[#Headers],0),FALSE),0)*MAX(0,SUM('Construction Dashboard'!$G51:G51)),0)</f>
        <v>0</v>
      </c>
      <c r="G47" s="55">
        <f ca="1">IF(VALUE(CostRemaining[#Headers])&lt;='Construction Dashboard'!$F51,IFERROR(VLOOKUP(CostRemaining[[#This Row],[Cost]],Upgrades[],MATCH("C"&amp;CostRemaining[#Headers],Upgrades[#Headers],0),FALSE),0)*MAX(0,SUM('Construction Dashboard'!$G51:H51)),0)</f>
        <v>0</v>
      </c>
      <c r="H47" s="55">
        <f ca="1">IF(VALUE(CostRemaining[#Headers])&lt;='Construction Dashboard'!$F51,IFERROR(VLOOKUP(CostRemaining[[#This Row],[Cost]],Upgrades[],MATCH("C"&amp;CostRemaining[#Headers],Upgrades[#Headers],0),FALSE),0)*MAX(0,SUM('Construction Dashboard'!$G51:I51)),0)</f>
        <v>0</v>
      </c>
      <c r="I47" s="55">
        <f ca="1">IF(VALUE(CostRemaining[#Headers])&lt;='Construction Dashboard'!$F51,IFERROR(VLOOKUP(CostRemaining[[#This Row],[Cost]],Upgrades[],MATCH("C"&amp;CostRemaining[#Headers],Upgrades[#Headers],0),FALSE),0)*MAX(0,SUM('Construction Dashboard'!$G51:J51)),0)</f>
        <v>0</v>
      </c>
      <c r="J47" s="55">
        <f ca="1">IF(VALUE(CostRemaining[#Headers])&lt;='Construction Dashboard'!$F51,IFERROR(VLOOKUP(CostRemaining[[#This Row],[Cost]],Upgrades[],MATCH("C"&amp;CostRemaining[#Headers],Upgrades[#Headers],0),FALSE),0)*MAX(0,SUM('Construction Dashboard'!$G51:K51)),0)</f>
        <v>0</v>
      </c>
      <c r="K47" s="55">
        <f ca="1">IF(VALUE(CostRemaining[#Headers])&lt;='Construction Dashboard'!$F51,IFERROR(VLOOKUP(CostRemaining[[#This Row],[Cost]],Upgrades[],MATCH("C"&amp;CostRemaining[#Headers],Upgrades[#Headers],0),FALSE),0)*MAX(0,SUM('Construction Dashboard'!$G51:L51)),0)</f>
        <v>0</v>
      </c>
      <c r="L47" s="55">
        <f ca="1">IF(VALUE(CostRemaining[#Headers])&lt;='Construction Dashboard'!$F51,IFERROR(VLOOKUP(CostRemaining[[#This Row],[Cost]],Upgrades[],MATCH("C"&amp;CostRemaining[#Headers],Upgrades[#Headers],0),FALSE),0)*MAX(0,SUM('Construction Dashboard'!$G51:M51)),0)</f>
        <v>0</v>
      </c>
      <c r="M47" s="55">
        <f ca="1">IF(VALUE(CostRemaining[#Headers])&lt;='Construction Dashboard'!$F51,IFERROR(VLOOKUP(CostRemaining[[#This Row],[Cost]],Upgrades[],MATCH("C"&amp;CostRemaining[#Headers],Upgrades[#Headers],0),FALSE),0)*MAX(0,SUM('Construction Dashboard'!$G51:N51)),0)</f>
        <v>0</v>
      </c>
      <c r="N47" s="55">
        <f ca="1">IF(VALUE(CostRemaining[#Headers])&lt;='Construction Dashboard'!$F51,IFERROR(VLOOKUP(CostRemaining[[#This Row],[Cost]],Upgrades[],MATCH("C"&amp;CostRemaining[#Headers],Upgrades[#Headers],0),FALSE),0)*MAX(0,SUM('Construction Dashboard'!$G51:O51)),0)</f>
        <v>0</v>
      </c>
      <c r="O47" s="55">
        <f ca="1">IF(VALUE(CostRemaining[#Headers])&lt;='Construction Dashboard'!$F51,IFERROR(VLOOKUP(CostRemaining[[#This Row],[Cost]],Upgrades[],MATCH("C"&amp;CostRemaining[#Headers],Upgrades[#Headers],0),FALSE),0)*MAX(0,SUM('Construction Dashboard'!$G51:P51)),0)</f>
        <v>0</v>
      </c>
      <c r="P47" s="55">
        <f ca="1">IF(VALUE(CostRemaining[#Headers])&lt;='Construction Dashboard'!$F51,IFERROR(VLOOKUP(CostRemaining[[#This Row],[Cost]],Upgrades[],MATCH("C"&amp;CostRemaining[#Headers],Upgrades[#Headers],0),FALSE),0)*MAX(0,SUM('Construction Dashboard'!$G51:Q51)),0)</f>
        <v>0</v>
      </c>
      <c r="Q47" s="55">
        <f ca="1">IF(VALUE(CostRemaining[#Headers])&lt;='Construction Dashboard'!$F51,IFERROR(VLOOKUP(CostRemaining[[#This Row],[Cost]],Upgrades[],MATCH("C"&amp;CostRemaining[#Headers],Upgrades[#Headers],0),FALSE),0)*MAX(0,SUM('Construction Dashboard'!$G51:R51)),0)</f>
        <v>0</v>
      </c>
      <c r="R47" s="55">
        <f ca="1">IF(CostRemaining[[#This Row],[MatchStr]]="IGNORE",0,SUM(CostRemaining[[#This Row],[1]:[12]]))</f>
        <v>0</v>
      </c>
    </row>
    <row r="48" spans="1:18">
      <c r="A48" s="11" t="s">
        <v>106</v>
      </c>
      <c r="B48" s="56" t="str">
        <f>VLOOKUP(CostRemaining[[#This Row],[Cost]],Upgrades[],2,FALSE)</f>
        <v>Building</v>
      </c>
      <c r="C48" s="56" t="str">
        <f>VLOOKUP(CostRemaining[[#This Row],[Cost]],Upgrades[],3,FALSE)</f>
        <v>Dark Elixir</v>
      </c>
      <c r="D48" s="132" t="str">
        <f>IF(COUNTIF(Skips,CostRemaining[[#This Row],[Cost]])&gt;0,"IGNORE",CostRemaining[Kind]&amp;"-"&amp;CostRemaining[Resource])</f>
        <v>Building-Dark Elixir</v>
      </c>
      <c r="E48" s="54" t="str">
        <f ca="1">IFERROR(VLOOKUP(CostRemaining[[#This Row],[Cost]],Upgrades[],MATCH("C"&amp;MATCH(TRUE,INDEX(CostRemaining[[#This Row],[1]:[12]]&lt;&gt;0,),0),Upgrades[#Headers],0),FALSE),"")</f>
        <v/>
      </c>
      <c r="F48" s="55">
        <f ca="1">IF(VALUE(CostRemaining[#Headers])&lt;='Construction Dashboard'!$F52,IFERROR(VLOOKUP(CostRemaining[[#This Row],[Cost]],Upgrades[],MATCH("C"&amp;CostRemaining[#Headers],Upgrades[#Headers],0),FALSE),0)*MAX(0,SUM('Construction Dashboard'!$G52:G52)),0)</f>
        <v>0</v>
      </c>
      <c r="G48" s="55">
        <f ca="1">IF(VALUE(CostRemaining[#Headers])&lt;='Construction Dashboard'!$F52,IFERROR(VLOOKUP(CostRemaining[[#This Row],[Cost]],Upgrades[],MATCH("C"&amp;CostRemaining[#Headers],Upgrades[#Headers],0),FALSE),0)*MAX(0,SUM('Construction Dashboard'!$G52:H52)),0)</f>
        <v>0</v>
      </c>
      <c r="H48" s="55">
        <f ca="1">IF(VALUE(CostRemaining[#Headers])&lt;='Construction Dashboard'!$F52,IFERROR(VLOOKUP(CostRemaining[[#This Row],[Cost]],Upgrades[],MATCH("C"&amp;CostRemaining[#Headers],Upgrades[#Headers],0),FALSE),0)*MAX(0,SUM('Construction Dashboard'!$G52:I52)),0)</f>
        <v>0</v>
      </c>
      <c r="I48" s="55">
        <f ca="1">IF(VALUE(CostRemaining[#Headers])&lt;='Construction Dashboard'!$F52,IFERROR(VLOOKUP(CostRemaining[[#This Row],[Cost]],Upgrades[],MATCH("C"&amp;CostRemaining[#Headers],Upgrades[#Headers],0),FALSE),0)*MAX(0,SUM('Construction Dashboard'!$G52:J52)),0)</f>
        <v>0</v>
      </c>
      <c r="J48" s="55">
        <f ca="1">IF(VALUE(CostRemaining[#Headers])&lt;='Construction Dashboard'!$F52,IFERROR(VLOOKUP(CostRemaining[[#This Row],[Cost]],Upgrades[],MATCH("C"&amp;CostRemaining[#Headers],Upgrades[#Headers],0),FALSE),0)*MAX(0,SUM('Construction Dashboard'!$G52:K52)),0)</f>
        <v>0</v>
      </c>
      <c r="K48" s="55">
        <f ca="1">IF(VALUE(CostRemaining[#Headers])&lt;='Construction Dashboard'!$F52,IFERROR(VLOOKUP(CostRemaining[[#This Row],[Cost]],Upgrades[],MATCH("C"&amp;CostRemaining[#Headers],Upgrades[#Headers],0),FALSE),0)*MAX(0,SUM('Construction Dashboard'!$G52:L52)),0)</f>
        <v>0</v>
      </c>
      <c r="L48" s="55">
        <f ca="1">IF(VALUE(CostRemaining[#Headers])&lt;='Construction Dashboard'!$F52,IFERROR(VLOOKUP(CostRemaining[[#This Row],[Cost]],Upgrades[],MATCH("C"&amp;CostRemaining[#Headers],Upgrades[#Headers],0),FALSE),0)*MAX(0,SUM('Construction Dashboard'!$G52:M52)),0)</f>
        <v>0</v>
      </c>
      <c r="M48" s="55">
        <f ca="1">IF(VALUE(CostRemaining[#Headers])&lt;='Construction Dashboard'!$F52,IFERROR(VLOOKUP(CostRemaining[[#This Row],[Cost]],Upgrades[],MATCH("C"&amp;CostRemaining[#Headers],Upgrades[#Headers],0),FALSE),0)*MAX(0,SUM('Construction Dashboard'!$G52:N52)),0)</f>
        <v>0</v>
      </c>
      <c r="N48" s="55">
        <f ca="1">IF(VALUE(CostRemaining[#Headers])&lt;='Construction Dashboard'!$F52,IFERROR(VLOOKUP(CostRemaining[[#This Row],[Cost]],Upgrades[],MATCH("C"&amp;CostRemaining[#Headers],Upgrades[#Headers],0),FALSE),0)*MAX(0,SUM('Construction Dashboard'!$G52:O52)),0)</f>
        <v>0</v>
      </c>
      <c r="O48" s="55">
        <f ca="1">IF(VALUE(CostRemaining[#Headers])&lt;='Construction Dashboard'!$F52,IFERROR(VLOOKUP(CostRemaining[[#This Row],[Cost]],Upgrades[],MATCH("C"&amp;CostRemaining[#Headers],Upgrades[#Headers],0),FALSE),0)*MAX(0,SUM('Construction Dashboard'!$G52:P52)),0)</f>
        <v>0</v>
      </c>
      <c r="P48" s="55">
        <f ca="1">IF(VALUE(CostRemaining[#Headers])&lt;='Construction Dashboard'!$F52,IFERROR(VLOOKUP(CostRemaining[[#This Row],[Cost]],Upgrades[],MATCH("C"&amp;CostRemaining[#Headers],Upgrades[#Headers],0),FALSE),0)*MAX(0,SUM('Construction Dashboard'!$G52:Q52)),0)</f>
        <v>0</v>
      </c>
      <c r="Q48" s="55">
        <f ca="1">IF(VALUE(CostRemaining[#Headers])&lt;='Construction Dashboard'!$F52,IFERROR(VLOOKUP(CostRemaining[[#This Row],[Cost]],Upgrades[],MATCH("C"&amp;CostRemaining[#Headers],Upgrades[#Headers],0),FALSE),0)*MAX(0,SUM('Construction Dashboard'!$G52:R52)),0)</f>
        <v>0</v>
      </c>
      <c r="R48" s="55">
        <f ca="1">IF(CostRemaining[[#This Row],[MatchStr]]="IGNORE",0,SUM(CostRemaining[[#This Row],[1]:[12]]))</f>
        <v>0</v>
      </c>
    </row>
    <row r="49" spans="1:18">
      <c r="A49" s="11" t="s">
        <v>82</v>
      </c>
      <c r="B49" s="56" t="str">
        <f>VLOOKUP(CostRemaining[[#This Row],[Cost]],Upgrades[],2,FALSE)</f>
        <v>Upgrade</v>
      </c>
      <c r="C49" s="56" t="str">
        <f>VLOOKUP(CostRemaining[[#This Row],[Cost]],Upgrades[],3,FALSE)</f>
        <v>Elixir</v>
      </c>
      <c r="D49" s="132" t="str">
        <f>IF(COUNTIF(Skips,CostRemaining[[#This Row],[Cost]])&gt;0,"IGNORE",CostRemaining[Kind]&amp;"-"&amp;CostRemaining[Resource])</f>
        <v>Upgrade-Elixir</v>
      </c>
      <c r="E49" s="54" t="str">
        <f ca="1">IFERROR(VLOOKUP(CostRemaining[[#This Row],[Cost]],Upgrades[],MATCH("C"&amp;MATCH(TRUE,INDEX(CostRemaining[[#This Row],[1]:[12]]&lt;&gt;0,),0),Upgrades[#Headers],0),FALSE),"")</f>
        <v/>
      </c>
      <c r="F49" s="55">
        <f ca="1">IF(VALUE(CostRemaining[#Headers])&lt;='Construction Dashboard'!$F53,IFERROR(VLOOKUP(CostRemaining[[#This Row],[Cost]],Upgrades[],MATCH("C"&amp;CostRemaining[#Headers],Upgrades[#Headers],0),FALSE),0)*MAX(0,SUM('Construction Dashboard'!$G53:G53)),0)</f>
        <v>0</v>
      </c>
      <c r="G49" s="55">
        <f ca="1">IF(VALUE(CostRemaining[#Headers])&lt;='Construction Dashboard'!$F53,IFERROR(VLOOKUP(CostRemaining[[#This Row],[Cost]],Upgrades[],MATCH("C"&amp;CostRemaining[#Headers],Upgrades[#Headers],0),FALSE),0)*MAX(0,SUM('Construction Dashboard'!$G53:H53)),0)</f>
        <v>0</v>
      </c>
      <c r="H49" s="55">
        <f ca="1">IF(VALUE(CostRemaining[#Headers])&lt;='Construction Dashboard'!$F53,IFERROR(VLOOKUP(CostRemaining[[#This Row],[Cost]],Upgrades[],MATCH("C"&amp;CostRemaining[#Headers],Upgrades[#Headers],0),FALSE),0)*MAX(0,SUM('Construction Dashboard'!$G53:I53)),0)</f>
        <v>0</v>
      </c>
      <c r="I49" s="55">
        <f ca="1">IF(VALUE(CostRemaining[#Headers])&lt;='Construction Dashboard'!$F53,IFERROR(VLOOKUP(CostRemaining[[#This Row],[Cost]],Upgrades[],MATCH("C"&amp;CostRemaining[#Headers],Upgrades[#Headers],0),FALSE),0)*MAX(0,SUM('Construction Dashboard'!$G53:J53)),0)</f>
        <v>0</v>
      </c>
      <c r="J49" s="55">
        <f ca="1">IF(VALUE(CostRemaining[#Headers])&lt;='Construction Dashboard'!$F53,IFERROR(VLOOKUP(CostRemaining[[#This Row],[Cost]],Upgrades[],MATCH("C"&amp;CostRemaining[#Headers],Upgrades[#Headers],0),FALSE),0)*MAX(0,SUM('Construction Dashboard'!$G53:K53)),0)</f>
        <v>0</v>
      </c>
      <c r="K49" s="55">
        <f ca="1">IF(VALUE(CostRemaining[#Headers])&lt;='Construction Dashboard'!$F53,IFERROR(VLOOKUP(CostRemaining[[#This Row],[Cost]],Upgrades[],MATCH("C"&amp;CostRemaining[#Headers],Upgrades[#Headers],0),FALSE),0)*MAX(0,SUM('Construction Dashboard'!$G53:L53)),0)</f>
        <v>0</v>
      </c>
      <c r="L49" s="55">
        <f ca="1">IF(VALUE(CostRemaining[#Headers])&lt;='Construction Dashboard'!$F53,IFERROR(VLOOKUP(CostRemaining[[#This Row],[Cost]],Upgrades[],MATCH("C"&amp;CostRemaining[#Headers],Upgrades[#Headers],0),FALSE),0)*MAX(0,SUM('Construction Dashboard'!$G53:M53)),0)</f>
        <v>0</v>
      </c>
      <c r="M49" s="55">
        <f ca="1">IF(VALUE(CostRemaining[#Headers])&lt;='Construction Dashboard'!$F53,IFERROR(VLOOKUP(CostRemaining[[#This Row],[Cost]],Upgrades[],MATCH("C"&amp;CostRemaining[#Headers],Upgrades[#Headers],0),FALSE),0)*MAX(0,SUM('Construction Dashboard'!$G53:N53)),0)</f>
        <v>0</v>
      </c>
      <c r="N49" s="55">
        <f ca="1">IF(VALUE(CostRemaining[#Headers])&lt;='Construction Dashboard'!$F53,IFERROR(VLOOKUP(CostRemaining[[#This Row],[Cost]],Upgrades[],MATCH("C"&amp;CostRemaining[#Headers],Upgrades[#Headers],0),FALSE),0)*MAX(0,SUM('Construction Dashboard'!$G53:O53)),0)</f>
        <v>0</v>
      </c>
      <c r="O49" s="55">
        <f ca="1">IF(VALUE(CostRemaining[#Headers])&lt;='Construction Dashboard'!$F53,IFERROR(VLOOKUP(CostRemaining[[#This Row],[Cost]],Upgrades[],MATCH("C"&amp;CostRemaining[#Headers],Upgrades[#Headers],0),FALSE),0)*MAX(0,SUM('Construction Dashboard'!$G53:P53)),0)</f>
        <v>0</v>
      </c>
      <c r="P49" s="55">
        <f ca="1">IF(VALUE(CostRemaining[#Headers])&lt;='Construction Dashboard'!$F53,IFERROR(VLOOKUP(CostRemaining[[#This Row],[Cost]],Upgrades[],MATCH("C"&amp;CostRemaining[#Headers],Upgrades[#Headers],0),FALSE),0)*MAX(0,SUM('Construction Dashboard'!$G53:Q53)),0)</f>
        <v>0</v>
      </c>
      <c r="Q49" s="55">
        <f ca="1">IF(VALUE(CostRemaining[#Headers])&lt;='Construction Dashboard'!$F53,IFERROR(VLOOKUP(CostRemaining[[#This Row],[Cost]],Upgrades[],MATCH("C"&amp;CostRemaining[#Headers],Upgrades[#Headers],0),FALSE),0)*MAX(0,SUM('Construction Dashboard'!$G53:R53)),0)</f>
        <v>0</v>
      </c>
      <c r="R49" s="55">
        <f ca="1">IF(CostRemaining[[#This Row],[MatchStr]]="IGNORE",0,SUM(CostRemaining[[#This Row],[1]:[12]]))</f>
        <v>0</v>
      </c>
    </row>
    <row r="50" spans="1:18">
      <c r="A50" s="11" t="s">
        <v>83</v>
      </c>
      <c r="B50" s="56" t="str">
        <f>VLOOKUP(CostRemaining[[#This Row],[Cost]],Upgrades[],2,FALSE)</f>
        <v>Upgrade</v>
      </c>
      <c r="C50" s="56" t="str">
        <f>VLOOKUP(CostRemaining[[#This Row],[Cost]],Upgrades[],3,FALSE)</f>
        <v>Elixir</v>
      </c>
      <c r="D50" s="132" t="str">
        <f>IF(COUNTIF(Skips,CostRemaining[[#This Row],[Cost]])&gt;0,"IGNORE",CostRemaining[Kind]&amp;"-"&amp;CostRemaining[Resource])</f>
        <v>Upgrade-Elixir</v>
      </c>
      <c r="E50" s="54" t="str">
        <f ca="1">IFERROR(VLOOKUP(CostRemaining[[#This Row],[Cost]],Upgrades[],MATCH("C"&amp;MATCH(TRUE,INDEX(CostRemaining[[#This Row],[1]:[12]]&lt;&gt;0,),0),Upgrades[#Headers],0),FALSE),"")</f>
        <v/>
      </c>
      <c r="F50" s="55">
        <f ca="1">IF(VALUE(CostRemaining[#Headers])&lt;='Construction Dashboard'!$F54,IFERROR(VLOOKUP(CostRemaining[[#This Row],[Cost]],Upgrades[],MATCH("C"&amp;CostRemaining[#Headers],Upgrades[#Headers],0),FALSE),0)*MAX(0,SUM('Construction Dashboard'!$G54:G54)),0)</f>
        <v>0</v>
      </c>
      <c r="G50" s="55">
        <f ca="1">IF(VALUE(CostRemaining[#Headers])&lt;='Construction Dashboard'!$F54,IFERROR(VLOOKUP(CostRemaining[[#This Row],[Cost]],Upgrades[],MATCH("C"&amp;CostRemaining[#Headers],Upgrades[#Headers],0),FALSE),0)*MAX(0,SUM('Construction Dashboard'!$G54:H54)),0)</f>
        <v>0</v>
      </c>
      <c r="H50" s="55">
        <f ca="1">IF(VALUE(CostRemaining[#Headers])&lt;='Construction Dashboard'!$F54,IFERROR(VLOOKUP(CostRemaining[[#This Row],[Cost]],Upgrades[],MATCH("C"&amp;CostRemaining[#Headers],Upgrades[#Headers],0),FALSE),0)*MAX(0,SUM('Construction Dashboard'!$G54:I54)),0)</f>
        <v>0</v>
      </c>
      <c r="I50" s="55">
        <f ca="1">IF(VALUE(CostRemaining[#Headers])&lt;='Construction Dashboard'!$F54,IFERROR(VLOOKUP(CostRemaining[[#This Row],[Cost]],Upgrades[],MATCH("C"&amp;CostRemaining[#Headers],Upgrades[#Headers],0),FALSE),0)*MAX(0,SUM('Construction Dashboard'!$G54:J54)),0)</f>
        <v>0</v>
      </c>
      <c r="J50" s="55">
        <f ca="1">IF(VALUE(CostRemaining[#Headers])&lt;='Construction Dashboard'!$F54,IFERROR(VLOOKUP(CostRemaining[[#This Row],[Cost]],Upgrades[],MATCH("C"&amp;CostRemaining[#Headers],Upgrades[#Headers],0),FALSE),0)*MAX(0,SUM('Construction Dashboard'!$G54:K54)),0)</f>
        <v>0</v>
      </c>
      <c r="K50" s="55">
        <f ca="1">IF(VALUE(CostRemaining[#Headers])&lt;='Construction Dashboard'!$F54,IFERROR(VLOOKUP(CostRemaining[[#This Row],[Cost]],Upgrades[],MATCH("C"&amp;CostRemaining[#Headers],Upgrades[#Headers],0),FALSE),0)*MAX(0,SUM('Construction Dashboard'!$G54:L54)),0)</f>
        <v>0</v>
      </c>
      <c r="L50" s="55">
        <f ca="1">IF(VALUE(CostRemaining[#Headers])&lt;='Construction Dashboard'!$F54,IFERROR(VLOOKUP(CostRemaining[[#This Row],[Cost]],Upgrades[],MATCH("C"&amp;CostRemaining[#Headers],Upgrades[#Headers],0),FALSE),0)*MAX(0,SUM('Construction Dashboard'!$G54:M54)),0)</f>
        <v>0</v>
      </c>
      <c r="M50" s="55">
        <f ca="1">IF(VALUE(CostRemaining[#Headers])&lt;='Construction Dashboard'!$F54,IFERROR(VLOOKUP(CostRemaining[[#This Row],[Cost]],Upgrades[],MATCH("C"&amp;CostRemaining[#Headers],Upgrades[#Headers],0),FALSE),0)*MAX(0,SUM('Construction Dashboard'!$G54:N54)),0)</f>
        <v>0</v>
      </c>
      <c r="N50" s="55">
        <f ca="1">IF(VALUE(CostRemaining[#Headers])&lt;='Construction Dashboard'!$F54,IFERROR(VLOOKUP(CostRemaining[[#This Row],[Cost]],Upgrades[],MATCH("C"&amp;CostRemaining[#Headers],Upgrades[#Headers],0),FALSE),0)*MAX(0,SUM('Construction Dashboard'!$G54:O54)),0)</f>
        <v>0</v>
      </c>
      <c r="O50" s="55">
        <f ca="1">IF(VALUE(CostRemaining[#Headers])&lt;='Construction Dashboard'!$F54,IFERROR(VLOOKUP(CostRemaining[[#This Row],[Cost]],Upgrades[],MATCH("C"&amp;CostRemaining[#Headers],Upgrades[#Headers],0),FALSE),0)*MAX(0,SUM('Construction Dashboard'!$G54:P54)),0)</f>
        <v>0</v>
      </c>
      <c r="P50" s="55">
        <f ca="1">IF(VALUE(CostRemaining[#Headers])&lt;='Construction Dashboard'!$F54,IFERROR(VLOOKUP(CostRemaining[[#This Row],[Cost]],Upgrades[],MATCH("C"&amp;CostRemaining[#Headers],Upgrades[#Headers],0),FALSE),0)*MAX(0,SUM('Construction Dashboard'!$G54:Q54)),0)</f>
        <v>0</v>
      </c>
      <c r="Q50" s="55">
        <f ca="1">IF(VALUE(CostRemaining[#Headers])&lt;='Construction Dashboard'!$F54,IFERROR(VLOOKUP(CostRemaining[[#This Row],[Cost]],Upgrades[],MATCH("C"&amp;CostRemaining[#Headers],Upgrades[#Headers],0),FALSE),0)*MAX(0,SUM('Construction Dashboard'!$G54:R54)),0)</f>
        <v>0</v>
      </c>
      <c r="R50" s="55">
        <f ca="1">IF(CostRemaining[[#This Row],[MatchStr]]="IGNORE",0,SUM(CostRemaining[[#This Row],[1]:[12]]))</f>
        <v>0</v>
      </c>
    </row>
    <row r="51" spans="1:18">
      <c r="A51" s="11" t="s">
        <v>84</v>
      </c>
      <c r="B51" s="56" t="str">
        <f>VLOOKUP(CostRemaining[[#This Row],[Cost]],Upgrades[],2,FALSE)</f>
        <v>Upgrade</v>
      </c>
      <c r="C51" s="56" t="str">
        <f>VLOOKUP(CostRemaining[[#This Row],[Cost]],Upgrades[],3,FALSE)</f>
        <v>Elixir</v>
      </c>
      <c r="D51" s="132" t="str">
        <f>IF(COUNTIF(Skips,CostRemaining[[#This Row],[Cost]])&gt;0,"IGNORE",CostRemaining[Kind]&amp;"-"&amp;CostRemaining[Resource])</f>
        <v>Upgrade-Elixir</v>
      </c>
      <c r="E51" s="54" t="str">
        <f ca="1">IFERROR(VLOOKUP(CostRemaining[[#This Row],[Cost]],Upgrades[],MATCH("C"&amp;MATCH(TRUE,INDEX(CostRemaining[[#This Row],[1]:[12]]&lt;&gt;0,),0),Upgrades[#Headers],0),FALSE),"")</f>
        <v/>
      </c>
      <c r="F51" s="55">
        <f ca="1">IF(VALUE(CostRemaining[#Headers])&lt;='Construction Dashboard'!$F55,IFERROR(VLOOKUP(CostRemaining[[#This Row],[Cost]],Upgrades[],MATCH("C"&amp;CostRemaining[#Headers],Upgrades[#Headers],0),FALSE),0)*MAX(0,SUM('Construction Dashboard'!$G55:G55)),0)</f>
        <v>0</v>
      </c>
      <c r="G51" s="55">
        <f ca="1">IF(VALUE(CostRemaining[#Headers])&lt;='Construction Dashboard'!$F55,IFERROR(VLOOKUP(CostRemaining[[#This Row],[Cost]],Upgrades[],MATCH("C"&amp;CostRemaining[#Headers],Upgrades[#Headers],0),FALSE),0)*MAX(0,SUM('Construction Dashboard'!$G55:H55)),0)</f>
        <v>0</v>
      </c>
      <c r="H51" s="55">
        <f ca="1">IF(VALUE(CostRemaining[#Headers])&lt;='Construction Dashboard'!$F55,IFERROR(VLOOKUP(CostRemaining[[#This Row],[Cost]],Upgrades[],MATCH("C"&amp;CostRemaining[#Headers],Upgrades[#Headers],0),FALSE),0)*MAX(0,SUM('Construction Dashboard'!$G55:I55)),0)</f>
        <v>0</v>
      </c>
      <c r="I51" s="55">
        <f ca="1">IF(VALUE(CostRemaining[#Headers])&lt;='Construction Dashboard'!$F55,IFERROR(VLOOKUP(CostRemaining[[#This Row],[Cost]],Upgrades[],MATCH("C"&amp;CostRemaining[#Headers],Upgrades[#Headers],0),FALSE),0)*MAX(0,SUM('Construction Dashboard'!$G55:J55)),0)</f>
        <v>0</v>
      </c>
      <c r="J51" s="55">
        <f ca="1">IF(VALUE(CostRemaining[#Headers])&lt;='Construction Dashboard'!$F55,IFERROR(VLOOKUP(CostRemaining[[#This Row],[Cost]],Upgrades[],MATCH("C"&amp;CostRemaining[#Headers],Upgrades[#Headers],0),FALSE),0)*MAX(0,SUM('Construction Dashboard'!$G55:K55)),0)</f>
        <v>0</v>
      </c>
      <c r="K51" s="55">
        <f ca="1">IF(VALUE(CostRemaining[#Headers])&lt;='Construction Dashboard'!$F55,IFERROR(VLOOKUP(CostRemaining[[#This Row],[Cost]],Upgrades[],MATCH("C"&amp;CostRemaining[#Headers],Upgrades[#Headers],0),FALSE),0)*MAX(0,SUM('Construction Dashboard'!$G55:L55)),0)</f>
        <v>0</v>
      </c>
      <c r="L51" s="55">
        <f ca="1">IF(VALUE(CostRemaining[#Headers])&lt;='Construction Dashboard'!$F55,IFERROR(VLOOKUP(CostRemaining[[#This Row],[Cost]],Upgrades[],MATCH("C"&amp;CostRemaining[#Headers],Upgrades[#Headers],0),FALSE),0)*MAX(0,SUM('Construction Dashboard'!$G55:M55)),0)</f>
        <v>0</v>
      </c>
      <c r="M51" s="55">
        <f ca="1">IF(VALUE(CostRemaining[#Headers])&lt;='Construction Dashboard'!$F55,IFERROR(VLOOKUP(CostRemaining[[#This Row],[Cost]],Upgrades[],MATCH("C"&amp;CostRemaining[#Headers],Upgrades[#Headers],0),FALSE),0)*MAX(0,SUM('Construction Dashboard'!$G55:N55)),0)</f>
        <v>0</v>
      </c>
      <c r="N51" s="55">
        <f ca="1">IF(VALUE(CostRemaining[#Headers])&lt;='Construction Dashboard'!$F55,IFERROR(VLOOKUP(CostRemaining[[#This Row],[Cost]],Upgrades[],MATCH("C"&amp;CostRemaining[#Headers],Upgrades[#Headers],0),FALSE),0)*MAX(0,SUM('Construction Dashboard'!$G55:O55)),0)</f>
        <v>0</v>
      </c>
      <c r="O51" s="55">
        <f ca="1">IF(VALUE(CostRemaining[#Headers])&lt;='Construction Dashboard'!$F55,IFERROR(VLOOKUP(CostRemaining[[#This Row],[Cost]],Upgrades[],MATCH("C"&amp;CostRemaining[#Headers],Upgrades[#Headers],0),FALSE),0)*MAX(0,SUM('Construction Dashboard'!$G55:P55)),0)</f>
        <v>0</v>
      </c>
      <c r="P51" s="55">
        <f ca="1">IF(VALUE(CostRemaining[#Headers])&lt;='Construction Dashboard'!$F55,IFERROR(VLOOKUP(CostRemaining[[#This Row],[Cost]],Upgrades[],MATCH("C"&amp;CostRemaining[#Headers],Upgrades[#Headers],0),FALSE),0)*MAX(0,SUM('Construction Dashboard'!$G55:Q55)),0)</f>
        <v>0</v>
      </c>
      <c r="Q51" s="55">
        <f ca="1">IF(VALUE(CostRemaining[#Headers])&lt;='Construction Dashboard'!$F55,IFERROR(VLOOKUP(CostRemaining[[#This Row],[Cost]],Upgrades[],MATCH("C"&amp;CostRemaining[#Headers],Upgrades[#Headers],0),FALSE),0)*MAX(0,SUM('Construction Dashboard'!$G55:R55)),0)</f>
        <v>0</v>
      </c>
      <c r="R51" s="55">
        <f ca="1">IF(CostRemaining[[#This Row],[MatchStr]]="IGNORE",0,SUM(CostRemaining[[#This Row],[1]:[12]]))</f>
        <v>0</v>
      </c>
    </row>
    <row r="52" spans="1:18">
      <c r="A52" s="11" t="s">
        <v>85</v>
      </c>
      <c r="B52" s="56" t="str">
        <f>VLOOKUP(CostRemaining[[#This Row],[Cost]],Upgrades[],2,FALSE)</f>
        <v>Upgrade</v>
      </c>
      <c r="C52" s="56" t="str">
        <f>VLOOKUP(CostRemaining[[#This Row],[Cost]],Upgrades[],3,FALSE)</f>
        <v>Elixir</v>
      </c>
      <c r="D52" s="132" t="str">
        <f>IF(COUNTIF(Skips,CostRemaining[[#This Row],[Cost]])&gt;0,"IGNORE",CostRemaining[Kind]&amp;"-"&amp;CostRemaining[Resource])</f>
        <v>Upgrade-Elixir</v>
      </c>
      <c r="E52" s="54" t="str">
        <f ca="1">IFERROR(VLOOKUP(CostRemaining[[#This Row],[Cost]],Upgrades[],MATCH("C"&amp;MATCH(TRUE,INDEX(CostRemaining[[#This Row],[1]:[12]]&lt;&gt;0,),0),Upgrades[#Headers],0),FALSE),"")</f>
        <v/>
      </c>
      <c r="F52" s="55">
        <f ca="1">IF(VALUE(CostRemaining[#Headers])&lt;='Construction Dashboard'!$F56,IFERROR(VLOOKUP(CostRemaining[[#This Row],[Cost]],Upgrades[],MATCH("C"&amp;CostRemaining[#Headers],Upgrades[#Headers],0),FALSE),0)*MAX(0,SUM('Construction Dashboard'!$G56:G56)),0)</f>
        <v>0</v>
      </c>
      <c r="G52" s="55">
        <f ca="1">IF(VALUE(CostRemaining[#Headers])&lt;='Construction Dashboard'!$F56,IFERROR(VLOOKUP(CostRemaining[[#This Row],[Cost]],Upgrades[],MATCH("C"&amp;CostRemaining[#Headers],Upgrades[#Headers],0),FALSE),0)*MAX(0,SUM('Construction Dashboard'!$G56:H56)),0)</f>
        <v>0</v>
      </c>
      <c r="H52" s="55">
        <f ca="1">IF(VALUE(CostRemaining[#Headers])&lt;='Construction Dashboard'!$F56,IFERROR(VLOOKUP(CostRemaining[[#This Row],[Cost]],Upgrades[],MATCH("C"&amp;CostRemaining[#Headers],Upgrades[#Headers],0),FALSE),0)*MAX(0,SUM('Construction Dashboard'!$G56:I56)),0)</f>
        <v>0</v>
      </c>
      <c r="I52" s="55">
        <f ca="1">IF(VALUE(CostRemaining[#Headers])&lt;='Construction Dashboard'!$F56,IFERROR(VLOOKUP(CostRemaining[[#This Row],[Cost]],Upgrades[],MATCH("C"&amp;CostRemaining[#Headers],Upgrades[#Headers],0),FALSE),0)*MAX(0,SUM('Construction Dashboard'!$G56:J56)),0)</f>
        <v>0</v>
      </c>
      <c r="J52" s="55">
        <f ca="1">IF(VALUE(CostRemaining[#Headers])&lt;='Construction Dashboard'!$F56,IFERROR(VLOOKUP(CostRemaining[[#This Row],[Cost]],Upgrades[],MATCH("C"&amp;CostRemaining[#Headers],Upgrades[#Headers],0),FALSE),0)*MAX(0,SUM('Construction Dashboard'!$G56:K56)),0)</f>
        <v>0</v>
      </c>
      <c r="K52" s="55">
        <f ca="1">IF(VALUE(CostRemaining[#Headers])&lt;='Construction Dashboard'!$F56,IFERROR(VLOOKUP(CostRemaining[[#This Row],[Cost]],Upgrades[],MATCH("C"&amp;CostRemaining[#Headers],Upgrades[#Headers],0),FALSE),0)*MAX(0,SUM('Construction Dashboard'!$G56:L56)),0)</f>
        <v>0</v>
      </c>
      <c r="L52" s="55">
        <f ca="1">IF(VALUE(CostRemaining[#Headers])&lt;='Construction Dashboard'!$F56,IFERROR(VLOOKUP(CostRemaining[[#This Row],[Cost]],Upgrades[],MATCH("C"&amp;CostRemaining[#Headers],Upgrades[#Headers],0),FALSE),0)*MAX(0,SUM('Construction Dashboard'!$G56:M56)),0)</f>
        <v>0</v>
      </c>
      <c r="M52" s="55">
        <f ca="1">IF(VALUE(CostRemaining[#Headers])&lt;='Construction Dashboard'!$F56,IFERROR(VLOOKUP(CostRemaining[[#This Row],[Cost]],Upgrades[],MATCH("C"&amp;CostRemaining[#Headers],Upgrades[#Headers],0),FALSE),0)*MAX(0,SUM('Construction Dashboard'!$G56:N56)),0)</f>
        <v>0</v>
      </c>
      <c r="N52" s="55">
        <f ca="1">IF(VALUE(CostRemaining[#Headers])&lt;='Construction Dashboard'!$F56,IFERROR(VLOOKUP(CostRemaining[[#This Row],[Cost]],Upgrades[],MATCH("C"&amp;CostRemaining[#Headers],Upgrades[#Headers],0),FALSE),0)*MAX(0,SUM('Construction Dashboard'!$G56:O56)),0)</f>
        <v>0</v>
      </c>
      <c r="O52" s="55">
        <f ca="1">IF(VALUE(CostRemaining[#Headers])&lt;='Construction Dashboard'!$F56,IFERROR(VLOOKUP(CostRemaining[[#This Row],[Cost]],Upgrades[],MATCH("C"&amp;CostRemaining[#Headers],Upgrades[#Headers],0),FALSE),0)*MAX(0,SUM('Construction Dashboard'!$G56:P56)),0)</f>
        <v>0</v>
      </c>
      <c r="P52" s="55">
        <f ca="1">IF(VALUE(CostRemaining[#Headers])&lt;='Construction Dashboard'!$F56,IFERROR(VLOOKUP(CostRemaining[[#This Row],[Cost]],Upgrades[],MATCH("C"&amp;CostRemaining[#Headers],Upgrades[#Headers],0),FALSE),0)*MAX(0,SUM('Construction Dashboard'!$G56:Q56)),0)</f>
        <v>0</v>
      </c>
      <c r="Q52" s="55">
        <f ca="1">IF(VALUE(CostRemaining[#Headers])&lt;='Construction Dashboard'!$F56,IFERROR(VLOOKUP(CostRemaining[[#This Row],[Cost]],Upgrades[],MATCH("C"&amp;CostRemaining[#Headers],Upgrades[#Headers],0),FALSE),0)*MAX(0,SUM('Construction Dashboard'!$G56:R56)),0)</f>
        <v>0</v>
      </c>
      <c r="R52" s="55">
        <f ca="1">IF(CostRemaining[[#This Row],[MatchStr]]="IGNORE",0,SUM(CostRemaining[[#This Row],[1]:[12]]))</f>
        <v>0</v>
      </c>
    </row>
    <row r="53" spans="1:18">
      <c r="A53" s="11" t="s">
        <v>86</v>
      </c>
      <c r="B53" s="56" t="str">
        <f>VLOOKUP(CostRemaining[[#This Row],[Cost]],Upgrades[],2,FALSE)</f>
        <v>Upgrade</v>
      </c>
      <c r="C53" s="56" t="str">
        <f>VLOOKUP(CostRemaining[[#This Row],[Cost]],Upgrades[],3,FALSE)</f>
        <v>Elixir</v>
      </c>
      <c r="D53" s="132" t="str">
        <f>IF(COUNTIF(Skips,CostRemaining[[#This Row],[Cost]])&gt;0,"IGNORE",CostRemaining[Kind]&amp;"-"&amp;CostRemaining[Resource])</f>
        <v>Upgrade-Elixir</v>
      </c>
      <c r="E53" s="54" t="str">
        <f ca="1">IFERROR(VLOOKUP(CostRemaining[[#This Row],[Cost]],Upgrades[],MATCH("C"&amp;MATCH(TRUE,INDEX(CostRemaining[[#This Row],[1]:[12]]&lt;&gt;0,),0),Upgrades[#Headers],0),FALSE),"")</f>
        <v/>
      </c>
      <c r="F53" s="55">
        <f ca="1">IF(VALUE(CostRemaining[#Headers])&lt;='Construction Dashboard'!$F57,IFERROR(VLOOKUP(CostRemaining[[#This Row],[Cost]],Upgrades[],MATCH("C"&amp;CostRemaining[#Headers],Upgrades[#Headers],0),FALSE),0)*MAX(0,SUM('Construction Dashboard'!$G57:G57)),0)</f>
        <v>0</v>
      </c>
      <c r="G53" s="55">
        <f ca="1">IF(VALUE(CostRemaining[#Headers])&lt;='Construction Dashboard'!$F57,IFERROR(VLOOKUP(CostRemaining[[#This Row],[Cost]],Upgrades[],MATCH("C"&amp;CostRemaining[#Headers],Upgrades[#Headers],0),FALSE),0)*MAX(0,SUM('Construction Dashboard'!$G57:H57)),0)</f>
        <v>0</v>
      </c>
      <c r="H53" s="55">
        <f ca="1">IF(VALUE(CostRemaining[#Headers])&lt;='Construction Dashboard'!$F57,IFERROR(VLOOKUP(CostRemaining[[#This Row],[Cost]],Upgrades[],MATCH("C"&amp;CostRemaining[#Headers],Upgrades[#Headers],0),FALSE),0)*MAX(0,SUM('Construction Dashboard'!$G57:I57)),0)</f>
        <v>0</v>
      </c>
      <c r="I53" s="55">
        <f ca="1">IF(VALUE(CostRemaining[#Headers])&lt;='Construction Dashboard'!$F57,IFERROR(VLOOKUP(CostRemaining[[#This Row],[Cost]],Upgrades[],MATCH("C"&amp;CostRemaining[#Headers],Upgrades[#Headers],0),FALSE),0)*MAX(0,SUM('Construction Dashboard'!$G57:J57)),0)</f>
        <v>0</v>
      </c>
      <c r="J53" s="55">
        <f ca="1">IF(VALUE(CostRemaining[#Headers])&lt;='Construction Dashboard'!$F57,IFERROR(VLOOKUP(CostRemaining[[#This Row],[Cost]],Upgrades[],MATCH("C"&amp;CostRemaining[#Headers],Upgrades[#Headers],0),FALSE),0)*MAX(0,SUM('Construction Dashboard'!$G57:K57)),0)</f>
        <v>0</v>
      </c>
      <c r="K53" s="55">
        <f ca="1">IF(VALUE(CostRemaining[#Headers])&lt;='Construction Dashboard'!$F57,IFERROR(VLOOKUP(CostRemaining[[#This Row],[Cost]],Upgrades[],MATCH("C"&amp;CostRemaining[#Headers],Upgrades[#Headers],0),FALSE),0)*MAX(0,SUM('Construction Dashboard'!$G57:L57)),0)</f>
        <v>0</v>
      </c>
      <c r="L53" s="55">
        <f ca="1">IF(VALUE(CostRemaining[#Headers])&lt;='Construction Dashboard'!$F57,IFERROR(VLOOKUP(CostRemaining[[#This Row],[Cost]],Upgrades[],MATCH("C"&amp;CostRemaining[#Headers],Upgrades[#Headers],0),FALSE),0)*MAX(0,SUM('Construction Dashboard'!$G57:M57)),0)</f>
        <v>0</v>
      </c>
      <c r="M53" s="55">
        <f ca="1">IF(VALUE(CostRemaining[#Headers])&lt;='Construction Dashboard'!$F57,IFERROR(VLOOKUP(CostRemaining[[#This Row],[Cost]],Upgrades[],MATCH("C"&amp;CostRemaining[#Headers],Upgrades[#Headers],0),FALSE),0)*MAX(0,SUM('Construction Dashboard'!$G57:N57)),0)</f>
        <v>0</v>
      </c>
      <c r="N53" s="55">
        <f ca="1">IF(VALUE(CostRemaining[#Headers])&lt;='Construction Dashboard'!$F57,IFERROR(VLOOKUP(CostRemaining[[#This Row],[Cost]],Upgrades[],MATCH("C"&amp;CostRemaining[#Headers],Upgrades[#Headers],0),FALSE),0)*MAX(0,SUM('Construction Dashboard'!$G57:O57)),0)</f>
        <v>0</v>
      </c>
      <c r="O53" s="55">
        <f ca="1">IF(VALUE(CostRemaining[#Headers])&lt;='Construction Dashboard'!$F57,IFERROR(VLOOKUP(CostRemaining[[#This Row],[Cost]],Upgrades[],MATCH("C"&amp;CostRemaining[#Headers],Upgrades[#Headers],0),FALSE),0)*MAX(0,SUM('Construction Dashboard'!$G57:P57)),0)</f>
        <v>0</v>
      </c>
      <c r="P53" s="55">
        <f ca="1">IF(VALUE(CostRemaining[#Headers])&lt;='Construction Dashboard'!$F57,IFERROR(VLOOKUP(CostRemaining[[#This Row],[Cost]],Upgrades[],MATCH("C"&amp;CostRemaining[#Headers],Upgrades[#Headers],0),FALSE),0)*MAX(0,SUM('Construction Dashboard'!$G57:Q57)),0)</f>
        <v>0</v>
      </c>
      <c r="Q53" s="55">
        <f ca="1">IF(VALUE(CostRemaining[#Headers])&lt;='Construction Dashboard'!$F57,IFERROR(VLOOKUP(CostRemaining[[#This Row],[Cost]],Upgrades[],MATCH("C"&amp;CostRemaining[#Headers],Upgrades[#Headers],0),FALSE),0)*MAX(0,SUM('Construction Dashboard'!$G57:R57)),0)</f>
        <v>0</v>
      </c>
      <c r="R53" s="55">
        <f ca="1">IF(CostRemaining[[#This Row],[MatchStr]]="IGNORE",0,SUM(CostRemaining[[#This Row],[1]:[12]]))</f>
        <v>0</v>
      </c>
    </row>
    <row r="54" spans="1:18">
      <c r="A54" s="11" t="s">
        <v>87</v>
      </c>
      <c r="B54" s="56" t="str">
        <f>VLOOKUP(CostRemaining[[#This Row],[Cost]],Upgrades[],2,FALSE)</f>
        <v>Upgrade</v>
      </c>
      <c r="C54" s="56" t="str">
        <f>VLOOKUP(CostRemaining[[#This Row],[Cost]],Upgrades[],3,FALSE)</f>
        <v>Elixir</v>
      </c>
      <c r="D54" s="132" t="str">
        <f>IF(COUNTIF(Skips,CostRemaining[[#This Row],[Cost]])&gt;0,"IGNORE",CostRemaining[Kind]&amp;"-"&amp;CostRemaining[Resource])</f>
        <v>IGNORE</v>
      </c>
      <c r="E54" s="54">
        <f ca="1">IFERROR(VLOOKUP(CostRemaining[[#This Row],[Cost]],Upgrades[],MATCH("C"&amp;MATCH(TRUE,INDEX(CostRemaining[[#This Row],[1]:[12]]&lt;&gt;0,),0),Upgrades[#Headers],0),FALSE),"")</f>
        <v>450000</v>
      </c>
      <c r="F54" s="55">
        <f ca="1">IF(VALUE(CostRemaining[#Headers])&lt;='Construction Dashboard'!$F58,IFERROR(VLOOKUP(CostRemaining[[#This Row],[Cost]],Upgrades[],MATCH("C"&amp;CostRemaining[#Headers],Upgrades[#Headers],0),FALSE),0)*MAX(0,SUM('Construction Dashboard'!$G58:G58)),0)</f>
        <v>0</v>
      </c>
      <c r="G54" s="55">
        <f ca="1">IF(VALUE(CostRemaining[#Headers])&lt;='Construction Dashboard'!$F58,IFERROR(VLOOKUP(CostRemaining[[#This Row],[Cost]],Upgrades[],MATCH("C"&amp;CostRemaining[#Headers],Upgrades[#Headers],0),FALSE),0)*MAX(0,SUM('Construction Dashboard'!$G58:H58)),0)</f>
        <v>0</v>
      </c>
      <c r="H54" s="55">
        <f ca="1">IF(VALUE(CostRemaining[#Headers])&lt;='Construction Dashboard'!$F58,IFERROR(VLOOKUP(CostRemaining[[#This Row],[Cost]],Upgrades[],MATCH("C"&amp;CostRemaining[#Headers],Upgrades[#Headers],0),FALSE),0)*MAX(0,SUM('Construction Dashboard'!$G58:I58)),0)</f>
        <v>450000</v>
      </c>
      <c r="I54" s="55">
        <f ca="1">IF(VALUE(CostRemaining[#Headers])&lt;='Construction Dashboard'!$F58,IFERROR(VLOOKUP(CostRemaining[[#This Row],[Cost]],Upgrades[],MATCH("C"&amp;CostRemaining[#Headers],Upgrades[#Headers],0),FALSE),0)*MAX(0,SUM('Construction Dashboard'!$G58:J58)),0)</f>
        <v>1350000</v>
      </c>
      <c r="J54" s="55">
        <f ca="1">IF(VALUE(CostRemaining[#Headers])&lt;='Construction Dashboard'!$F58,IFERROR(VLOOKUP(CostRemaining[[#This Row],[Cost]],Upgrades[],MATCH("C"&amp;CostRemaining[#Headers],Upgrades[#Headers],0),FALSE),0)*MAX(0,SUM('Construction Dashboard'!$G58:K58)),0)</f>
        <v>0</v>
      </c>
      <c r="K54" s="55">
        <f ca="1">IF(VALUE(CostRemaining[#Headers])&lt;='Construction Dashboard'!$F58,IFERROR(VLOOKUP(CostRemaining[[#This Row],[Cost]],Upgrades[],MATCH("C"&amp;CostRemaining[#Headers],Upgrades[#Headers],0),FALSE),0)*MAX(0,SUM('Construction Dashboard'!$G58:L58)),0)</f>
        <v>0</v>
      </c>
      <c r="L54" s="55">
        <f ca="1">IF(VALUE(CostRemaining[#Headers])&lt;='Construction Dashboard'!$F58,IFERROR(VLOOKUP(CostRemaining[[#This Row],[Cost]],Upgrades[],MATCH("C"&amp;CostRemaining[#Headers],Upgrades[#Headers],0),FALSE),0)*MAX(0,SUM('Construction Dashboard'!$G58:M58)),0)</f>
        <v>0</v>
      </c>
      <c r="M54" s="55">
        <f ca="1">IF(VALUE(CostRemaining[#Headers])&lt;='Construction Dashboard'!$F58,IFERROR(VLOOKUP(CostRemaining[[#This Row],[Cost]],Upgrades[],MATCH("C"&amp;CostRemaining[#Headers],Upgrades[#Headers],0),FALSE),0)*MAX(0,SUM('Construction Dashboard'!$G58:N58)),0)</f>
        <v>0</v>
      </c>
      <c r="N54" s="55">
        <f ca="1">IF(VALUE(CostRemaining[#Headers])&lt;='Construction Dashboard'!$F58,IFERROR(VLOOKUP(CostRemaining[[#This Row],[Cost]],Upgrades[],MATCH("C"&amp;CostRemaining[#Headers],Upgrades[#Headers],0),FALSE),0)*MAX(0,SUM('Construction Dashboard'!$G58:O58)),0)</f>
        <v>0</v>
      </c>
      <c r="O54" s="55">
        <f ca="1">IF(VALUE(CostRemaining[#Headers])&lt;='Construction Dashboard'!$F58,IFERROR(VLOOKUP(CostRemaining[[#This Row],[Cost]],Upgrades[],MATCH("C"&amp;CostRemaining[#Headers],Upgrades[#Headers],0),FALSE),0)*MAX(0,SUM('Construction Dashboard'!$G58:P58)),0)</f>
        <v>0</v>
      </c>
      <c r="P54" s="55">
        <f ca="1">IF(VALUE(CostRemaining[#Headers])&lt;='Construction Dashboard'!$F58,IFERROR(VLOOKUP(CostRemaining[[#This Row],[Cost]],Upgrades[],MATCH("C"&amp;CostRemaining[#Headers],Upgrades[#Headers],0),FALSE),0)*MAX(0,SUM('Construction Dashboard'!$G58:Q58)),0)</f>
        <v>0</v>
      </c>
      <c r="Q54" s="55">
        <f ca="1">IF(VALUE(CostRemaining[#Headers])&lt;='Construction Dashboard'!$F58,IFERROR(VLOOKUP(CostRemaining[[#This Row],[Cost]],Upgrades[],MATCH("C"&amp;CostRemaining[#Headers],Upgrades[#Headers],0),FALSE),0)*MAX(0,SUM('Construction Dashboard'!$G58:R58)),0)</f>
        <v>0</v>
      </c>
      <c r="R54" s="55">
        <f>IF(CostRemaining[[#This Row],[MatchStr]]="IGNORE",0,SUM(CostRemaining[[#This Row],[1]:[12]]))</f>
        <v>0</v>
      </c>
    </row>
    <row r="55" spans="1:18">
      <c r="A55" s="11" t="s">
        <v>88</v>
      </c>
      <c r="B55" s="56" t="str">
        <f>VLOOKUP(CostRemaining[[#This Row],[Cost]],Upgrades[],2,FALSE)</f>
        <v>Upgrade</v>
      </c>
      <c r="C55" s="56" t="str">
        <f>VLOOKUP(CostRemaining[[#This Row],[Cost]],Upgrades[],3,FALSE)</f>
        <v>Elixir</v>
      </c>
      <c r="D55" s="132" t="str">
        <f>IF(COUNTIF(Skips,CostRemaining[[#This Row],[Cost]])&gt;0,"IGNORE",CostRemaining[Kind]&amp;"-"&amp;CostRemaining[Resource])</f>
        <v>Upgrade-Elixir</v>
      </c>
      <c r="E55" s="54">
        <f ca="1">IFERROR(VLOOKUP(CostRemaining[[#This Row],[Cost]],Upgrades[],MATCH("C"&amp;MATCH(TRUE,INDEX(CostRemaining[[#This Row],[1]:[12]]&lt;&gt;0,),0),Upgrades[#Headers],0),FALSE),"")</f>
        <v>1350000</v>
      </c>
      <c r="F55" s="55">
        <f ca="1">IF(VALUE(CostRemaining[#Headers])&lt;='Construction Dashboard'!$F59,IFERROR(VLOOKUP(CostRemaining[[#This Row],[Cost]],Upgrades[],MATCH("C"&amp;CostRemaining[#Headers],Upgrades[#Headers],0),FALSE),0)*MAX(0,SUM('Construction Dashboard'!$G59:G59)),0)</f>
        <v>0</v>
      </c>
      <c r="G55" s="55">
        <f ca="1">IF(VALUE(CostRemaining[#Headers])&lt;='Construction Dashboard'!$F59,IFERROR(VLOOKUP(CostRemaining[[#This Row],[Cost]],Upgrades[],MATCH("C"&amp;CostRemaining[#Headers],Upgrades[#Headers],0),FALSE),0)*MAX(0,SUM('Construction Dashboard'!$G59:H59)),0)</f>
        <v>0</v>
      </c>
      <c r="H55" s="55">
        <f ca="1">IF(VALUE(CostRemaining[#Headers])&lt;='Construction Dashboard'!$F59,IFERROR(VLOOKUP(CostRemaining[[#This Row],[Cost]],Upgrades[],MATCH("C"&amp;CostRemaining[#Headers],Upgrades[#Headers],0),FALSE),0)*MAX(0,SUM('Construction Dashboard'!$G59:I59)),0)</f>
        <v>0</v>
      </c>
      <c r="I55" s="55">
        <f ca="1">IF(VALUE(CostRemaining[#Headers])&lt;='Construction Dashboard'!$F59,IFERROR(VLOOKUP(CostRemaining[[#This Row],[Cost]],Upgrades[],MATCH("C"&amp;CostRemaining[#Headers],Upgrades[#Headers],0),FALSE),0)*MAX(0,SUM('Construction Dashboard'!$G59:J59)),0)</f>
        <v>1350000</v>
      </c>
      <c r="J55" s="55">
        <f ca="1">IF(VALUE(CostRemaining[#Headers])&lt;='Construction Dashboard'!$F59,IFERROR(VLOOKUP(CostRemaining[[#This Row],[Cost]],Upgrades[],MATCH("C"&amp;CostRemaining[#Headers],Upgrades[#Headers],0),FALSE),0)*MAX(0,SUM('Construction Dashboard'!$G59:K59)),0)</f>
        <v>0</v>
      </c>
      <c r="K55" s="55">
        <f ca="1">IF(VALUE(CostRemaining[#Headers])&lt;='Construction Dashboard'!$F59,IFERROR(VLOOKUP(CostRemaining[[#This Row],[Cost]],Upgrades[],MATCH("C"&amp;CostRemaining[#Headers],Upgrades[#Headers],0),FALSE),0)*MAX(0,SUM('Construction Dashboard'!$G59:L59)),0)</f>
        <v>0</v>
      </c>
      <c r="L55" s="55">
        <f ca="1">IF(VALUE(CostRemaining[#Headers])&lt;='Construction Dashboard'!$F59,IFERROR(VLOOKUP(CostRemaining[[#This Row],[Cost]],Upgrades[],MATCH("C"&amp;CostRemaining[#Headers],Upgrades[#Headers],0),FALSE),0)*MAX(0,SUM('Construction Dashboard'!$G59:M59)),0)</f>
        <v>0</v>
      </c>
      <c r="M55" s="55">
        <f ca="1">IF(VALUE(CostRemaining[#Headers])&lt;='Construction Dashboard'!$F59,IFERROR(VLOOKUP(CostRemaining[[#This Row],[Cost]],Upgrades[],MATCH("C"&amp;CostRemaining[#Headers],Upgrades[#Headers],0),FALSE),0)*MAX(0,SUM('Construction Dashboard'!$G59:N59)),0)</f>
        <v>0</v>
      </c>
      <c r="N55" s="55">
        <f ca="1">IF(VALUE(CostRemaining[#Headers])&lt;='Construction Dashboard'!$F59,IFERROR(VLOOKUP(CostRemaining[[#This Row],[Cost]],Upgrades[],MATCH("C"&amp;CostRemaining[#Headers],Upgrades[#Headers],0),FALSE),0)*MAX(0,SUM('Construction Dashboard'!$G59:O59)),0)</f>
        <v>0</v>
      </c>
      <c r="O55" s="55">
        <f ca="1">IF(VALUE(CostRemaining[#Headers])&lt;='Construction Dashboard'!$F59,IFERROR(VLOOKUP(CostRemaining[[#This Row],[Cost]],Upgrades[],MATCH("C"&amp;CostRemaining[#Headers],Upgrades[#Headers],0),FALSE),0)*MAX(0,SUM('Construction Dashboard'!$G59:P59)),0)</f>
        <v>0</v>
      </c>
      <c r="P55" s="55">
        <f ca="1">IF(VALUE(CostRemaining[#Headers])&lt;='Construction Dashboard'!$F59,IFERROR(VLOOKUP(CostRemaining[[#This Row],[Cost]],Upgrades[],MATCH("C"&amp;CostRemaining[#Headers],Upgrades[#Headers],0),FALSE),0)*MAX(0,SUM('Construction Dashboard'!$G59:Q59)),0)</f>
        <v>0</v>
      </c>
      <c r="Q55" s="55">
        <f ca="1">IF(VALUE(CostRemaining[#Headers])&lt;='Construction Dashboard'!$F59,IFERROR(VLOOKUP(CostRemaining[[#This Row],[Cost]],Upgrades[],MATCH("C"&amp;CostRemaining[#Headers],Upgrades[#Headers],0),FALSE),0)*MAX(0,SUM('Construction Dashboard'!$G59:R59)),0)</f>
        <v>0</v>
      </c>
      <c r="R55" s="55">
        <f ca="1">IF(CostRemaining[[#This Row],[MatchStr]]="IGNORE",0,SUM(CostRemaining[[#This Row],[1]:[12]]))</f>
        <v>1350000</v>
      </c>
    </row>
    <row r="56" spans="1:18">
      <c r="A56" s="11" t="s">
        <v>89</v>
      </c>
      <c r="B56" s="56" t="str">
        <f>VLOOKUP(CostRemaining[[#This Row],[Cost]],Upgrades[],2,FALSE)</f>
        <v>Upgrade</v>
      </c>
      <c r="C56" s="56" t="str">
        <f>VLOOKUP(CostRemaining[[#This Row],[Cost]],Upgrades[],3,FALSE)</f>
        <v>Elixir</v>
      </c>
      <c r="D56" s="132" t="str">
        <f>IF(COUNTIF(Skips,CostRemaining[[#This Row],[Cost]])&gt;0,"IGNORE",CostRemaining[Kind]&amp;"-"&amp;CostRemaining[Resource])</f>
        <v>Upgrade-Elixir</v>
      </c>
      <c r="E56" s="54" t="str">
        <f ca="1">IFERROR(VLOOKUP(CostRemaining[[#This Row],[Cost]],Upgrades[],MATCH("C"&amp;MATCH(TRUE,INDEX(CostRemaining[[#This Row],[1]:[12]]&lt;&gt;0,),0),Upgrades[#Headers],0),FALSE),"")</f>
        <v/>
      </c>
      <c r="F56" s="55">
        <f ca="1">IF(VALUE(CostRemaining[#Headers])&lt;='Construction Dashboard'!$F60,IFERROR(VLOOKUP(CostRemaining[[#This Row],[Cost]],Upgrades[],MATCH("C"&amp;CostRemaining[#Headers],Upgrades[#Headers],0),FALSE),0)*MAX(0,SUM('Construction Dashboard'!$G60:G60)),0)</f>
        <v>0</v>
      </c>
      <c r="G56" s="55">
        <f ca="1">IF(VALUE(CostRemaining[#Headers])&lt;='Construction Dashboard'!$F60,IFERROR(VLOOKUP(CostRemaining[[#This Row],[Cost]],Upgrades[],MATCH("C"&amp;CostRemaining[#Headers],Upgrades[#Headers],0),FALSE),0)*MAX(0,SUM('Construction Dashboard'!$G60:H60)),0)</f>
        <v>0</v>
      </c>
      <c r="H56" s="55">
        <f ca="1">IF(VALUE(CostRemaining[#Headers])&lt;='Construction Dashboard'!$F60,IFERROR(VLOOKUP(CostRemaining[[#This Row],[Cost]],Upgrades[],MATCH("C"&amp;CostRemaining[#Headers],Upgrades[#Headers],0),FALSE),0)*MAX(0,SUM('Construction Dashboard'!$G60:I60)),0)</f>
        <v>0</v>
      </c>
      <c r="I56" s="55">
        <f ca="1">IF(VALUE(CostRemaining[#Headers])&lt;='Construction Dashboard'!$F60,IFERROR(VLOOKUP(CostRemaining[[#This Row],[Cost]],Upgrades[],MATCH("C"&amp;CostRemaining[#Headers],Upgrades[#Headers],0),FALSE),0)*MAX(0,SUM('Construction Dashboard'!$G60:J60)),0)</f>
        <v>0</v>
      </c>
      <c r="J56" s="55">
        <f ca="1">IF(VALUE(CostRemaining[#Headers])&lt;='Construction Dashboard'!$F60,IFERROR(VLOOKUP(CostRemaining[[#This Row],[Cost]],Upgrades[],MATCH("C"&amp;CostRemaining[#Headers],Upgrades[#Headers],0),FALSE),0)*MAX(0,SUM('Construction Dashboard'!$G60:K60)),0)</f>
        <v>0</v>
      </c>
      <c r="K56" s="55">
        <f ca="1">IF(VALUE(CostRemaining[#Headers])&lt;='Construction Dashboard'!$F60,IFERROR(VLOOKUP(CostRemaining[[#This Row],[Cost]],Upgrades[],MATCH("C"&amp;CostRemaining[#Headers],Upgrades[#Headers],0),FALSE),0)*MAX(0,SUM('Construction Dashboard'!$G60:L60)),0)</f>
        <v>0</v>
      </c>
      <c r="L56" s="55">
        <f ca="1">IF(VALUE(CostRemaining[#Headers])&lt;='Construction Dashboard'!$F60,IFERROR(VLOOKUP(CostRemaining[[#This Row],[Cost]],Upgrades[],MATCH("C"&amp;CostRemaining[#Headers],Upgrades[#Headers],0),FALSE),0)*MAX(0,SUM('Construction Dashboard'!$G60:M60)),0)</f>
        <v>0</v>
      </c>
      <c r="M56" s="55">
        <f ca="1">IF(VALUE(CostRemaining[#Headers])&lt;='Construction Dashboard'!$F60,IFERROR(VLOOKUP(CostRemaining[[#This Row],[Cost]],Upgrades[],MATCH("C"&amp;CostRemaining[#Headers],Upgrades[#Headers],0),FALSE),0)*MAX(0,SUM('Construction Dashboard'!$G60:N60)),0)</f>
        <v>0</v>
      </c>
      <c r="N56" s="55">
        <f ca="1">IF(VALUE(CostRemaining[#Headers])&lt;='Construction Dashboard'!$F60,IFERROR(VLOOKUP(CostRemaining[[#This Row],[Cost]],Upgrades[],MATCH("C"&amp;CostRemaining[#Headers],Upgrades[#Headers],0),FALSE),0)*MAX(0,SUM('Construction Dashboard'!$G60:O60)),0)</f>
        <v>0</v>
      </c>
      <c r="O56" s="55">
        <f ca="1">IF(VALUE(CostRemaining[#Headers])&lt;='Construction Dashboard'!$F60,IFERROR(VLOOKUP(CostRemaining[[#This Row],[Cost]],Upgrades[],MATCH("C"&amp;CostRemaining[#Headers],Upgrades[#Headers],0),FALSE),0)*MAX(0,SUM('Construction Dashboard'!$G60:P60)),0)</f>
        <v>0</v>
      </c>
      <c r="P56" s="55">
        <f ca="1">IF(VALUE(CostRemaining[#Headers])&lt;='Construction Dashboard'!$F60,IFERROR(VLOOKUP(CostRemaining[[#This Row],[Cost]],Upgrades[],MATCH("C"&amp;CostRemaining[#Headers],Upgrades[#Headers],0),FALSE),0)*MAX(0,SUM('Construction Dashboard'!$G60:Q60)),0)</f>
        <v>0</v>
      </c>
      <c r="Q56" s="55">
        <f ca="1">IF(VALUE(CostRemaining[#Headers])&lt;='Construction Dashboard'!$F60,IFERROR(VLOOKUP(CostRemaining[[#This Row],[Cost]],Upgrades[],MATCH("C"&amp;CostRemaining[#Headers],Upgrades[#Headers],0),FALSE),0)*MAX(0,SUM('Construction Dashboard'!$G60:R60)),0)</f>
        <v>0</v>
      </c>
      <c r="R56" s="55">
        <f ca="1">IF(CostRemaining[[#This Row],[MatchStr]]="IGNORE",0,SUM(CostRemaining[[#This Row],[1]:[12]]))</f>
        <v>0</v>
      </c>
    </row>
    <row r="57" spans="1:18">
      <c r="A57" s="11" t="s">
        <v>90</v>
      </c>
      <c r="B57" s="56" t="str">
        <f>VLOOKUP(CostRemaining[[#This Row],[Cost]],Upgrades[],2,FALSE)</f>
        <v>Upgrade</v>
      </c>
      <c r="C57" s="56" t="str">
        <f>VLOOKUP(CostRemaining[[#This Row],[Cost]],Upgrades[],3,FALSE)</f>
        <v>Elixir</v>
      </c>
      <c r="D57" s="132" t="str">
        <f>IF(COUNTIF(Skips,CostRemaining[[#This Row],[Cost]])&gt;0,"IGNORE",CostRemaining[Kind]&amp;"-"&amp;CostRemaining[Resource])</f>
        <v>Upgrade-Elixir</v>
      </c>
      <c r="E57" s="54">
        <f ca="1">IFERROR(VLOOKUP(CostRemaining[[#This Row],[Cost]],Upgrades[],MATCH("C"&amp;MATCH(TRUE,INDEX(CostRemaining[[#This Row],[1]:[12]]&lt;&gt;0,),0),Upgrades[#Headers],0),FALSE),"")</f>
        <v>2000000</v>
      </c>
      <c r="F57" s="55">
        <f ca="1">IF(VALUE(CostRemaining[#Headers])&lt;='Construction Dashboard'!$F61,IFERROR(VLOOKUP(CostRemaining[[#This Row],[Cost]],Upgrades[],MATCH("C"&amp;CostRemaining[#Headers],Upgrades[#Headers],0),FALSE),0)*MAX(0,SUM('Construction Dashboard'!$G61:G61)),0)</f>
        <v>0</v>
      </c>
      <c r="G57" s="55">
        <f ca="1">IF(VALUE(CostRemaining[#Headers])&lt;='Construction Dashboard'!$F61,IFERROR(VLOOKUP(CostRemaining[[#This Row],[Cost]],Upgrades[],MATCH("C"&amp;CostRemaining[#Headers],Upgrades[#Headers],0),FALSE),0)*MAX(0,SUM('Construction Dashboard'!$G61:H61)),0)</f>
        <v>2000000</v>
      </c>
      <c r="H57" s="55">
        <f ca="1">IF(VALUE(CostRemaining[#Headers])&lt;='Construction Dashboard'!$F61,IFERROR(VLOOKUP(CostRemaining[[#This Row],[Cost]],Upgrades[],MATCH("C"&amp;CostRemaining[#Headers],Upgrades[#Headers],0),FALSE),0)*MAX(0,SUM('Construction Dashboard'!$G61:I61)),0)</f>
        <v>0</v>
      </c>
      <c r="I57" s="55">
        <f ca="1">IF(VALUE(CostRemaining[#Headers])&lt;='Construction Dashboard'!$F61,IFERROR(VLOOKUP(CostRemaining[[#This Row],[Cost]],Upgrades[],MATCH("C"&amp;CostRemaining[#Headers],Upgrades[#Headers],0),FALSE),0)*MAX(0,SUM('Construction Dashboard'!$G61:J61)),0)</f>
        <v>0</v>
      </c>
      <c r="J57" s="55">
        <f ca="1">IF(VALUE(CostRemaining[#Headers])&lt;='Construction Dashboard'!$F61,IFERROR(VLOOKUP(CostRemaining[[#This Row],[Cost]],Upgrades[],MATCH("C"&amp;CostRemaining[#Headers],Upgrades[#Headers],0),FALSE),0)*MAX(0,SUM('Construction Dashboard'!$G61:K61)),0)</f>
        <v>0</v>
      </c>
      <c r="K57" s="55">
        <f ca="1">IF(VALUE(CostRemaining[#Headers])&lt;='Construction Dashboard'!$F61,IFERROR(VLOOKUP(CostRemaining[[#This Row],[Cost]],Upgrades[],MATCH("C"&amp;CostRemaining[#Headers],Upgrades[#Headers],0),FALSE),0)*MAX(0,SUM('Construction Dashboard'!$G61:L61)),0)</f>
        <v>0</v>
      </c>
      <c r="L57" s="55">
        <f ca="1">IF(VALUE(CostRemaining[#Headers])&lt;='Construction Dashboard'!$F61,IFERROR(VLOOKUP(CostRemaining[[#This Row],[Cost]],Upgrades[],MATCH("C"&amp;CostRemaining[#Headers],Upgrades[#Headers],0),FALSE),0)*MAX(0,SUM('Construction Dashboard'!$G61:M61)),0)</f>
        <v>0</v>
      </c>
      <c r="M57" s="55">
        <f ca="1">IF(VALUE(CostRemaining[#Headers])&lt;='Construction Dashboard'!$F61,IFERROR(VLOOKUP(CostRemaining[[#This Row],[Cost]],Upgrades[],MATCH("C"&amp;CostRemaining[#Headers],Upgrades[#Headers],0),FALSE),0)*MAX(0,SUM('Construction Dashboard'!$G61:N61)),0)</f>
        <v>0</v>
      </c>
      <c r="N57" s="55">
        <f ca="1">IF(VALUE(CostRemaining[#Headers])&lt;='Construction Dashboard'!$F61,IFERROR(VLOOKUP(CostRemaining[[#This Row],[Cost]],Upgrades[],MATCH("C"&amp;CostRemaining[#Headers],Upgrades[#Headers],0),FALSE),0)*MAX(0,SUM('Construction Dashboard'!$G61:O61)),0)</f>
        <v>0</v>
      </c>
      <c r="O57" s="55">
        <f ca="1">IF(VALUE(CostRemaining[#Headers])&lt;='Construction Dashboard'!$F61,IFERROR(VLOOKUP(CostRemaining[[#This Row],[Cost]],Upgrades[],MATCH("C"&amp;CostRemaining[#Headers],Upgrades[#Headers],0),FALSE),0)*MAX(0,SUM('Construction Dashboard'!$G61:P61)),0)</f>
        <v>0</v>
      </c>
      <c r="P57" s="55">
        <f ca="1">IF(VALUE(CostRemaining[#Headers])&lt;='Construction Dashboard'!$F61,IFERROR(VLOOKUP(CostRemaining[[#This Row],[Cost]],Upgrades[],MATCH("C"&amp;CostRemaining[#Headers],Upgrades[#Headers],0),FALSE),0)*MAX(0,SUM('Construction Dashboard'!$G61:Q61)),0)</f>
        <v>0</v>
      </c>
      <c r="Q57" s="55">
        <f ca="1">IF(VALUE(CostRemaining[#Headers])&lt;='Construction Dashboard'!$F61,IFERROR(VLOOKUP(CostRemaining[[#This Row],[Cost]],Upgrades[],MATCH("C"&amp;CostRemaining[#Headers],Upgrades[#Headers],0),FALSE),0)*MAX(0,SUM('Construction Dashboard'!$G61:R61)),0)</f>
        <v>0</v>
      </c>
      <c r="R57" s="55">
        <f ca="1">IF(CostRemaining[[#This Row],[MatchStr]]="IGNORE",0,SUM(CostRemaining[[#This Row],[1]:[12]]))</f>
        <v>2000000</v>
      </c>
    </row>
    <row r="58" spans="1:18">
      <c r="A58" s="11" t="s">
        <v>91</v>
      </c>
      <c r="B58" s="56" t="str">
        <f>VLOOKUP(CostRemaining[[#This Row],[Cost]],Upgrades[],2,FALSE)</f>
        <v>Upgrade</v>
      </c>
      <c r="C58" s="56" t="str">
        <f>VLOOKUP(CostRemaining[[#This Row],[Cost]],Upgrades[],3,FALSE)</f>
        <v>Elixir</v>
      </c>
      <c r="D58" s="132" t="str">
        <f>IF(COUNTIF(Skips,CostRemaining[[#This Row],[Cost]])&gt;0,"IGNORE",CostRemaining[Kind]&amp;"-"&amp;CostRemaining[Resource])</f>
        <v>Upgrade-Elixir</v>
      </c>
      <c r="E58" s="54" t="str">
        <f ca="1">IFERROR(VLOOKUP(CostRemaining[[#This Row],[Cost]],Upgrades[],MATCH("C"&amp;MATCH(TRUE,INDEX(CostRemaining[[#This Row],[1]:[12]]&lt;&gt;0,),0),Upgrades[#Headers],0),FALSE),"")</f>
        <v/>
      </c>
      <c r="F58" s="55">
        <f ca="1">IF(VALUE(CostRemaining[#Headers])&lt;='Construction Dashboard'!$F62,IFERROR(VLOOKUP(CostRemaining[[#This Row],[Cost]],Upgrades[],MATCH("C"&amp;CostRemaining[#Headers],Upgrades[#Headers],0),FALSE),0)*MAX(0,SUM('Construction Dashboard'!$G62:G62)),0)</f>
        <v>0</v>
      </c>
      <c r="G58" s="55">
        <f ca="1">IF(VALUE(CostRemaining[#Headers])&lt;='Construction Dashboard'!$F62,IFERROR(VLOOKUP(CostRemaining[[#This Row],[Cost]],Upgrades[],MATCH("C"&amp;CostRemaining[#Headers],Upgrades[#Headers],0),FALSE),0)*MAX(0,SUM('Construction Dashboard'!$G62:H62)),0)</f>
        <v>0</v>
      </c>
      <c r="H58" s="55">
        <f ca="1">IF(VALUE(CostRemaining[#Headers])&lt;='Construction Dashboard'!$F62,IFERROR(VLOOKUP(CostRemaining[[#This Row],[Cost]],Upgrades[],MATCH("C"&amp;CostRemaining[#Headers],Upgrades[#Headers],0),FALSE),0)*MAX(0,SUM('Construction Dashboard'!$G62:I62)),0)</f>
        <v>0</v>
      </c>
      <c r="I58" s="55">
        <f ca="1">IF(VALUE(CostRemaining[#Headers])&lt;='Construction Dashboard'!$F62,IFERROR(VLOOKUP(CostRemaining[[#This Row],[Cost]],Upgrades[],MATCH("C"&amp;CostRemaining[#Headers],Upgrades[#Headers],0),FALSE),0)*MAX(0,SUM('Construction Dashboard'!$G62:J62)),0)</f>
        <v>0</v>
      </c>
      <c r="J58" s="55">
        <f ca="1">IF(VALUE(CostRemaining[#Headers])&lt;='Construction Dashboard'!$F62,IFERROR(VLOOKUP(CostRemaining[[#This Row],[Cost]],Upgrades[],MATCH("C"&amp;CostRemaining[#Headers],Upgrades[#Headers],0),FALSE),0)*MAX(0,SUM('Construction Dashboard'!$G62:K62)),0)</f>
        <v>0</v>
      </c>
      <c r="K58" s="55">
        <f ca="1">IF(VALUE(CostRemaining[#Headers])&lt;='Construction Dashboard'!$F62,IFERROR(VLOOKUP(CostRemaining[[#This Row],[Cost]],Upgrades[],MATCH("C"&amp;CostRemaining[#Headers],Upgrades[#Headers],0),FALSE),0)*MAX(0,SUM('Construction Dashboard'!$G62:L62)),0)</f>
        <v>0</v>
      </c>
      <c r="L58" s="55">
        <f ca="1">IF(VALUE(CostRemaining[#Headers])&lt;='Construction Dashboard'!$F62,IFERROR(VLOOKUP(CostRemaining[[#This Row],[Cost]],Upgrades[],MATCH("C"&amp;CostRemaining[#Headers],Upgrades[#Headers],0),FALSE),0)*MAX(0,SUM('Construction Dashboard'!$G62:M62)),0)</f>
        <v>0</v>
      </c>
      <c r="M58" s="55">
        <f ca="1">IF(VALUE(CostRemaining[#Headers])&lt;='Construction Dashboard'!$F62,IFERROR(VLOOKUP(CostRemaining[[#This Row],[Cost]],Upgrades[],MATCH("C"&amp;CostRemaining[#Headers],Upgrades[#Headers],0),FALSE),0)*MAX(0,SUM('Construction Dashboard'!$G62:N62)),0)</f>
        <v>0</v>
      </c>
      <c r="N58" s="55">
        <f ca="1">IF(VALUE(CostRemaining[#Headers])&lt;='Construction Dashboard'!$F62,IFERROR(VLOOKUP(CostRemaining[[#This Row],[Cost]],Upgrades[],MATCH("C"&amp;CostRemaining[#Headers],Upgrades[#Headers],0),FALSE),0)*MAX(0,SUM('Construction Dashboard'!$G62:O62)),0)</f>
        <v>0</v>
      </c>
      <c r="O58" s="55">
        <f ca="1">IF(VALUE(CostRemaining[#Headers])&lt;='Construction Dashboard'!$F62,IFERROR(VLOOKUP(CostRemaining[[#This Row],[Cost]],Upgrades[],MATCH("C"&amp;CostRemaining[#Headers],Upgrades[#Headers],0),FALSE),0)*MAX(0,SUM('Construction Dashboard'!$G62:P62)),0)</f>
        <v>0</v>
      </c>
      <c r="P58" s="55">
        <f ca="1">IF(VALUE(CostRemaining[#Headers])&lt;='Construction Dashboard'!$F62,IFERROR(VLOOKUP(CostRemaining[[#This Row],[Cost]],Upgrades[],MATCH("C"&amp;CostRemaining[#Headers],Upgrades[#Headers],0),FALSE),0)*MAX(0,SUM('Construction Dashboard'!$G62:Q62)),0)</f>
        <v>0</v>
      </c>
      <c r="Q58" s="55">
        <f ca="1">IF(VALUE(CostRemaining[#Headers])&lt;='Construction Dashboard'!$F62,IFERROR(VLOOKUP(CostRemaining[[#This Row],[Cost]],Upgrades[],MATCH("C"&amp;CostRemaining[#Headers],Upgrades[#Headers],0),FALSE),0)*MAX(0,SUM('Construction Dashboard'!$G62:R62)),0)</f>
        <v>0</v>
      </c>
      <c r="R58" s="55">
        <f ca="1">IF(CostRemaining[[#This Row],[MatchStr]]="IGNORE",0,SUM(CostRemaining[[#This Row],[1]:[12]]))</f>
        <v>0</v>
      </c>
    </row>
    <row r="59" spans="1:18">
      <c r="A59" s="11" t="s">
        <v>92</v>
      </c>
      <c r="B59" s="56" t="str">
        <f>VLOOKUP(CostRemaining[[#This Row],[Cost]],Upgrades[],2,FALSE)</f>
        <v>Upgrade</v>
      </c>
      <c r="C59" s="56" t="str">
        <f>VLOOKUP(CostRemaining[[#This Row],[Cost]],Upgrades[],3,FALSE)</f>
        <v>Elixir</v>
      </c>
      <c r="D59" s="132" t="str">
        <f>IF(COUNTIF(Skips,CostRemaining[[#This Row],[Cost]])&gt;0,"IGNORE",CostRemaining[Kind]&amp;"-"&amp;CostRemaining[Resource])</f>
        <v>Upgrade-Elixir</v>
      </c>
      <c r="E59" s="54" t="str">
        <f ca="1">IFERROR(VLOOKUP(CostRemaining[[#This Row],[Cost]],Upgrades[],MATCH("C"&amp;MATCH(TRUE,INDEX(CostRemaining[[#This Row],[1]:[12]]&lt;&gt;0,),0),Upgrades[#Headers],0),FALSE),"")</f>
        <v/>
      </c>
      <c r="F59" s="55">
        <f ca="1">IF(VALUE(CostRemaining[#Headers])&lt;='Construction Dashboard'!$F63,IFERROR(VLOOKUP(CostRemaining[[#This Row],[Cost]],Upgrades[],MATCH("C"&amp;CostRemaining[#Headers],Upgrades[#Headers],0),FALSE),0)*MAX(0,SUM('Construction Dashboard'!$G63:G63)),0)</f>
        <v>0</v>
      </c>
      <c r="G59" s="55">
        <f ca="1">IF(VALUE(CostRemaining[#Headers])&lt;='Construction Dashboard'!$F63,IFERROR(VLOOKUP(CostRemaining[[#This Row],[Cost]],Upgrades[],MATCH("C"&amp;CostRemaining[#Headers],Upgrades[#Headers],0),FALSE),0)*MAX(0,SUM('Construction Dashboard'!$G63:H63)),0)</f>
        <v>0</v>
      </c>
      <c r="H59" s="55">
        <f ca="1">IF(VALUE(CostRemaining[#Headers])&lt;='Construction Dashboard'!$F63,IFERROR(VLOOKUP(CostRemaining[[#This Row],[Cost]],Upgrades[],MATCH("C"&amp;CostRemaining[#Headers],Upgrades[#Headers],0),FALSE),0)*MAX(0,SUM('Construction Dashboard'!$G63:I63)),0)</f>
        <v>0</v>
      </c>
      <c r="I59" s="55">
        <f ca="1">IF(VALUE(CostRemaining[#Headers])&lt;='Construction Dashboard'!$F63,IFERROR(VLOOKUP(CostRemaining[[#This Row],[Cost]],Upgrades[],MATCH("C"&amp;CostRemaining[#Headers],Upgrades[#Headers],0),FALSE),0)*MAX(0,SUM('Construction Dashboard'!$G63:J63)),0)</f>
        <v>0</v>
      </c>
      <c r="J59" s="55">
        <f ca="1">IF(VALUE(CostRemaining[#Headers])&lt;='Construction Dashboard'!$F63,IFERROR(VLOOKUP(CostRemaining[[#This Row],[Cost]],Upgrades[],MATCH("C"&amp;CostRemaining[#Headers],Upgrades[#Headers],0),FALSE),0)*MAX(0,SUM('Construction Dashboard'!$G63:K63)),0)</f>
        <v>0</v>
      </c>
      <c r="K59" s="55">
        <f ca="1">IF(VALUE(CostRemaining[#Headers])&lt;='Construction Dashboard'!$F63,IFERROR(VLOOKUP(CostRemaining[[#This Row],[Cost]],Upgrades[],MATCH("C"&amp;CostRemaining[#Headers],Upgrades[#Headers],0),FALSE),0)*MAX(0,SUM('Construction Dashboard'!$G63:L63)),0)</f>
        <v>0</v>
      </c>
      <c r="L59" s="55">
        <f ca="1">IF(VALUE(CostRemaining[#Headers])&lt;='Construction Dashboard'!$F63,IFERROR(VLOOKUP(CostRemaining[[#This Row],[Cost]],Upgrades[],MATCH("C"&amp;CostRemaining[#Headers],Upgrades[#Headers],0),FALSE),0)*MAX(0,SUM('Construction Dashboard'!$G63:M63)),0)</f>
        <v>0</v>
      </c>
      <c r="M59" s="55">
        <f ca="1">IF(VALUE(CostRemaining[#Headers])&lt;='Construction Dashboard'!$F63,IFERROR(VLOOKUP(CostRemaining[[#This Row],[Cost]],Upgrades[],MATCH("C"&amp;CostRemaining[#Headers],Upgrades[#Headers],0),FALSE),0)*MAX(0,SUM('Construction Dashboard'!$G63:N63)),0)</f>
        <v>0</v>
      </c>
      <c r="N59" s="55">
        <f ca="1">IF(VALUE(CostRemaining[#Headers])&lt;='Construction Dashboard'!$F63,IFERROR(VLOOKUP(CostRemaining[[#This Row],[Cost]],Upgrades[],MATCH("C"&amp;CostRemaining[#Headers],Upgrades[#Headers],0),FALSE),0)*MAX(0,SUM('Construction Dashboard'!$G63:O63)),0)</f>
        <v>0</v>
      </c>
      <c r="O59" s="55">
        <f ca="1">IF(VALUE(CostRemaining[#Headers])&lt;='Construction Dashboard'!$F63,IFERROR(VLOOKUP(CostRemaining[[#This Row],[Cost]],Upgrades[],MATCH("C"&amp;CostRemaining[#Headers],Upgrades[#Headers],0),FALSE),0)*MAX(0,SUM('Construction Dashboard'!$G63:P63)),0)</f>
        <v>0</v>
      </c>
      <c r="P59" s="55">
        <f ca="1">IF(VALUE(CostRemaining[#Headers])&lt;='Construction Dashboard'!$F63,IFERROR(VLOOKUP(CostRemaining[[#This Row],[Cost]],Upgrades[],MATCH("C"&amp;CostRemaining[#Headers],Upgrades[#Headers],0),FALSE),0)*MAX(0,SUM('Construction Dashboard'!$G63:Q63)),0)</f>
        <v>0</v>
      </c>
      <c r="Q59" s="55">
        <f ca="1">IF(VALUE(CostRemaining[#Headers])&lt;='Construction Dashboard'!$F63,IFERROR(VLOOKUP(CostRemaining[[#This Row],[Cost]],Upgrades[],MATCH("C"&amp;CostRemaining[#Headers],Upgrades[#Headers],0),FALSE),0)*MAX(0,SUM('Construction Dashboard'!$G63:R63)),0)</f>
        <v>0</v>
      </c>
      <c r="R59" s="55">
        <f ca="1">IF(CostRemaining[[#This Row],[MatchStr]]="IGNORE",0,SUM(CostRemaining[[#This Row],[1]:[12]]))</f>
        <v>0</v>
      </c>
    </row>
    <row r="60" spans="1:18">
      <c r="A60" s="11" t="s">
        <v>93</v>
      </c>
      <c r="B60" s="56" t="str">
        <f>VLOOKUP(CostRemaining[[#This Row],[Cost]],Upgrades[],2,FALSE)</f>
        <v>Upgrade</v>
      </c>
      <c r="C60" s="56" t="str">
        <f>VLOOKUP(CostRemaining[[#This Row],[Cost]],Upgrades[],3,FALSE)</f>
        <v>Elixir</v>
      </c>
      <c r="D60" s="132" t="str">
        <f>IF(COUNTIF(Skips,CostRemaining[[#This Row],[Cost]])&gt;0,"IGNORE",CostRemaining[Kind]&amp;"-"&amp;CostRemaining[Resource])</f>
        <v>Upgrade-Elixir</v>
      </c>
      <c r="E60" s="54" t="str">
        <f ca="1">IFERROR(VLOOKUP(CostRemaining[[#This Row],[Cost]],Upgrades[],MATCH("C"&amp;MATCH(TRUE,INDEX(CostRemaining[[#This Row],[1]:[12]]&lt;&gt;0,),0),Upgrades[#Headers],0),FALSE),"")</f>
        <v/>
      </c>
      <c r="F60" s="55">
        <f ca="1">IF(VALUE(CostRemaining[#Headers])&lt;='Construction Dashboard'!$F64,IFERROR(VLOOKUP(CostRemaining[[#This Row],[Cost]],Upgrades[],MATCH("C"&amp;CostRemaining[#Headers],Upgrades[#Headers],0),FALSE),0)*MAX(0,SUM('Construction Dashboard'!$G64:G64)),0)</f>
        <v>0</v>
      </c>
      <c r="G60" s="55">
        <f ca="1">IF(VALUE(CostRemaining[#Headers])&lt;='Construction Dashboard'!$F64,IFERROR(VLOOKUP(CostRemaining[[#This Row],[Cost]],Upgrades[],MATCH("C"&amp;CostRemaining[#Headers],Upgrades[#Headers],0),FALSE),0)*MAX(0,SUM('Construction Dashboard'!$G64:H64)),0)</f>
        <v>0</v>
      </c>
      <c r="H60" s="55">
        <f ca="1">IF(VALUE(CostRemaining[#Headers])&lt;='Construction Dashboard'!$F64,IFERROR(VLOOKUP(CostRemaining[[#This Row],[Cost]],Upgrades[],MATCH("C"&amp;CostRemaining[#Headers],Upgrades[#Headers],0),FALSE),0)*MAX(0,SUM('Construction Dashboard'!$G64:I64)),0)</f>
        <v>0</v>
      </c>
      <c r="I60" s="55">
        <f ca="1">IF(VALUE(CostRemaining[#Headers])&lt;='Construction Dashboard'!$F64,IFERROR(VLOOKUP(CostRemaining[[#This Row],[Cost]],Upgrades[],MATCH("C"&amp;CostRemaining[#Headers],Upgrades[#Headers],0),FALSE),0)*MAX(0,SUM('Construction Dashboard'!$G64:J64)),0)</f>
        <v>0</v>
      </c>
      <c r="J60" s="55">
        <f ca="1">IF(VALUE(CostRemaining[#Headers])&lt;='Construction Dashboard'!$F64,IFERROR(VLOOKUP(CostRemaining[[#This Row],[Cost]],Upgrades[],MATCH("C"&amp;CostRemaining[#Headers],Upgrades[#Headers],0),FALSE),0)*MAX(0,SUM('Construction Dashboard'!$G64:K64)),0)</f>
        <v>0</v>
      </c>
      <c r="K60" s="55">
        <f ca="1">IF(VALUE(CostRemaining[#Headers])&lt;='Construction Dashboard'!$F64,IFERROR(VLOOKUP(CostRemaining[[#This Row],[Cost]],Upgrades[],MATCH("C"&amp;CostRemaining[#Headers],Upgrades[#Headers],0),FALSE),0)*MAX(0,SUM('Construction Dashboard'!$G64:L64)),0)</f>
        <v>0</v>
      </c>
      <c r="L60" s="55">
        <f ca="1">IF(VALUE(CostRemaining[#Headers])&lt;='Construction Dashboard'!$F64,IFERROR(VLOOKUP(CostRemaining[[#This Row],[Cost]],Upgrades[],MATCH("C"&amp;CostRemaining[#Headers],Upgrades[#Headers],0),FALSE),0)*MAX(0,SUM('Construction Dashboard'!$G64:M64)),0)</f>
        <v>0</v>
      </c>
      <c r="M60" s="55">
        <f ca="1">IF(VALUE(CostRemaining[#Headers])&lt;='Construction Dashboard'!$F64,IFERROR(VLOOKUP(CostRemaining[[#This Row],[Cost]],Upgrades[],MATCH("C"&amp;CostRemaining[#Headers],Upgrades[#Headers],0),FALSE),0)*MAX(0,SUM('Construction Dashboard'!$G64:N64)),0)</f>
        <v>0</v>
      </c>
      <c r="N60" s="55">
        <f ca="1">IF(VALUE(CostRemaining[#Headers])&lt;='Construction Dashboard'!$F64,IFERROR(VLOOKUP(CostRemaining[[#This Row],[Cost]],Upgrades[],MATCH("C"&amp;CostRemaining[#Headers],Upgrades[#Headers],0),FALSE),0)*MAX(0,SUM('Construction Dashboard'!$G64:O64)),0)</f>
        <v>0</v>
      </c>
      <c r="O60" s="55">
        <f ca="1">IF(VALUE(CostRemaining[#Headers])&lt;='Construction Dashboard'!$F64,IFERROR(VLOOKUP(CostRemaining[[#This Row],[Cost]],Upgrades[],MATCH("C"&amp;CostRemaining[#Headers],Upgrades[#Headers],0),FALSE),0)*MAX(0,SUM('Construction Dashboard'!$G64:P64)),0)</f>
        <v>0</v>
      </c>
      <c r="P60" s="55">
        <f ca="1">IF(VALUE(CostRemaining[#Headers])&lt;='Construction Dashboard'!$F64,IFERROR(VLOOKUP(CostRemaining[[#This Row],[Cost]],Upgrades[],MATCH("C"&amp;CostRemaining[#Headers],Upgrades[#Headers],0),FALSE),0)*MAX(0,SUM('Construction Dashboard'!$G64:Q64)),0)</f>
        <v>0</v>
      </c>
      <c r="Q60" s="55">
        <f ca="1">IF(VALUE(CostRemaining[#Headers])&lt;='Construction Dashboard'!$F64,IFERROR(VLOOKUP(CostRemaining[[#This Row],[Cost]],Upgrades[],MATCH("C"&amp;CostRemaining[#Headers],Upgrades[#Headers],0),FALSE),0)*MAX(0,SUM('Construction Dashboard'!$G64:R64)),0)</f>
        <v>0</v>
      </c>
      <c r="R60" s="55">
        <f ca="1">IF(CostRemaining[[#This Row],[MatchStr]]="IGNORE",0,SUM(CostRemaining[[#This Row],[1]:[12]]))</f>
        <v>0</v>
      </c>
    </row>
    <row r="61" spans="1:18">
      <c r="A61" s="11" t="s">
        <v>94</v>
      </c>
      <c r="B61" s="56" t="str">
        <f>VLOOKUP(CostRemaining[[#This Row],[Cost]],Upgrades[],2,FALSE)</f>
        <v>Upgrade</v>
      </c>
      <c r="C61" s="56" t="str">
        <f>VLOOKUP(CostRemaining[[#This Row],[Cost]],Upgrades[],3,FALSE)</f>
        <v>Elixir</v>
      </c>
      <c r="D61" s="132" t="str">
        <f>IF(COUNTIF(Skips,CostRemaining[[#This Row],[Cost]])&gt;0,"IGNORE",CostRemaining[Kind]&amp;"-"&amp;CostRemaining[Resource])</f>
        <v>Upgrade-Elixir</v>
      </c>
      <c r="E61" s="54">
        <f ca="1">IFERROR(VLOOKUP(CostRemaining[[#This Row],[Cost]],Upgrades[],MATCH("C"&amp;MATCH(TRUE,INDEX(CostRemaining[[#This Row],[1]:[12]]&lt;&gt;0,),0),Upgrades[#Headers],0),FALSE),"")</f>
        <v>900000</v>
      </c>
      <c r="F61" s="55">
        <f ca="1">IF(VALUE(CostRemaining[#Headers])&lt;='Construction Dashboard'!$F65,IFERROR(VLOOKUP(CostRemaining[[#This Row],[Cost]],Upgrades[],MATCH("C"&amp;CostRemaining[#Headers],Upgrades[#Headers],0),FALSE),0)*MAX(0,SUM('Construction Dashboard'!$G65:G65)),0)</f>
        <v>0</v>
      </c>
      <c r="G61" s="55">
        <f ca="1">IF(VALUE(CostRemaining[#Headers])&lt;='Construction Dashboard'!$F65,IFERROR(VLOOKUP(CostRemaining[[#This Row],[Cost]],Upgrades[],MATCH("C"&amp;CostRemaining[#Headers],Upgrades[#Headers],0),FALSE),0)*MAX(0,SUM('Construction Dashboard'!$G65:H65)),0)</f>
        <v>0</v>
      </c>
      <c r="H61" s="55">
        <f ca="1">IF(VALUE(CostRemaining[#Headers])&lt;='Construction Dashboard'!$F65,IFERROR(VLOOKUP(CostRemaining[[#This Row],[Cost]],Upgrades[],MATCH("C"&amp;CostRemaining[#Headers],Upgrades[#Headers],0),FALSE),0)*MAX(0,SUM('Construction Dashboard'!$G65:I65)),0)</f>
        <v>900000</v>
      </c>
      <c r="I61" s="55">
        <f ca="1">IF(VALUE(CostRemaining[#Headers])&lt;='Construction Dashboard'!$F65,IFERROR(VLOOKUP(CostRemaining[[#This Row],[Cost]],Upgrades[],MATCH("C"&amp;CostRemaining[#Headers],Upgrades[#Headers],0),FALSE),0)*MAX(0,SUM('Construction Dashboard'!$G65:J65)),0)</f>
        <v>1800000</v>
      </c>
      <c r="J61" s="55">
        <f ca="1">IF(VALUE(CostRemaining[#Headers])&lt;='Construction Dashboard'!$F65,IFERROR(VLOOKUP(CostRemaining[[#This Row],[Cost]],Upgrades[],MATCH("C"&amp;CostRemaining[#Headers],Upgrades[#Headers],0),FALSE),0)*MAX(0,SUM('Construction Dashboard'!$G65:K65)),0)</f>
        <v>0</v>
      </c>
      <c r="K61" s="55">
        <f ca="1">IF(VALUE(CostRemaining[#Headers])&lt;='Construction Dashboard'!$F65,IFERROR(VLOOKUP(CostRemaining[[#This Row],[Cost]],Upgrades[],MATCH("C"&amp;CostRemaining[#Headers],Upgrades[#Headers],0),FALSE),0)*MAX(0,SUM('Construction Dashboard'!$G65:L65)),0)</f>
        <v>0</v>
      </c>
      <c r="L61" s="55">
        <f ca="1">IF(VALUE(CostRemaining[#Headers])&lt;='Construction Dashboard'!$F65,IFERROR(VLOOKUP(CostRemaining[[#This Row],[Cost]],Upgrades[],MATCH("C"&amp;CostRemaining[#Headers],Upgrades[#Headers],0),FALSE),0)*MAX(0,SUM('Construction Dashboard'!$G65:M65)),0)</f>
        <v>0</v>
      </c>
      <c r="M61" s="55">
        <f ca="1">IF(VALUE(CostRemaining[#Headers])&lt;='Construction Dashboard'!$F65,IFERROR(VLOOKUP(CostRemaining[[#This Row],[Cost]],Upgrades[],MATCH("C"&amp;CostRemaining[#Headers],Upgrades[#Headers],0),FALSE),0)*MAX(0,SUM('Construction Dashboard'!$G65:N65)),0)</f>
        <v>0</v>
      </c>
      <c r="N61" s="55">
        <f ca="1">IF(VALUE(CostRemaining[#Headers])&lt;='Construction Dashboard'!$F65,IFERROR(VLOOKUP(CostRemaining[[#This Row],[Cost]],Upgrades[],MATCH("C"&amp;CostRemaining[#Headers],Upgrades[#Headers],0),FALSE),0)*MAX(0,SUM('Construction Dashboard'!$G65:O65)),0)</f>
        <v>0</v>
      </c>
      <c r="O61" s="55">
        <f ca="1">IF(VALUE(CostRemaining[#Headers])&lt;='Construction Dashboard'!$F65,IFERROR(VLOOKUP(CostRemaining[[#This Row],[Cost]],Upgrades[],MATCH("C"&amp;CostRemaining[#Headers],Upgrades[#Headers],0),FALSE),0)*MAX(0,SUM('Construction Dashboard'!$G65:P65)),0)</f>
        <v>0</v>
      </c>
      <c r="P61" s="55">
        <f ca="1">IF(VALUE(CostRemaining[#Headers])&lt;='Construction Dashboard'!$F65,IFERROR(VLOOKUP(CostRemaining[[#This Row],[Cost]],Upgrades[],MATCH("C"&amp;CostRemaining[#Headers],Upgrades[#Headers],0),FALSE),0)*MAX(0,SUM('Construction Dashboard'!$G65:Q65)),0)</f>
        <v>0</v>
      </c>
      <c r="Q61" s="55">
        <f ca="1">IF(VALUE(CostRemaining[#Headers])&lt;='Construction Dashboard'!$F65,IFERROR(VLOOKUP(CostRemaining[[#This Row],[Cost]],Upgrades[],MATCH("C"&amp;CostRemaining[#Headers],Upgrades[#Headers],0),FALSE),0)*MAX(0,SUM('Construction Dashboard'!$G65:R65)),0)</f>
        <v>0</v>
      </c>
      <c r="R61" s="55">
        <f ca="1">IF(CostRemaining[[#This Row],[MatchStr]]="IGNORE",0,SUM(CostRemaining[[#This Row],[1]:[12]]))</f>
        <v>2700000</v>
      </c>
    </row>
    <row r="62" spans="1:18">
      <c r="A62" s="11" t="s">
        <v>95</v>
      </c>
      <c r="B62" s="56" t="str">
        <f>VLOOKUP(CostRemaining[[#This Row],[Cost]],Upgrades[],2,FALSE)</f>
        <v>Upgrade</v>
      </c>
      <c r="C62" s="56" t="str">
        <f>VLOOKUP(CostRemaining[[#This Row],[Cost]],Upgrades[],3,FALSE)</f>
        <v>Elixir</v>
      </c>
      <c r="D62" s="132" t="str">
        <f>IF(COUNTIF(Skips,CostRemaining[[#This Row],[Cost]])&gt;0,"IGNORE",CostRemaining[Kind]&amp;"-"&amp;CostRemaining[Resource])</f>
        <v>Upgrade-Elixir</v>
      </c>
      <c r="E62" s="54" t="str">
        <f ca="1">IFERROR(VLOOKUP(CostRemaining[[#This Row],[Cost]],Upgrades[],MATCH("C"&amp;MATCH(TRUE,INDEX(CostRemaining[[#This Row],[1]:[12]]&lt;&gt;0,),0),Upgrades[#Headers],0),FALSE),"")</f>
        <v/>
      </c>
      <c r="F62" s="55">
        <f ca="1">IF(VALUE(CostRemaining[#Headers])&lt;='Construction Dashboard'!$F66,IFERROR(VLOOKUP(CostRemaining[[#This Row],[Cost]],Upgrades[],MATCH("C"&amp;CostRemaining[#Headers],Upgrades[#Headers],0),FALSE),0)*MAX(0,SUM('Construction Dashboard'!$G66:G66)),0)</f>
        <v>0</v>
      </c>
      <c r="G62" s="55">
        <f ca="1">IF(VALUE(CostRemaining[#Headers])&lt;='Construction Dashboard'!$F66,IFERROR(VLOOKUP(CostRemaining[[#This Row],[Cost]],Upgrades[],MATCH("C"&amp;CostRemaining[#Headers],Upgrades[#Headers],0),FALSE),0)*MAX(0,SUM('Construction Dashboard'!$G66:H66)),0)</f>
        <v>0</v>
      </c>
      <c r="H62" s="55">
        <f ca="1">IF(VALUE(CostRemaining[#Headers])&lt;='Construction Dashboard'!$F66,IFERROR(VLOOKUP(CostRemaining[[#This Row],[Cost]],Upgrades[],MATCH("C"&amp;CostRemaining[#Headers],Upgrades[#Headers],0),FALSE),0)*MAX(0,SUM('Construction Dashboard'!$G66:I66)),0)</f>
        <v>0</v>
      </c>
      <c r="I62" s="55">
        <f ca="1">IF(VALUE(CostRemaining[#Headers])&lt;='Construction Dashboard'!$F66,IFERROR(VLOOKUP(CostRemaining[[#This Row],[Cost]],Upgrades[],MATCH("C"&amp;CostRemaining[#Headers],Upgrades[#Headers],0),FALSE),0)*MAX(0,SUM('Construction Dashboard'!$G66:J66)),0)</f>
        <v>0</v>
      </c>
      <c r="J62" s="55">
        <f ca="1">IF(VALUE(CostRemaining[#Headers])&lt;='Construction Dashboard'!$F66,IFERROR(VLOOKUP(CostRemaining[[#This Row],[Cost]],Upgrades[],MATCH("C"&amp;CostRemaining[#Headers],Upgrades[#Headers],0),FALSE),0)*MAX(0,SUM('Construction Dashboard'!$G66:K66)),0)</f>
        <v>0</v>
      </c>
      <c r="K62" s="55">
        <f ca="1">IF(VALUE(CostRemaining[#Headers])&lt;='Construction Dashboard'!$F66,IFERROR(VLOOKUP(CostRemaining[[#This Row],[Cost]],Upgrades[],MATCH("C"&amp;CostRemaining[#Headers],Upgrades[#Headers],0),FALSE),0)*MAX(0,SUM('Construction Dashboard'!$G66:L66)),0)</f>
        <v>0</v>
      </c>
      <c r="L62" s="55">
        <f ca="1">IF(VALUE(CostRemaining[#Headers])&lt;='Construction Dashboard'!$F66,IFERROR(VLOOKUP(CostRemaining[[#This Row],[Cost]],Upgrades[],MATCH("C"&amp;CostRemaining[#Headers],Upgrades[#Headers],0),FALSE),0)*MAX(0,SUM('Construction Dashboard'!$G66:M66)),0)</f>
        <v>0</v>
      </c>
      <c r="M62" s="55">
        <f ca="1">IF(VALUE(CostRemaining[#Headers])&lt;='Construction Dashboard'!$F66,IFERROR(VLOOKUP(CostRemaining[[#This Row],[Cost]],Upgrades[],MATCH("C"&amp;CostRemaining[#Headers],Upgrades[#Headers],0),FALSE),0)*MAX(0,SUM('Construction Dashboard'!$G66:N66)),0)</f>
        <v>0</v>
      </c>
      <c r="N62" s="55">
        <f ca="1">IF(VALUE(CostRemaining[#Headers])&lt;='Construction Dashboard'!$F66,IFERROR(VLOOKUP(CostRemaining[[#This Row],[Cost]],Upgrades[],MATCH("C"&amp;CostRemaining[#Headers],Upgrades[#Headers],0),FALSE),0)*MAX(0,SUM('Construction Dashboard'!$G66:O66)),0)</f>
        <v>0</v>
      </c>
      <c r="O62" s="55">
        <f ca="1">IF(VALUE(CostRemaining[#Headers])&lt;='Construction Dashboard'!$F66,IFERROR(VLOOKUP(CostRemaining[[#This Row],[Cost]],Upgrades[],MATCH("C"&amp;CostRemaining[#Headers],Upgrades[#Headers],0),FALSE),0)*MAX(0,SUM('Construction Dashboard'!$G66:P66)),0)</f>
        <v>0</v>
      </c>
      <c r="P62" s="55">
        <f ca="1">IF(VALUE(CostRemaining[#Headers])&lt;='Construction Dashboard'!$F66,IFERROR(VLOOKUP(CostRemaining[[#This Row],[Cost]],Upgrades[],MATCH("C"&amp;CostRemaining[#Headers],Upgrades[#Headers],0),FALSE),0)*MAX(0,SUM('Construction Dashboard'!$G66:Q66)),0)</f>
        <v>0</v>
      </c>
      <c r="Q62" s="55">
        <f ca="1">IF(VALUE(CostRemaining[#Headers])&lt;='Construction Dashboard'!$F66,IFERROR(VLOOKUP(CostRemaining[[#This Row],[Cost]],Upgrades[],MATCH("C"&amp;CostRemaining[#Headers],Upgrades[#Headers],0),FALSE),0)*MAX(0,SUM('Construction Dashboard'!$G66:R66)),0)</f>
        <v>0</v>
      </c>
      <c r="R62" s="55">
        <f ca="1">IF(CostRemaining[[#This Row],[MatchStr]]="IGNORE",0,SUM(CostRemaining[[#This Row],[1]:[12]]))</f>
        <v>0</v>
      </c>
    </row>
    <row r="63" spans="1:18">
      <c r="A63" s="11" t="s">
        <v>96</v>
      </c>
      <c r="B63" s="56" t="str">
        <f>VLOOKUP(CostRemaining[[#This Row],[Cost]],Upgrades[],2,FALSE)</f>
        <v>Upgrade</v>
      </c>
      <c r="C63" s="56" t="str">
        <f>VLOOKUP(CostRemaining[[#This Row],[Cost]],Upgrades[],3,FALSE)</f>
        <v>Elixir</v>
      </c>
      <c r="D63" s="132" t="str">
        <f>IF(COUNTIF(Skips,CostRemaining[[#This Row],[Cost]])&gt;0,"IGNORE",CostRemaining[Kind]&amp;"-"&amp;CostRemaining[Resource])</f>
        <v>Upgrade-Elixir</v>
      </c>
      <c r="E63" s="54" t="str">
        <f ca="1">IFERROR(VLOOKUP(CostRemaining[[#This Row],[Cost]],Upgrades[],MATCH("C"&amp;MATCH(TRUE,INDEX(CostRemaining[[#This Row],[1]:[12]]&lt;&gt;0,),0),Upgrades[#Headers],0),FALSE),"")</f>
        <v/>
      </c>
      <c r="F63" s="55">
        <f ca="1">IF(VALUE(CostRemaining[#Headers])&lt;='Construction Dashboard'!$F67,IFERROR(VLOOKUP(CostRemaining[[#This Row],[Cost]],Upgrades[],MATCH("C"&amp;CostRemaining[#Headers],Upgrades[#Headers],0),FALSE),0)*MAX(0,SUM('Construction Dashboard'!$G67:G67)),0)</f>
        <v>0</v>
      </c>
      <c r="G63" s="55">
        <f ca="1">IF(VALUE(CostRemaining[#Headers])&lt;='Construction Dashboard'!$F67,IFERROR(VLOOKUP(CostRemaining[[#This Row],[Cost]],Upgrades[],MATCH("C"&amp;CostRemaining[#Headers],Upgrades[#Headers],0),FALSE),0)*MAX(0,SUM('Construction Dashboard'!$G67:H67)),0)</f>
        <v>0</v>
      </c>
      <c r="H63" s="55">
        <f ca="1">IF(VALUE(CostRemaining[#Headers])&lt;='Construction Dashboard'!$F67,IFERROR(VLOOKUP(CostRemaining[[#This Row],[Cost]],Upgrades[],MATCH("C"&amp;CostRemaining[#Headers],Upgrades[#Headers],0),FALSE),0)*MAX(0,SUM('Construction Dashboard'!$G67:I67)),0)</f>
        <v>0</v>
      </c>
      <c r="I63" s="55">
        <f ca="1">IF(VALUE(CostRemaining[#Headers])&lt;='Construction Dashboard'!$F67,IFERROR(VLOOKUP(CostRemaining[[#This Row],[Cost]],Upgrades[],MATCH("C"&amp;CostRemaining[#Headers],Upgrades[#Headers],0),FALSE),0)*MAX(0,SUM('Construction Dashboard'!$G67:J67)),0)</f>
        <v>0</v>
      </c>
      <c r="J63" s="55">
        <f ca="1">IF(VALUE(CostRemaining[#Headers])&lt;='Construction Dashboard'!$F67,IFERROR(VLOOKUP(CostRemaining[[#This Row],[Cost]],Upgrades[],MATCH("C"&amp;CostRemaining[#Headers],Upgrades[#Headers],0),FALSE),0)*MAX(0,SUM('Construction Dashboard'!$G67:K67)),0)</f>
        <v>0</v>
      </c>
      <c r="K63" s="55">
        <f ca="1">IF(VALUE(CostRemaining[#Headers])&lt;='Construction Dashboard'!$F67,IFERROR(VLOOKUP(CostRemaining[[#This Row],[Cost]],Upgrades[],MATCH("C"&amp;CostRemaining[#Headers],Upgrades[#Headers],0),FALSE),0)*MAX(0,SUM('Construction Dashboard'!$G67:L67)),0)</f>
        <v>0</v>
      </c>
      <c r="L63" s="55">
        <f ca="1">IF(VALUE(CostRemaining[#Headers])&lt;='Construction Dashboard'!$F67,IFERROR(VLOOKUP(CostRemaining[[#This Row],[Cost]],Upgrades[],MATCH("C"&amp;CostRemaining[#Headers],Upgrades[#Headers],0),FALSE),0)*MAX(0,SUM('Construction Dashboard'!$G67:M67)),0)</f>
        <v>0</v>
      </c>
      <c r="M63" s="55">
        <f ca="1">IF(VALUE(CostRemaining[#Headers])&lt;='Construction Dashboard'!$F67,IFERROR(VLOOKUP(CostRemaining[[#This Row],[Cost]],Upgrades[],MATCH("C"&amp;CostRemaining[#Headers],Upgrades[#Headers],0),FALSE),0)*MAX(0,SUM('Construction Dashboard'!$G67:N67)),0)</f>
        <v>0</v>
      </c>
      <c r="N63" s="55">
        <f ca="1">IF(VALUE(CostRemaining[#Headers])&lt;='Construction Dashboard'!$F67,IFERROR(VLOOKUP(CostRemaining[[#This Row],[Cost]],Upgrades[],MATCH("C"&amp;CostRemaining[#Headers],Upgrades[#Headers],0),FALSE),0)*MAX(0,SUM('Construction Dashboard'!$G67:O67)),0)</f>
        <v>0</v>
      </c>
      <c r="O63" s="55">
        <f ca="1">IF(VALUE(CostRemaining[#Headers])&lt;='Construction Dashboard'!$F67,IFERROR(VLOOKUP(CostRemaining[[#This Row],[Cost]],Upgrades[],MATCH("C"&amp;CostRemaining[#Headers],Upgrades[#Headers],0),FALSE),0)*MAX(0,SUM('Construction Dashboard'!$G67:P67)),0)</f>
        <v>0</v>
      </c>
      <c r="P63" s="55">
        <f ca="1">IF(VALUE(CostRemaining[#Headers])&lt;='Construction Dashboard'!$F67,IFERROR(VLOOKUP(CostRemaining[[#This Row],[Cost]],Upgrades[],MATCH("C"&amp;CostRemaining[#Headers],Upgrades[#Headers],0),FALSE),0)*MAX(0,SUM('Construction Dashboard'!$G67:Q67)),0)</f>
        <v>0</v>
      </c>
      <c r="Q63" s="55">
        <f ca="1">IF(VALUE(CostRemaining[#Headers])&lt;='Construction Dashboard'!$F67,IFERROR(VLOOKUP(CostRemaining[[#This Row],[Cost]],Upgrades[],MATCH("C"&amp;CostRemaining[#Headers],Upgrades[#Headers],0),FALSE),0)*MAX(0,SUM('Construction Dashboard'!$G67:R67)),0)</f>
        <v>0</v>
      </c>
      <c r="R63" s="55">
        <f ca="1">IF(CostRemaining[[#This Row],[MatchStr]]="IGNORE",0,SUM(CostRemaining[[#This Row],[1]:[12]]))</f>
        <v>0</v>
      </c>
    </row>
    <row r="64" spans="1:18">
      <c r="A64" s="11" t="s">
        <v>97</v>
      </c>
      <c r="B64" s="56" t="str">
        <f>VLOOKUP(CostRemaining[[#This Row],[Cost]],Upgrades[],2,FALSE)</f>
        <v>Upgrade</v>
      </c>
      <c r="C64" s="56" t="str">
        <f>VLOOKUP(CostRemaining[[#This Row],[Cost]],Upgrades[],3,FALSE)</f>
        <v>Dark Elixir</v>
      </c>
      <c r="D64" s="132" t="str">
        <f>IF(COUNTIF(Skips,CostRemaining[[#This Row],[Cost]])&gt;0,"IGNORE",CostRemaining[Kind]&amp;"-"&amp;CostRemaining[Resource])</f>
        <v>IGNORE</v>
      </c>
      <c r="E64" s="54">
        <f ca="1">IFERROR(VLOOKUP(CostRemaining[[#This Row],[Cost]],Upgrades[],MATCH("C"&amp;MATCH(TRUE,INDEX(CostRemaining[[#This Row],[1]:[12]]&lt;&gt;0,),0),Upgrades[#Headers],0),FALSE),"")</f>
        <v>10000</v>
      </c>
      <c r="F64" s="55">
        <f ca="1">IF(VALUE(CostRemaining[#Headers])&lt;='Construction Dashboard'!$F68,IFERROR(VLOOKUP(CostRemaining[[#This Row],[Cost]],Upgrades[],MATCH("C"&amp;CostRemaining[#Headers],Upgrades[#Headers],0),FALSE),0)*MAX(0,SUM('Construction Dashboard'!$G68:G68)),0)</f>
        <v>0</v>
      </c>
      <c r="G64" s="55">
        <f ca="1">IF(VALUE(CostRemaining[#Headers])&lt;='Construction Dashboard'!$F68,IFERROR(VLOOKUP(CostRemaining[[#This Row],[Cost]],Upgrades[],MATCH("C"&amp;CostRemaining[#Headers],Upgrades[#Headers],0),FALSE),0)*MAX(0,SUM('Construction Dashboard'!$G68:H68)),0)</f>
        <v>10000</v>
      </c>
      <c r="H64" s="55">
        <f ca="1">IF(VALUE(CostRemaining[#Headers])&lt;='Construction Dashboard'!$F68,IFERROR(VLOOKUP(CostRemaining[[#This Row],[Cost]],Upgrades[],MATCH("C"&amp;CostRemaining[#Headers],Upgrades[#Headers],0),FALSE),0)*MAX(0,SUM('Construction Dashboard'!$G68:I68)),0)</f>
        <v>0</v>
      </c>
      <c r="I64" s="55">
        <f ca="1">IF(VALUE(CostRemaining[#Headers])&lt;='Construction Dashboard'!$F68,IFERROR(VLOOKUP(CostRemaining[[#This Row],[Cost]],Upgrades[],MATCH("C"&amp;CostRemaining[#Headers],Upgrades[#Headers],0),FALSE),0)*MAX(0,SUM('Construction Dashboard'!$G68:J68)),0)</f>
        <v>0</v>
      </c>
      <c r="J64" s="55">
        <f ca="1">IF(VALUE(CostRemaining[#Headers])&lt;='Construction Dashboard'!$F68,IFERROR(VLOOKUP(CostRemaining[[#This Row],[Cost]],Upgrades[],MATCH("C"&amp;CostRemaining[#Headers],Upgrades[#Headers],0),FALSE),0)*MAX(0,SUM('Construction Dashboard'!$G68:K68)),0)</f>
        <v>0</v>
      </c>
      <c r="K64" s="55">
        <f ca="1">IF(VALUE(CostRemaining[#Headers])&lt;='Construction Dashboard'!$F68,IFERROR(VLOOKUP(CostRemaining[[#This Row],[Cost]],Upgrades[],MATCH("C"&amp;CostRemaining[#Headers],Upgrades[#Headers],0),FALSE),0)*MAX(0,SUM('Construction Dashboard'!$G68:L68)),0)</f>
        <v>0</v>
      </c>
      <c r="L64" s="55">
        <f ca="1">IF(VALUE(CostRemaining[#Headers])&lt;='Construction Dashboard'!$F68,IFERROR(VLOOKUP(CostRemaining[[#This Row],[Cost]],Upgrades[],MATCH("C"&amp;CostRemaining[#Headers],Upgrades[#Headers],0),FALSE),0)*MAX(0,SUM('Construction Dashboard'!$G68:M68)),0)</f>
        <v>0</v>
      </c>
      <c r="M64" s="55">
        <f ca="1">IF(VALUE(CostRemaining[#Headers])&lt;='Construction Dashboard'!$F68,IFERROR(VLOOKUP(CostRemaining[[#This Row],[Cost]],Upgrades[],MATCH("C"&amp;CostRemaining[#Headers],Upgrades[#Headers],0),FALSE),0)*MAX(0,SUM('Construction Dashboard'!$G68:N68)),0)</f>
        <v>0</v>
      </c>
      <c r="N64" s="55">
        <f ca="1">IF(VALUE(CostRemaining[#Headers])&lt;='Construction Dashboard'!$F68,IFERROR(VLOOKUP(CostRemaining[[#This Row],[Cost]],Upgrades[],MATCH("C"&amp;CostRemaining[#Headers],Upgrades[#Headers],0),FALSE),0)*MAX(0,SUM('Construction Dashboard'!$G68:O68)),0)</f>
        <v>0</v>
      </c>
      <c r="O64" s="55">
        <f ca="1">IF(VALUE(CostRemaining[#Headers])&lt;='Construction Dashboard'!$F68,IFERROR(VLOOKUP(CostRemaining[[#This Row],[Cost]],Upgrades[],MATCH("C"&amp;CostRemaining[#Headers],Upgrades[#Headers],0),FALSE),0)*MAX(0,SUM('Construction Dashboard'!$G68:P68)),0)</f>
        <v>0</v>
      </c>
      <c r="P64" s="55">
        <f ca="1">IF(VALUE(CostRemaining[#Headers])&lt;='Construction Dashboard'!$F68,IFERROR(VLOOKUP(CostRemaining[[#This Row],[Cost]],Upgrades[],MATCH("C"&amp;CostRemaining[#Headers],Upgrades[#Headers],0),FALSE),0)*MAX(0,SUM('Construction Dashboard'!$G68:Q68)),0)</f>
        <v>0</v>
      </c>
      <c r="Q64" s="55">
        <f ca="1">IF(VALUE(CostRemaining[#Headers])&lt;='Construction Dashboard'!$F68,IFERROR(VLOOKUP(CostRemaining[[#This Row],[Cost]],Upgrades[],MATCH("C"&amp;CostRemaining[#Headers],Upgrades[#Headers],0),FALSE),0)*MAX(0,SUM('Construction Dashboard'!$G68:R68)),0)</f>
        <v>0</v>
      </c>
      <c r="R64" s="55">
        <f>IF(CostRemaining[[#This Row],[MatchStr]]="IGNORE",0,SUM(CostRemaining[[#This Row],[1]:[12]]))</f>
        <v>0</v>
      </c>
    </row>
    <row r="65" spans="1:27">
      <c r="A65" s="11" t="s">
        <v>98</v>
      </c>
      <c r="B65" s="56" t="str">
        <f>VLOOKUP(CostRemaining[[#This Row],[Cost]],Upgrades[],2,FALSE)</f>
        <v>Upgrade</v>
      </c>
      <c r="C65" s="56" t="str">
        <f>VLOOKUP(CostRemaining[[#This Row],[Cost]],Upgrades[],3,FALSE)</f>
        <v>Dark Elixir</v>
      </c>
      <c r="D65" s="132" t="str">
        <f>IF(COUNTIF(Skips,CostRemaining[[#This Row],[Cost]])&gt;0,"IGNORE",CostRemaining[Kind]&amp;"-"&amp;CostRemaining[Resource])</f>
        <v>Upgrade-Dark Elixir</v>
      </c>
      <c r="E65" s="54">
        <f ca="1">IFERROR(VLOOKUP(CostRemaining[[#This Row],[Cost]],Upgrades[],MATCH("C"&amp;MATCH(TRUE,INDEX(CostRemaining[[#This Row],[1]:[12]]&lt;&gt;0,),0),Upgrades[#Headers],0),FALSE),"")</f>
        <v>20000</v>
      </c>
      <c r="F65" s="55">
        <f ca="1">IF(VALUE(CostRemaining[#Headers])&lt;='Construction Dashboard'!$F69,IFERROR(VLOOKUP(CostRemaining[[#This Row],[Cost]],Upgrades[],MATCH("C"&amp;CostRemaining[#Headers],Upgrades[#Headers],0),FALSE),0)*MAX(0,SUM('Construction Dashboard'!$G69:G69)),0)</f>
        <v>0</v>
      </c>
      <c r="G65" s="55">
        <f ca="1">IF(VALUE(CostRemaining[#Headers])&lt;='Construction Dashboard'!$F69,IFERROR(VLOOKUP(CostRemaining[[#This Row],[Cost]],Upgrades[],MATCH("C"&amp;CostRemaining[#Headers],Upgrades[#Headers],0),FALSE),0)*MAX(0,SUM('Construction Dashboard'!$G69:H69)),0)</f>
        <v>20000</v>
      </c>
      <c r="H65" s="55">
        <f ca="1">IF(VALUE(CostRemaining[#Headers])&lt;='Construction Dashboard'!$F69,IFERROR(VLOOKUP(CostRemaining[[#This Row],[Cost]],Upgrades[],MATCH("C"&amp;CostRemaining[#Headers],Upgrades[#Headers],0),FALSE),0)*MAX(0,SUM('Construction Dashboard'!$G69:I69)),0)</f>
        <v>0</v>
      </c>
      <c r="I65" s="55">
        <f ca="1">IF(VALUE(CostRemaining[#Headers])&lt;='Construction Dashboard'!$F69,IFERROR(VLOOKUP(CostRemaining[[#This Row],[Cost]],Upgrades[],MATCH("C"&amp;CostRemaining[#Headers],Upgrades[#Headers],0),FALSE),0)*MAX(0,SUM('Construction Dashboard'!$G69:J69)),0)</f>
        <v>0</v>
      </c>
      <c r="J65" s="55">
        <f ca="1">IF(VALUE(CostRemaining[#Headers])&lt;='Construction Dashboard'!$F69,IFERROR(VLOOKUP(CostRemaining[[#This Row],[Cost]],Upgrades[],MATCH("C"&amp;CostRemaining[#Headers],Upgrades[#Headers],0),FALSE),0)*MAX(0,SUM('Construction Dashboard'!$G69:K69)),0)</f>
        <v>0</v>
      </c>
      <c r="K65" s="55">
        <f ca="1">IF(VALUE(CostRemaining[#Headers])&lt;='Construction Dashboard'!$F69,IFERROR(VLOOKUP(CostRemaining[[#This Row],[Cost]],Upgrades[],MATCH("C"&amp;CostRemaining[#Headers],Upgrades[#Headers],0),FALSE),0)*MAX(0,SUM('Construction Dashboard'!$G69:L69)),0)</f>
        <v>0</v>
      </c>
      <c r="L65" s="55">
        <f ca="1">IF(VALUE(CostRemaining[#Headers])&lt;='Construction Dashboard'!$F69,IFERROR(VLOOKUP(CostRemaining[[#This Row],[Cost]],Upgrades[],MATCH("C"&amp;CostRemaining[#Headers],Upgrades[#Headers],0),FALSE),0)*MAX(0,SUM('Construction Dashboard'!$G69:M69)),0)</f>
        <v>0</v>
      </c>
      <c r="M65" s="55">
        <f ca="1">IF(VALUE(CostRemaining[#Headers])&lt;='Construction Dashboard'!$F69,IFERROR(VLOOKUP(CostRemaining[[#This Row],[Cost]],Upgrades[],MATCH("C"&amp;CostRemaining[#Headers],Upgrades[#Headers],0),FALSE),0)*MAX(0,SUM('Construction Dashboard'!$G69:N69)),0)</f>
        <v>0</v>
      </c>
      <c r="N65" s="55">
        <f ca="1">IF(VALUE(CostRemaining[#Headers])&lt;='Construction Dashboard'!$F69,IFERROR(VLOOKUP(CostRemaining[[#This Row],[Cost]],Upgrades[],MATCH("C"&amp;CostRemaining[#Headers],Upgrades[#Headers],0),FALSE),0)*MAX(0,SUM('Construction Dashboard'!$G69:O69)),0)</f>
        <v>0</v>
      </c>
      <c r="O65" s="55">
        <f ca="1">IF(VALUE(CostRemaining[#Headers])&lt;='Construction Dashboard'!$F69,IFERROR(VLOOKUP(CostRemaining[[#This Row],[Cost]],Upgrades[],MATCH("C"&amp;CostRemaining[#Headers],Upgrades[#Headers],0),FALSE),0)*MAX(0,SUM('Construction Dashboard'!$G69:P69)),0)</f>
        <v>0</v>
      </c>
      <c r="P65" s="55">
        <f ca="1">IF(VALUE(CostRemaining[#Headers])&lt;='Construction Dashboard'!$F69,IFERROR(VLOOKUP(CostRemaining[[#This Row],[Cost]],Upgrades[],MATCH("C"&amp;CostRemaining[#Headers],Upgrades[#Headers],0),FALSE),0)*MAX(0,SUM('Construction Dashboard'!$G69:Q69)),0)</f>
        <v>0</v>
      </c>
      <c r="Q65" s="55">
        <f ca="1">IF(VALUE(CostRemaining[#Headers])&lt;='Construction Dashboard'!$F69,IFERROR(VLOOKUP(CostRemaining[[#This Row],[Cost]],Upgrades[],MATCH("C"&amp;CostRemaining[#Headers],Upgrades[#Headers],0),FALSE),0)*MAX(0,SUM('Construction Dashboard'!$G69:R69)),0)</f>
        <v>0</v>
      </c>
      <c r="R65" s="55">
        <f ca="1">IF(CostRemaining[[#This Row],[MatchStr]]="IGNORE",0,SUM(CostRemaining[[#This Row],[1]:[12]]))</f>
        <v>20000</v>
      </c>
    </row>
    <row r="66" spans="1:27">
      <c r="A66" s="11" t="s">
        <v>99</v>
      </c>
      <c r="B66" s="56" t="str">
        <f>VLOOKUP(CostRemaining[[#This Row],[Cost]],Upgrades[],2,FALSE)</f>
        <v>Upgrade</v>
      </c>
      <c r="C66" s="56" t="str">
        <f>VLOOKUP(CostRemaining[[#This Row],[Cost]],Upgrades[],3,FALSE)</f>
        <v>Dark Elixir</v>
      </c>
      <c r="D66" s="132" t="str">
        <f>IF(COUNTIF(Skips,CostRemaining[[#This Row],[Cost]])&gt;0,"IGNORE",CostRemaining[Kind]&amp;"-"&amp;CostRemaining[Resource])</f>
        <v>Upgrade-Dark Elixir</v>
      </c>
      <c r="E66" s="54" t="str">
        <f ca="1">IFERROR(VLOOKUP(CostRemaining[[#This Row],[Cost]],Upgrades[],MATCH("C"&amp;MATCH(TRUE,INDEX(CostRemaining[[#This Row],[1]:[12]]&lt;&gt;0,),0),Upgrades[#Headers],0),FALSE),"")</f>
        <v/>
      </c>
      <c r="F66" s="55">
        <f ca="1">IF(VALUE(CostRemaining[#Headers])&lt;='Construction Dashboard'!$F70,IFERROR(VLOOKUP(CostRemaining[[#This Row],[Cost]],Upgrades[],MATCH("C"&amp;CostRemaining[#Headers],Upgrades[#Headers],0),FALSE),0)*MAX(0,SUM('Construction Dashboard'!$G70:G70)),0)</f>
        <v>0</v>
      </c>
      <c r="G66" s="55">
        <f ca="1">IF(VALUE(CostRemaining[#Headers])&lt;='Construction Dashboard'!$F70,IFERROR(VLOOKUP(CostRemaining[[#This Row],[Cost]],Upgrades[],MATCH("C"&amp;CostRemaining[#Headers],Upgrades[#Headers],0),FALSE),0)*MAX(0,SUM('Construction Dashboard'!$G70:H70)),0)</f>
        <v>0</v>
      </c>
      <c r="H66" s="55">
        <f ca="1">IF(VALUE(CostRemaining[#Headers])&lt;='Construction Dashboard'!$F70,IFERROR(VLOOKUP(CostRemaining[[#This Row],[Cost]],Upgrades[],MATCH("C"&amp;CostRemaining[#Headers],Upgrades[#Headers],0),FALSE),0)*MAX(0,SUM('Construction Dashboard'!$G70:I70)),0)</f>
        <v>0</v>
      </c>
      <c r="I66" s="55">
        <f ca="1">IF(VALUE(CostRemaining[#Headers])&lt;='Construction Dashboard'!$F70,IFERROR(VLOOKUP(CostRemaining[[#This Row],[Cost]],Upgrades[],MATCH("C"&amp;CostRemaining[#Headers],Upgrades[#Headers],0),FALSE),0)*MAX(0,SUM('Construction Dashboard'!$G70:J70)),0)</f>
        <v>0</v>
      </c>
      <c r="J66" s="55">
        <f ca="1">IF(VALUE(CostRemaining[#Headers])&lt;='Construction Dashboard'!$F70,IFERROR(VLOOKUP(CostRemaining[[#This Row],[Cost]],Upgrades[],MATCH("C"&amp;CostRemaining[#Headers],Upgrades[#Headers],0),FALSE),0)*MAX(0,SUM('Construction Dashboard'!$G70:K70)),0)</f>
        <v>0</v>
      </c>
      <c r="K66" s="55">
        <f ca="1">IF(VALUE(CostRemaining[#Headers])&lt;='Construction Dashboard'!$F70,IFERROR(VLOOKUP(CostRemaining[[#This Row],[Cost]],Upgrades[],MATCH("C"&amp;CostRemaining[#Headers],Upgrades[#Headers],0),FALSE),0)*MAX(0,SUM('Construction Dashboard'!$G70:L70)),0)</f>
        <v>0</v>
      </c>
      <c r="L66" s="55">
        <f ca="1">IF(VALUE(CostRemaining[#Headers])&lt;='Construction Dashboard'!$F70,IFERROR(VLOOKUP(CostRemaining[[#This Row],[Cost]],Upgrades[],MATCH("C"&amp;CostRemaining[#Headers],Upgrades[#Headers],0),FALSE),0)*MAX(0,SUM('Construction Dashboard'!$G70:M70)),0)</f>
        <v>0</v>
      </c>
      <c r="M66" s="55">
        <f ca="1">IF(VALUE(CostRemaining[#Headers])&lt;='Construction Dashboard'!$F70,IFERROR(VLOOKUP(CostRemaining[[#This Row],[Cost]],Upgrades[],MATCH("C"&amp;CostRemaining[#Headers],Upgrades[#Headers],0),FALSE),0)*MAX(0,SUM('Construction Dashboard'!$G70:N70)),0)</f>
        <v>0</v>
      </c>
      <c r="N66" s="55">
        <f ca="1">IF(VALUE(CostRemaining[#Headers])&lt;='Construction Dashboard'!$F70,IFERROR(VLOOKUP(CostRemaining[[#This Row],[Cost]],Upgrades[],MATCH("C"&amp;CostRemaining[#Headers],Upgrades[#Headers],0),FALSE),0)*MAX(0,SUM('Construction Dashboard'!$G70:O70)),0)</f>
        <v>0</v>
      </c>
      <c r="O66" s="55">
        <f ca="1">IF(VALUE(CostRemaining[#Headers])&lt;='Construction Dashboard'!$F70,IFERROR(VLOOKUP(CostRemaining[[#This Row],[Cost]],Upgrades[],MATCH("C"&amp;CostRemaining[#Headers],Upgrades[#Headers],0),FALSE),0)*MAX(0,SUM('Construction Dashboard'!$G70:P70)),0)</f>
        <v>0</v>
      </c>
      <c r="P66" s="55">
        <f ca="1">IF(VALUE(CostRemaining[#Headers])&lt;='Construction Dashboard'!$F70,IFERROR(VLOOKUP(CostRemaining[[#This Row],[Cost]],Upgrades[],MATCH("C"&amp;CostRemaining[#Headers],Upgrades[#Headers],0),FALSE),0)*MAX(0,SUM('Construction Dashboard'!$G70:Q70)),0)</f>
        <v>0</v>
      </c>
      <c r="Q66" s="55">
        <f ca="1">IF(VALUE(CostRemaining[#Headers])&lt;='Construction Dashboard'!$F70,IFERROR(VLOOKUP(CostRemaining[[#This Row],[Cost]],Upgrades[],MATCH("C"&amp;CostRemaining[#Headers],Upgrades[#Headers],0),FALSE),0)*MAX(0,SUM('Construction Dashboard'!$G70:R70)),0)</f>
        <v>0</v>
      </c>
      <c r="R66" s="55">
        <f ca="1">IF(CostRemaining[[#This Row],[MatchStr]]="IGNORE",0,SUM(CostRemaining[[#This Row],[1]:[12]]))</f>
        <v>0</v>
      </c>
    </row>
    <row r="67" spans="1:27">
      <c r="A67" s="11" t="s">
        <v>100</v>
      </c>
      <c r="B67" s="56" t="str">
        <f>VLOOKUP(CostRemaining[[#This Row],[Cost]],Upgrades[],2,FALSE)</f>
        <v>Upgrade</v>
      </c>
      <c r="C67" s="56" t="str">
        <f>VLOOKUP(CostRemaining[[#This Row],[Cost]],Upgrades[],3,FALSE)</f>
        <v>Dark Elixir</v>
      </c>
      <c r="D67" s="132" t="str">
        <f>IF(COUNTIF(Skips,CostRemaining[[#This Row],[Cost]])&gt;0,"IGNORE",CostRemaining[Kind]&amp;"-"&amp;CostRemaining[Resource])</f>
        <v>Upgrade-Dark Elixir</v>
      </c>
      <c r="E67" s="54" t="str">
        <f ca="1">IFERROR(VLOOKUP(CostRemaining[[#This Row],[Cost]],Upgrades[],MATCH("C"&amp;MATCH(TRUE,INDEX(CostRemaining[[#This Row],[1]:[12]]&lt;&gt;0,),0),Upgrades[#Headers],0),FALSE),"")</f>
        <v/>
      </c>
      <c r="F67" s="55">
        <f ca="1">IF(VALUE(CostRemaining[#Headers])&lt;='Construction Dashboard'!$F71,IFERROR(VLOOKUP(CostRemaining[[#This Row],[Cost]],Upgrades[],MATCH("C"&amp;CostRemaining[#Headers],Upgrades[#Headers],0),FALSE),0)*MAX(0,SUM('Construction Dashboard'!$G71:G71)),0)</f>
        <v>0</v>
      </c>
      <c r="G67" s="55">
        <f ca="1">IF(VALUE(CostRemaining[#Headers])&lt;='Construction Dashboard'!$F71,IFERROR(VLOOKUP(CostRemaining[[#This Row],[Cost]],Upgrades[],MATCH("C"&amp;CostRemaining[#Headers],Upgrades[#Headers],0),FALSE),0)*MAX(0,SUM('Construction Dashboard'!$G71:H71)),0)</f>
        <v>0</v>
      </c>
      <c r="H67" s="55">
        <f ca="1">IF(VALUE(CostRemaining[#Headers])&lt;='Construction Dashboard'!$F71,IFERROR(VLOOKUP(CostRemaining[[#This Row],[Cost]],Upgrades[],MATCH("C"&amp;CostRemaining[#Headers],Upgrades[#Headers],0),FALSE),0)*MAX(0,SUM('Construction Dashboard'!$G71:I71)),0)</f>
        <v>0</v>
      </c>
      <c r="I67" s="55">
        <f ca="1">IF(VALUE(CostRemaining[#Headers])&lt;='Construction Dashboard'!$F71,IFERROR(VLOOKUP(CostRemaining[[#This Row],[Cost]],Upgrades[],MATCH("C"&amp;CostRemaining[#Headers],Upgrades[#Headers],0),FALSE),0)*MAX(0,SUM('Construction Dashboard'!$G71:J71)),0)</f>
        <v>0</v>
      </c>
      <c r="J67" s="55">
        <f ca="1">IF(VALUE(CostRemaining[#Headers])&lt;='Construction Dashboard'!$F71,IFERROR(VLOOKUP(CostRemaining[[#This Row],[Cost]],Upgrades[],MATCH("C"&amp;CostRemaining[#Headers],Upgrades[#Headers],0),FALSE),0)*MAX(0,SUM('Construction Dashboard'!$G71:K71)),0)</f>
        <v>0</v>
      </c>
      <c r="K67" s="55">
        <f ca="1">IF(VALUE(CostRemaining[#Headers])&lt;='Construction Dashboard'!$F71,IFERROR(VLOOKUP(CostRemaining[[#This Row],[Cost]],Upgrades[],MATCH("C"&amp;CostRemaining[#Headers],Upgrades[#Headers],0),FALSE),0)*MAX(0,SUM('Construction Dashboard'!$G71:L71)),0)</f>
        <v>0</v>
      </c>
      <c r="L67" s="55">
        <f ca="1">IF(VALUE(CostRemaining[#Headers])&lt;='Construction Dashboard'!$F71,IFERROR(VLOOKUP(CostRemaining[[#This Row],[Cost]],Upgrades[],MATCH("C"&amp;CostRemaining[#Headers],Upgrades[#Headers],0),FALSE),0)*MAX(0,SUM('Construction Dashboard'!$G71:M71)),0)</f>
        <v>0</v>
      </c>
      <c r="M67" s="55">
        <f ca="1">IF(VALUE(CostRemaining[#Headers])&lt;='Construction Dashboard'!$F71,IFERROR(VLOOKUP(CostRemaining[[#This Row],[Cost]],Upgrades[],MATCH("C"&amp;CostRemaining[#Headers],Upgrades[#Headers],0),FALSE),0)*MAX(0,SUM('Construction Dashboard'!$G71:N71)),0)</f>
        <v>0</v>
      </c>
      <c r="N67" s="55">
        <f ca="1">IF(VALUE(CostRemaining[#Headers])&lt;='Construction Dashboard'!$F71,IFERROR(VLOOKUP(CostRemaining[[#This Row],[Cost]],Upgrades[],MATCH("C"&amp;CostRemaining[#Headers],Upgrades[#Headers],0),FALSE),0)*MAX(0,SUM('Construction Dashboard'!$G71:O71)),0)</f>
        <v>0</v>
      </c>
      <c r="O67" s="55">
        <f ca="1">IF(VALUE(CostRemaining[#Headers])&lt;='Construction Dashboard'!$F71,IFERROR(VLOOKUP(CostRemaining[[#This Row],[Cost]],Upgrades[],MATCH("C"&amp;CostRemaining[#Headers],Upgrades[#Headers],0),FALSE),0)*MAX(0,SUM('Construction Dashboard'!$G71:P71)),0)</f>
        <v>0</v>
      </c>
      <c r="P67" s="55">
        <f ca="1">IF(VALUE(CostRemaining[#Headers])&lt;='Construction Dashboard'!$F71,IFERROR(VLOOKUP(CostRemaining[[#This Row],[Cost]],Upgrades[],MATCH("C"&amp;CostRemaining[#Headers],Upgrades[#Headers],0),FALSE),0)*MAX(0,SUM('Construction Dashboard'!$G71:Q71)),0)</f>
        <v>0</v>
      </c>
      <c r="Q67" s="55">
        <f ca="1">IF(VALUE(CostRemaining[#Headers])&lt;='Construction Dashboard'!$F71,IFERROR(VLOOKUP(CostRemaining[[#This Row],[Cost]],Upgrades[],MATCH("C"&amp;CostRemaining[#Headers],Upgrades[#Headers],0),FALSE),0)*MAX(0,SUM('Construction Dashboard'!$G71:R71)),0)</f>
        <v>0</v>
      </c>
      <c r="R67" s="55">
        <f ca="1">IF(CostRemaining[[#This Row],[MatchStr]]="IGNORE",0,SUM(CostRemaining[[#This Row],[1]:[12]]))</f>
        <v>0</v>
      </c>
    </row>
    <row r="68" spans="1:27">
      <c r="A68" s="57" t="s">
        <v>101</v>
      </c>
      <c r="B68" s="58" t="str">
        <f>VLOOKUP(CostRemaining[[#This Row],[Cost]],Upgrades[],2,FALSE)</f>
        <v>Upgrade</v>
      </c>
      <c r="C68" s="58" t="str">
        <f>VLOOKUP(CostRemaining[[#This Row],[Cost]],Upgrades[],3,FALSE)</f>
        <v>Dark Elixir</v>
      </c>
      <c r="D68" s="133" t="str">
        <f>IF(COUNTIF(Skips,CostRemaining[[#This Row],[Cost]])&gt;0,"IGNORE",CostRemaining[Kind]&amp;"-"&amp;CostRemaining[Resource])</f>
        <v>Upgrade-Dark Elixir</v>
      </c>
      <c r="E68" s="59" t="str">
        <f ca="1">IFERROR(VLOOKUP(CostRemaining[[#This Row],[Cost]],Upgrades[],MATCH("C"&amp;MATCH(TRUE,INDEX(CostRemaining[[#This Row],[1]:[12]]&lt;&gt;0,),0),Upgrades[#Headers],0),FALSE),"")</f>
        <v/>
      </c>
      <c r="F68" s="60">
        <f ca="1">IF(VALUE(CostRemaining[#Headers])&lt;='Construction Dashboard'!$F72,IFERROR(VLOOKUP(CostRemaining[[#This Row],[Cost]],Upgrades[],MATCH("C"&amp;CostRemaining[#Headers],Upgrades[#Headers],0),FALSE),0)*MAX(0,SUM('Construction Dashboard'!$G72:G72)),0)</f>
        <v>0</v>
      </c>
      <c r="G68" s="60">
        <f ca="1">IF(VALUE(CostRemaining[#Headers])&lt;='Construction Dashboard'!$F72,IFERROR(VLOOKUP(CostRemaining[[#This Row],[Cost]],Upgrades[],MATCH("C"&amp;CostRemaining[#Headers],Upgrades[#Headers],0),FALSE),0)*MAX(0,SUM('Construction Dashboard'!$G72:H72)),0)</f>
        <v>0</v>
      </c>
      <c r="H68" s="60">
        <f ca="1">IF(VALUE(CostRemaining[#Headers])&lt;='Construction Dashboard'!$F72,IFERROR(VLOOKUP(CostRemaining[[#This Row],[Cost]],Upgrades[],MATCH("C"&amp;CostRemaining[#Headers],Upgrades[#Headers],0),FALSE),0)*MAX(0,SUM('Construction Dashboard'!$G72:I72)),0)</f>
        <v>0</v>
      </c>
      <c r="I68" s="60">
        <f ca="1">IF(VALUE(CostRemaining[#Headers])&lt;='Construction Dashboard'!$F72,IFERROR(VLOOKUP(CostRemaining[[#This Row],[Cost]],Upgrades[],MATCH("C"&amp;CostRemaining[#Headers],Upgrades[#Headers],0),FALSE),0)*MAX(0,SUM('Construction Dashboard'!$G72:J72)),0)</f>
        <v>0</v>
      </c>
      <c r="J68" s="60">
        <f ca="1">IF(VALUE(CostRemaining[#Headers])&lt;='Construction Dashboard'!$F72,IFERROR(VLOOKUP(CostRemaining[[#This Row],[Cost]],Upgrades[],MATCH("C"&amp;CostRemaining[#Headers],Upgrades[#Headers],0),FALSE),0)*MAX(0,SUM('Construction Dashboard'!$G72:K72)),0)</f>
        <v>0</v>
      </c>
      <c r="K68" s="60">
        <f ca="1">IF(VALUE(CostRemaining[#Headers])&lt;='Construction Dashboard'!$F72,IFERROR(VLOOKUP(CostRemaining[[#This Row],[Cost]],Upgrades[],MATCH("C"&amp;CostRemaining[#Headers],Upgrades[#Headers],0),FALSE),0)*MAX(0,SUM('Construction Dashboard'!$G72:L72)),0)</f>
        <v>0</v>
      </c>
      <c r="L68" s="60">
        <f ca="1">IF(VALUE(CostRemaining[#Headers])&lt;='Construction Dashboard'!$F72,IFERROR(VLOOKUP(CostRemaining[[#This Row],[Cost]],Upgrades[],MATCH("C"&amp;CostRemaining[#Headers],Upgrades[#Headers],0),FALSE),0)*MAX(0,SUM('Construction Dashboard'!$G72:M72)),0)</f>
        <v>0</v>
      </c>
      <c r="M68" s="60">
        <f ca="1">IF(VALUE(CostRemaining[#Headers])&lt;='Construction Dashboard'!$F72,IFERROR(VLOOKUP(CostRemaining[[#This Row],[Cost]],Upgrades[],MATCH("C"&amp;CostRemaining[#Headers],Upgrades[#Headers],0),FALSE),0)*MAX(0,SUM('Construction Dashboard'!$G72:N72)),0)</f>
        <v>0</v>
      </c>
      <c r="N68" s="60">
        <f ca="1">IF(VALUE(CostRemaining[#Headers])&lt;='Construction Dashboard'!$F72,IFERROR(VLOOKUP(CostRemaining[[#This Row],[Cost]],Upgrades[],MATCH("C"&amp;CostRemaining[#Headers],Upgrades[#Headers],0),FALSE),0)*MAX(0,SUM('Construction Dashboard'!$G72:O72)),0)</f>
        <v>0</v>
      </c>
      <c r="O68" s="60">
        <f ca="1">IF(VALUE(CostRemaining[#Headers])&lt;='Construction Dashboard'!$F72,IFERROR(VLOOKUP(CostRemaining[[#This Row],[Cost]],Upgrades[],MATCH("C"&amp;CostRemaining[#Headers],Upgrades[#Headers],0),FALSE),0)*MAX(0,SUM('Construction Dashboard'!$G72:P72)),0)</f>
        <v>0</v>
      </c>
      <c r="P68" s="60">
        <f ca="1">IF(VALUE(CostRemaining[#Headers])&lt;='Construction Dashboard'!$F72,IFERROR(VLOOKUP(CostRemaining[[#This Row],[Cost]],Upgrades[],MATCH("C"&amp;CostRemaining[#Headers],Upgrades[#Headers],0),FALSE),0)*MAX(0,SUM('Construction Dashboard'!$G72:Q72)),0)</f>
        <v>0</v>
      </c>
      <c r="Q68" s="60">
        <f ca="1">IF(VALUE(CostRemaining[#Headers])&lt;='Construction Dashboard'!$F72,IFERROR(VLOOKUP(CostRemaining[[#This Row],[Cost]],Upgrades[],MATCH("C"&amp;CostRemaining[#Headers],Upgrades[#Headers],0),FALSE),0)*MAX(0,SUM('Construction Dashboard'!$G72:R72)),0)</f>
        <v>0</v>
      </c>
      <c r="R68" s="60">
        <f ca="1">IF(CostRemaining[[#This Row],[MatchStr]]="IGNORE",0,SUM(CostRemaining[[#This Row],[1]:[12]]))</f>
        <v>0</v>
      </c>
    </row>
    <row r="70" spans="1:27" ht="16" thickBot="1"/>
    <row r="71" spans="1:27" ht="32" thickTop="1" thickBot="1">
      <c r="A71" s="328" t="s">
        <v>211</v>
      </c>
      <c r="B71" s="329"/>
      <c r="C71" s="329"/>
      <c r="D71" s="329"/>
      <c r="E71" s="329"/>
      <c r="F71" s="329"/>
      <c r="G71" s="329"/>
      <c r="H71" s="329"/>
      <c r="I71" s="329"/>
      <c r="J71" s="329"/>
      <c r="K71" s="329"/>
      <c r="L71" s="329"/>
      <c r="M71" s="329"/>
      <c r="N71" s="329"/>
      <c r="O71" s="329"/>
      <c r="P71" s="329"/>
      <c r="Q71" s="329"/>
      <c r="R71" s="329"/>
      <c r="S71" s="329"/>
      <c r="T71" s="329"/>
      <c r="U71" s="329"/>
      <c r="V71" s="329"/>
      <c r="W71" s="329"/>
      <c r="X71" s="329"/>
      <c r="Y71" s="329"/>
      <c r="Z71" s="329"/>
      <c r="AA71" s="330"/>
    </row>
    <row r="72" spans="1:27" ht="16" thickTop="1">
      <c r="A72" s="11"/>
      <c r="B72" s="11"/>
      <c r="C72" s="11"/>
      <c r="D72" s="131"/>
      <c r="E72" s="11"/>
      <c r="F72" s="11"/>
      <c r="G72" s="11"/>
      <c r="H72" s="11"/>
      <c r="I72" s="11"/>
      <c r="J72" s="11"/>
      <c r="K72" s="11"/>
      <c r="L72" s="11"/>
      <c r="M72" s="11"/>
      <c r="N72" s="11"/>
      <c r="O72" s="11"/>
      <c r="P72" s="11"/>
      <c r="Q72" s="11"/>
      <c r="R72" s="11"/>
    </row>
    <row r="73" spans="1:27">
      <c r="A73" s="11" t="s">
        <v>0</v>
      </c>
      <c r="B73" s="11" t="s">
        <v>70</v>
      </c>
      <c r="C73" s="11" t="s">
        <v>30</v>
      </c>
      <c r="D73" s="131" t="s">
        <v>136</v>
      </c>
      <c r="E73" s="11" t="s">
        <v>69</v>
      </c>
      <c r="F73" s="11" t="s">
        <v>32</v>
      </c>
      <c r="G73" s="11" t="s">
        <v>33</v>
      </c>
      <c r="H73" s="11" t="s">
        <v>34</v>
      </c>
      <c r="I73" s="11" t="s">
        <v>35</v>
      </c>
      <c r="J73" s="11" t="s">
        <v>36</v>
      </c>
      <c r="K73" s="11" t="s">
        <v>37</v>
      </c>
      <c r="L73" s="11" t="s">
        <v>38</v>
      </c>
      <c r="M73" s="11" t="s">
        <v>39</v>
      </c>
      <c r="N73" s="11" t="s">
        <v>40</v>
      </c>
      <c r="O73" s="11" t="s">
        <v>41</v>
      </c>
      <c r="P73" s="11" t="s">
        <v>42</v>
      </c>
      <c r="Q73" s="11" t="s">
        <v>43</v>
      </c>
      <c r="R73" s="11" t="s">
        <v>68</v>
      </c>
    </row>
    <row r="74" spans="1:27">
      <c r="A74" s="11" t="s">
        <v>13</v>
      </c>
      <c r="B74" s="11" t="str">
        <f>VLOOKUP(TimeRemaining[[#This Row],[Time]],Upgrades[],MATCH("Kind",Upgrades[#Headers],0),FALSE)</f>
        <v>Building</v>
      </c>
      <c r="C74" s="11" t="str">
        <f>VLOOKUP(TimeRemaining[[#This Row],[Time]],Upgrades[],MATCH("Resource",Upgrades[#Headers],0),FALSE)</f>
        <v>Gold</v>
      </c>
      <c r="D74" s="131" t="str">
        <f>IF(COUNTIF(Skips,TimeRemaining[[#This Row],[Time]])&gt;0,"IGNORE",TimeRemaining[Kind]&amp;"-"&amp;TimeRemaining[Resource])</f>
        <v>Building-Gold</v>
      </c>
      <c r="E74" s="54">
        <f ca="1">IFERROR(VLOOKUP(TimeRemaining[[#This Row],[Time]],Upgrades[],MATCH("T"&amp;MATCH(TRUE,INDEX(TimeRemaining[[#This Row],[1]:[12]]&lt;&gt;0,),0),Upgrades[#Headers],0),FALSE),"")</f>
        <v>8</v>
      </c>
      <c r="F74" s="61">
        <f ca="1">IF(VALUE(TimeRemaining[#Headers])&lt;='Construction Dashboard'!$F24,IFERROR(VLOOKUP(TimeRemaining[[#This Row],[Time]],Upgrades[],MATCH("T"&amp;TimeRemaining[#Headers],Upgrades[#Headers],0),FALSE),0)*MAX(0,SUM('Construction Dashboard'!$G24:G24)),0)</f>
        <v>0</v>
      </c>
      <c r="G74" s="61">
        <f ca="1">IF(VALUE(TimeRemaining[#Headers])&lt;='Construction Dashboard'!$F24,IFERROR(VLOOKUP(TimeRemaining[[#This Row],[Time]],Upgrades[],MATCH("T"&amp;TimeRemaining[#Headers],Upgrades[#Headers],0),FALSE),0)*MAX(0,SUM('Construction Dashboard'!$G24:H24)),0)</f>
        <v>0</v>
      </c>
      <c r="H74" s="61">
        <f ca="1">IF(VALUE(TimeRemaining[#Headers])&lt;='Construction Dashboard'!$F24,IFERROR(VLOOKUP(TimeRemaining[[#This Row],[Time]],Upgrades[],MATCH("T"&amp;TimeRemaining[#Headers],Upgrades[#Headers],0),FALSE),0)*MAX(0,SUM('Construction Dashboard'!$G24:I24)),0)</f>
        <v>0</v>
      </c>
      <c r="I74" s="61">
        <f ca="1">IF(VALUE(TimeRemaining[#Headers])&lt;='Construction Dashboard'!$F24,IFERROR(VLOOKUP(TimeRemaining[[#This Row],[Time]],Upgrades[],MATCH("T"&amp;TimeRemaining[#Headers],Upgrades[#Headers],0),FALSE),0)*MAX(0,SUM('Construction Dashboard'!$G24:J24)),0)</f>
        <v>0</v>
      </c>
      <c r="J74" s="61">
        <f ca="1">IF(VALUE(TimeRemaining[#Headers])&lt;='Construction Dashboard'!$F24,IFERROR(VLOOKUP(TimeRemaining[[#This Row],[Time]],Upgrades[],MATCH("T"&amp;TimeRemaining[#Headers],Upgrades[#Headers],0),FALSE),0)*MAX(0,SUM('Construction Dashboard'!$G24:K24)),0)</f>
        <v>0</v>
      </c>
      <c r="K74" s="61">
        <f ca="1">IF(VALUE(TimeRemaining[#Headers])&lt;='Construction Dashboard'!$F24,IFERROR(VLOOKUP(TimeRemaining[[#This Row],[Time]],Upgrades[],MATCH("T"&amp;TimeRemaining[#Headers],Upgrades[#Headers],0),FALSE),0)*MAX(0,SUM('Construction Dashboard'!$G24:L24)),0)</f>
        <v>0</v>
      </c>
      <c r="L74" s="61">
        <f ca="1">IF(VALUE(TimeRemaining[#Headers])&lt;='Construction Dashboard'!$F24,IFERROR(VLOOKUP(TimeRemaining[[#This Row],[Time]],Upgrades[],MATCH("T"&amp;TimeRemaining[#Headers],Upgrades[#Headers],0),FALSE),0)*MAX(0,SUM('Construction Dashboard'!$G24:M24)),0)</f>
        <v>0</v>
      </c>
      <c r="M74" s="61">
        <f ca="1">IF(VALUE(TimeRemaining[#Headers])&lt;='Construction Dashboard'!$F24,IFERROR(VLOOKUP(TimeRemaining[[#This Row],[Time]],Upgrades[],MATCH("T"&amp;TimeRemaining[#Headers],Upgrades[#Headers],0),FALSE),0)*MAX(0,SUM('Construction Dashboard'!$G24:N24)),0)</f>
        <v>8</v>
      </c>
      <c r="N74" s="61">
        <f ca="1">IF(VALUE(TimeRemaining[#Headers])&lt;='Construction Dashboard'!$F24,IFERROR(VLOOKUP(TimeRemaining[[#This Row],[Time]],Upgrades[],MATCH("T"&amp;TimeRemaining[#Headers],Upgrades[#Headers],0),FALSE),0)*MAX(0,SUM('Construction Dashboard'!$G24:O24)),0)</f>
        <v>0</v>
      </c>
      <c r="O74" s="61">
        <f ca="1">IF(VALUE(TimeRemaining[#Headers])&lt;='Construction Dashboard'!$F24,IFERROR(VLOOKUP(TimeRemaining[[#This Row],[Time]],Upgrades[],MATCH("T"&amp;TimeRemaining[#Headers],Upgrades[#Headers],0),FALSE),0)*MAX(0,SUM('Construction Dashboard'!$G24:P24)),0)</f>
        <v>0</v>
      </c>
      <c r="P74" s="61">
        <f ca="1">IF(VALUE(TimeRemaining[#Headers])&lt;='Construction Dashboard'!$F24,IFERROR(VLOOKUP(TimeRemaining[[#This Row],[Time]],Upgrades[],MATCH("T"&amp;TimeRemaining[#Headers],Upgrades[#Headers],0),FALSE),0)*MAX(0,SUM('Construction Dashboard'!$G24:Q24)),0)</f>
        <v>0</v>
      </c>
      <c r="Q74" s="61">
        <f ca="1">IF(VALUE(TimeRemaining[#Headers])&lt;='Construction Dashboard'!$F24,IFERROR(VLOOKUP(TimeRemaining[[#This Row],[Time]],Upgrades[],MATCH("T"&amp;TimeRemaining[#Headers],Upgrades[#Headers],0),FALSE),0)*MAX(0,SUM('Construction Dashboard'!$G24:R24)),0)</f>
        <v>0</v>
      </c>
      <c r="R74" s="61">
        <f ca="1">IF(TimeRemaining[[#This Row],[MatchStr]]="IGNORE",0,SUM(TimeRemaining[[#This Row],[1]:[12]]))</f>
        <v>8</v>
      </c>
    </row>
    <row r="75" spans="1:27">
      <c r="A75" s="11" t="s">
        <v>20</v>
      </c>
      <c r="B75" s="11" t="str">
        <f>VLOOKUP(TimeRemaining[[#This Row],[Time]],Upgrades[],MATCH("Kind",Upgrades[#Headers],0),FALSE)</f>
        <v>Building</v>
      </c>
      <c r="C75" s="11" t="str">
        <f>VLOOKUP(TimeRemaining[[#This Row],[Time]],Upgrades[],MATCH("Resource",Upgrades[#Headers],0),FALSE)</f>
        <v>Elixir</v>
      </c>
      <c r="D75" s="131" t="str">
        <f>IF(COUNTIF(Skips,TimeRemaining[[#This Row],[Time]])&gt;0,"IGNORE",TimeRemaining[Kind]&amp;"-"&amp;TimeRemaining[Resource])</f>
        <v>Building-Elixir</v>
      </c>
      <c r="E75" s="54" t="str">
        <f ca="1">IFERROR(VLOOKUP(TimeRemaining[[#This Row],[Time]],Upgrades[],MATCH("T"&amp;MATCH(TRUE,INDEX(TimeRemaining[[#This Row],[1]:[12]]&lt;&gt;0,),0),Upgrades[#Headers],0),FALSE),"")</f>
        <v/>
      </c>
      <c r="F75" s="61">
        <f ca="1">IF(VALUE(TimeRemaining[#Headers])&lt;='Construction Dashboard'!$F25,IFERROR(VLOOKUP(TimeRemaining[[#This Row],[Time]],Upgrades[],MATCH("T"&amp;TimeRemaining[#Headers],Upgrades[#Headers],0),FALSE),0)*MAX(0,SUM('Construction Dashboard'!$G25:G25)),0)</f>
        <v>0</v>
      </c>
      <c r="G75" s="61">
        <f ca="1">IF(VALUE(TimeRemaining[#Headers])&lt;='Construction Dashboard'!$F25,IFERROR(VLOOKUP(TimeRemaining[[#This Row],[Time]],Upgrades[],MATCH("T"&amp;TimeRemaining[#Headers],Upgrades[#Headers],0),FALSE),0)*MAX(0,SUM('Construction Dashboard'!$G25:H25)),0)</f>
        <v>0</v>
      </c>
      <c r="H75" s="61">
        <f ca="1">IF(VALUE(TimeRemaining[#Headers])&lt;='Construction Dashboard'!$F25,IFERROR(VLOOKUP(TimeRemaining[[#This Row],[Time]],Upgrades[],MATCH("T"&amp;TimeRemaining[#Headers],Upgrades[#Headers],0),FALSE),0)*MAX(0,SUM('Construction Dashboard'!$G25:I25)),0)</f>
        <v>0</v>
      </c>
      <c r="I75" s="61">
        <f ca="1">IF(VALUE(TimeRemaining[#Headers])&lt;='Construction Dashboard'!$F25,IFERROR(VLOOKUP(TimeRemaining[[#This Row],[Time]],Upgrades[],MATCH("T"&amp;TimeRemaining[#Headers],Upgrades[#Headers],0),FALSE),0)*MAX(0,SUM('Construction Dashboard'!$G25:J25)),0)</f>
        <v>0</v>
      </c>
      <c r="J75" s="61">
        <f ca="1">IF(VALUE(TimeRemaining[#Headers])&lt;='Construction Dashboard'!$F25,IFERROR(VLOOKUP(TimeRemaining[[#This Row],[Time]],Upgrades[],MATCH("T"&amp;TimeRemaining[#Headers],Upgrades[#Headers],0),FALSE),0)*MAX(0,SUM('Construction Dashboard'!$G25:K25)),0)</f>
        <v>0</v>
      </c>
      <c r="K75" s="61">
        <f ca="1">IF(VALUE(TimeRemaining[#Headers])&lt;='Construction Dashboard'!$F25,IFERROR(VLOOKUP(TimeRemaining[[#This Row],[Time]],Upgrades[],MATCH("T"&amp;TimeRemaining[#Headers],Upgrades[#Headers],0),FALSE),0)*MAX(0,SUM('Construction Dashboard'!$G25:L25)),0)</f>
        <v>0</v>
      </c>
      <c r="L75" s="61">
        <f ca="1">IF(VALUE(TimeRemaining[#Headers])&lt;='Construction Dashboard'!$F25,IFERROR(VLOOKUP(TimeRemaining[[#This Row],[Time]],Upgrades[],MATCH("T"&amp;TimeRemaining[#Headers],Upgrades[#Headers],0),FALSE),0)*MAX(0,SUM('Construction Dashboard'!$G25:M25)),0)</f>
        <v>0</v>
      </c>
      <c r="M75" s="61">
        <f ca="1">IF(VALUE(TimeRemaining[#Headers])&lt;='Construction Dashboard'!$F25,IFERROR(VLOOKUP(TimeRemaining[[#This Row],[Time]],Upgrades[],MATCH("T"&amp;TimeRemaining[#Headers],Upgrades[#Headers],0),FALSE),0)*MAX(0,SUM('Construction Dashboard'!$G25:N25)),0)</f>
        <v>0</v>
      </c>
      <c r="N75" s="61">
        <f ca="1">IF(VALUE(TimeRemaining[#Headers])&lt;='Construction Dashboard'!$F25,IFERROR(VLOOKUP(TimeRemaining[[#This Row],[Time]],Upgrades[],MATCH("T"&amp;TimeRemaining[#Headers],Upgrades[#Headers],0),FALSE),0)*MAX(0,SUM('Construction Dashboard'!$G25:O25)),0)</f>
        <v>0</v>
      </c>
      <c r="O75" s="61">
        <f ca="1">IF(VALUE(TimeRemaining[#Headers])&lt;='Construction Dashboard'!$F25,IFERROR(VLOOKUP(TimeRemaining[[#This Row],[Time]],Upgrades[],MATCH("T"&amp;TimeRemaining[#Headers],Upgrades[#Headers],0),FALSE),0)*MAX(0,SUM('Construction Dashboard'!$G25:P25)),0)</f>
        <v>0</v>
      </c>
      <c r="P75" s="61">
        <f ca="1">IF(VALUE(TimeRemaining[#Headers])&lt;='Construction Dashboard'!$F25,IFERROR(VLOOKUP(TimeRemaining[[#This Row],[Time]],Upgrades[],MATCH("T"&amp;TimeRemaining[#Headers],Upgrades[#Headers],0),FALSE),0)*MAX(0,SUM('Construction Dashboard'!$G25:Q25)),0)</f>
        <v>0</v>
      </c>
      <c r="Q75" s="61">
        <f ca="1">IF(VALUE(TimeRemaining[#Headers])&lt;='Construction Dashboard'!$F25,IFERROR(VLOOKUP(TimeRemaining[[#This Row],[Time]],Upgrades[],MATCH("T"&amp;TimeRemaining[#Headers],Upgrades[#Headers],0),FALSE),0)*MAX(0,SUM('Construction Dashboard'!$G25:R25)),0)</f>
        <v>0</v>
      </c>
      <c r="R75" s="61">
        <f ca="1">IF(TimeRemaining[[#This Row],[MatchStr]]="IGNORE",0,SUM(TimeRemaining[[#This Row],[1]:[12]]))</f>
        <v>0</v>
      </c>
    </row>
    <row r="76" spans="1:27">
      <c r="A76" s="11" t="s">
        <v>2</v>
      </c>
      <c r="B76" s="56" t="str">
        <f>VLOOKUP(TimeRemaining[[#This Row],[Time]],Upgrades[],MATCH("Kind",Upgrades[#Headers],0),FALSE)</f>
        <v>Building</v>
      </c>
      <c r="C76" s="56" t="str">
        <f>VLOOKUP(TimeRemaining[[#This Row],[Time]],Upgrades[],MATCH("Resource",Upgrades[#Headers],0),FALSE)</f>
        <v>Elixir</v>
      </c>
      <c r="D76" s="132" t="str">
        <f>IF(COUNTIF(Skips,TimeRemaining[[#This Row],[Time]])&gt;0,"IGNORE",TimeRemaining[Kind]&amp;"-"&amp;TimeRemaining[Resource])</f>
        <v>Building-Elixir</v>
      </c>
      <c r="E76" s="62">
        <f ca="1">IFERROR(VLOOKUP(TimeRemaining[[#This Row],[Time]],Upgrades[],MATCH("T"&amp;MATCH(TRUE,INDEX(TimeRemaining[[#This Row],[1]:[12]]&lt;&gt;0,),0),Upgrades[#Headers],0),FALSE),"")</f>
        <v>4</v>
      </c>
      <c r="F76" s="61">
        <f ca="1">IF(VALUE(TimeRemaining[#Headers])&lt;='Construction Dashboard'!$F26,IFERROR(VLOOKUP(TimeRemaining[[#This Row],[Time]],Upgrades[],MATCH("T"&amp;TimeRemaining[#Headers],Upgrades[#Headers],0),FALSE),0)*MAX(0,SUM('Construction Dashboard'!$G26:G26)),0)</f>
        <v>0</v>
      </c>
      <c r="G76" s="61">
        <f ca="1">IF(VALUE(TimeRemaining[#Headers])&lt;='Construction Dashboard'!$F26,IFERROR(VLOOKUP(TimeRemaining[[#This Row],[Time]],Upgrades[],MATCH("T"&amp;TimeRemaining[#Headers],Upgrades[#Headers],0),FALSE),0)*MAX(0,SUM('Construction Dashboard'!$G26:H26)),0)</f>
        <v>0</v>
      </c>
      <c r="H76" s="61">
        <f ca="1">IF(VALUE(TimeRemaining[#Headers])&lt;='Construction Dashboard'!$F26,IFERROR(VLOOKUP(TimeRemaining[[#This Row],[Time]],Upgrades[],MATCH("T"&amp;TimeRemaining[#Headers],Upgrades[#Headers],0),FALSE),0)*MAX(0,SUM('Construction Dashboard'!$G26:I26)),0)</f>
        <v>0</v>
      </c>
      <c r="I76" s="61">
        <f ca="1">IF(VALUE(TimeRemaining[#Headers])&lt;='Construction Dashboard'!$F26,IFERROR(VLOOKUP(TimeRemaining[[#This Row],[Time]],Upgrades[],MATCH("T"&amp;TimeRemaining[#Headers],Upgrades[#Headers],0),FALSE),0)*MAX(0,SUM('Construction Dashboard'!$G26:J26)),0)</f>
        <v>0</v>
      </c>
      <c r="J76" s="61">
        <f ca="1">IF(VALUE(TimeRemaining[#Headers])&lt;='Construction Dashboard'!$F26,IFERROR(VLOOKUP(TimeRemaining[[#This Row],[Time]],Upgrades[],MATCH("T"&amp;TimeRemaining[#Headers],Upgrades[#Headers],0),FALSE),0)*MAX(0,SUM('Construction Dashboard'!$G26:K26)),0)</f>
        <v>0</v>
      </c>
      <c r="K76" s="61">
        <f ca="1">IF(VALUE(TimeRemaining[#Headers])&lt;='Construction Dashboard'!$F26,IFERROR(VLOOKUP(TimeRemaining[[#This Row],[Time]],Upgrades[],MATCH("T"&amp;TimeRemaining[#Headers],Upgrades[#Headers],0),FALSE),0)*MAX(0,SUM('Construction Dashboard'!$G26:L26)),0)</f>
        <v>0</v>
      </c>
      <c r="L76" s="61">
        <f ca="1">IF(VALUE(TimeRemaining[#Headers])&lt;='Construction Dashboard'!$F26,IFERROR(VLOOKUP(TimeRemaining[[#This Row],[Time]],Upgrades[],MATCH("T"&amp;TimeRemaining[#Headers],Upgrades[#Headers],0),FALSE),0)*MAX(0,SUM('Construction Dashboard'!$G26:M26)),0)</f>
        <v>0</v>
      </c>
      <c r="M76" s="61">
        <f ca="1">IF(VALUE(TimeRemaining[#Headers])&lt;='Construction Dashboard'!$F26,IFERROR(VLOOKUP(TimeRemaining[[#This Row],[Time]],Upgrades[],MATCH("T"&amp;TimeRemaining[#Headers],Upgrades[#Headers],0),FALSE),0)*MAX(0,SUM('Construction Dashboard'!$G26:N26)),0)</f>
        <v>0</v>
      </c>
      <c r="N76" s="61">
        <f ca="1">IF(VALUE(TimeRemaining[#Headers])&lt;='Construction Dashboard'!$F26,IFERROR(VLOOKUP(TimeRemaining[[#This Row],[Time]],Upgrades[],MATCH("T"&amp;TimeRemaining[#Headers],Upgrades[#Headers],0),FALSE),0)*MAX(0,SUM('Construction Dashboard'!$G26:O26)),0)</f>
        <v>12</v>
      </c>
      <c r="O76" s="61">
        <f ca="1">IF(VALUE(TimeRemaining[#Headers])&lt;='Construction Dashboard'!$F26,IFERROR(VLOOKUP(TimeRemaining[[#This Row],[Time]],Upgrades[],MATCH("T"&amp;TimeRemaining[#Headers],Upgrades[#Headers],0),FALSE),0)*MAX(0,SUM('Construction Dashboard'!$G26:P26)),0)</f>
        <v>0</v>
      </c>
      <c r="P76" s="61">
        <f ca="1">IF(VALUE(TimeRemaining[#Headers])&lt;='Construction Dashboard'!$F26,IFERROR(VLOOKUP(TimeRemaining[[#This Row],[Time]],Upgrades[],MATCH("T"&amp;TimeRemaining[#Headers],Upgrades[#Headers],0),FALSE),0)*MAX(0,SUM('Construction Dashboard'!$G26:Q26)),0)</f>
        <v>0</v>
      </c>
      <c r="Q76" s="61">
        <f ca="1">IF(VALUE(TimeRemaining[#Headers])&lt;='Construction Dashboard'!$F26,IFERROR(VLOOKUP(TimeRemaining[[#This Row],[Time]],Upgrades[],MATCH("T"&amp;TimeRemaining[#Headers],Upgrades[#Headers],0),FALSE),0)*MAX(0,SUM('Construction Dashboard'!$G26:R26)),0)</f>
        <v>0</v>
      </c>
      <c r="R76" s="61">
        <f ca="1">IF(TimeRemaining[[#This Row],[MatchStr]]="IGNORE",0,SUM(TimeRemaining[[#This Row],[1]:[12]]))</f>
        <v>12</v>
      </c>
    </row>
    <row r="77" spans="1:27">
      <c r="A77" s="11" t="s">
        <v>260</v>
      </c>
      <c r="B77" s="56" t="str">
        <f>VLOOKUP(TimeRemaining[[#This Row],[Time]],Upgrades[],MATCH("Kind",Upgrades[#Headers],0),FALSE)</f>
        <v>Building</v>
      </c>
      <c r="C77" s="56" t="str">
        <f>VLOOKUP(TimeRemaining[[#This Row],[Time]],Upgrades[],MATCH("Resource",Upgrades[#Headers],0),FALSE)</f>
        <v>Elixir</v>
      </c>
      <c r="D77" s="132" t="str">
        <f>IF(COUNTIF(Skips,TimeRemaining[[#This Row],[Time]])&gt;0,"IGNORE",TimeRemaining[Kind]&amp;"-"&amp;TimeRemaining[Resource])</f>
        <v>Building-Elixir</v>
      </c>
      <c r="E77" s="62" t="str">
        <f ca="1">IFERROR(VLOOKUP(TimeRemaining[[#This Row],[Time]],Upgrades[],MATCH("T"&amp;MATCH(TRUE,INDEX(TimeRemaining[[#This Row],[1]:[12]]&lt;&gt;0,),0),Upgrades[#Headers],0),FALSE),"")</f>
        <v/>
      </c>
      <c r="F77" s="61">
        <f ca="1">IF(VALUE(TimeRemaining[#Headers])&lt;='Construction Dashboard'!$F27,IFERROR(VLOOKUP(TimeRemaining[[#This Row],[Time]],Upgrades[],MATCH("T"&amp;TimeRemaining[#Headers],Upgrades[#Headers],0),FALSE),0)*MAX(0,SUM('Construction Dashboard'!$G27:G27)),0)</f>
        <v>0</v>
      </c>
      <c r="G77" s="61">
        <f ca="1">IF(VALUE(TimeRemaining[#Headers])&lt;='Construction Dashboard'!$F27,IFERROR(VLOOKUP(TimeRemaining[[#This Row],[Time]],Upgrades[],MATCH("T"&amp;TimeRemaining[#Headers],Upgrades[#Headers],0),FALSE),0)*MAX(0,SUM('Construction Dashboard'!$G27:H27)),0)</f>
        <v>0</v>
      </c>
      <c r="H77" s="61">
        <f ca="1">IF(VALUE(TimeRemaining[#Headers])&lt;='Construction Dashboard'!$F27,IFERROR(VLOOKUP(TimeRemaining[[#This Row],[Time]],Upgrades[],MATCH("T"&amp;TimeRemaining[#Headers],Upgrades[#Headers],0),FALSE),0)*MAX(0,SUM('Construction Dashboard'!$G27:I27)),0)</f>
        <v>0</v>
      </c>
      <c r="I77" s="61">
        <f ca="1">IF(VALUE(TimeRemaining[#Headers])&lt;='Construction Dashboard'!$F27,IFERROR(VLOOKUP(TimeRemaining[[#This Row],[Time]],Upgrades[],MATCH("T"&amp;TimeRemaining[#Headers],Upgrades[#Headers],0),FALSE),0)*MAX(0,SUM('Construction Dashboard'!$G27:J27)),0)</f>
        <v>0</v>
      </c>
      <c r="J77" s="61">
        <f ca="1">IF(VALUE(TimeRemaining[#Headers])&lt;='Construction Dashboard'!$F27,IFERROR(VLOOKUP(TimeRemaining[[#This Row],[Time]],Upgrades[],MATCH("T"&amp;TimeRemaining[#Headers],Upgrades[#Headers],0),FALSE),0)*MAX(0,SUM('Construction Dashboard'!$G27:K27)),0)</f>
        <v>0</v>
      </c>
      <c r="K77" s="61">
        <f ca="1">IF(VALUE(TimeRemaining[#Headers])&lt;='Construction Dashboard'!$F27,IFERROR(VLOOKUP(TimeRemaining[[#This Row],[Time]],Upgrades[],MATCH("T"&amp;TimeRemaining[#Headers],Upgrades[#Headers],0),FALSE),0)*MAX(0,SUM('Construction Dashboard'!$G27:L27)),0)</f>
        <v>0</v>
      </c>
      <c r="L77" s="61">
        <f ca="1">IF(VALUE(TimeRemaining[#Headers])&lt;='Construction Dashboard'!$F27,IFERROR(VLOOKUP(TimeRemaining[[#This Row],[Time]],Upgrades[],MATCH("T"&amp;TimeRemaining[#Headers],Upgrades[#Headers],0),FALSE),0)*MAX(0,SUM('Construction Dashboard'!$G27:M27)),0)</f>
        <v>0</v>
      </c>
      <c r="M77" s="61">
        <f ca="1">IF(VALUE(TimeRemaining[#Headers])&lt;='Construction Dashboard'!$F27,IFERROR(VLOOKUP(TimeRemaining[[#This Row],[Time]],Upgrades[],MATCH("T"&amp;TimeRemaining[#Headers],Upgrades[#Headers],0),FALSE),0)*MAX(0,SUM('Construction Dashboard'!$G27:N27)),0)</f>
        <v>0</v>
      </c>
      <c r="N77" s="61">
        <f ca="1">IF(VALUE(TimeRemaining[#Headers])&lt;='Construction Dashboard'!$F27,IFERROR(VLOOKUP(TimeRemaining[[#This Row],[Time]],Upgrades[],MATCH("T"&amp;TimeRemaining[#Headers],Upgrades[#Headers],0),FALSE),0)*MAX(0,SUM('Construction Dashboard'!$G27:O27)),0)</f>
        <v>0</v>
      </c>
      <c r="O77" s="61">
        <f ca="1">IF(VALUE(TimeRemaining[#Headers])&lt;='Construction Dashboard'!$F27,IFERROR(VLOOKUP(TimeRemaining[[#This Row],[Time]],Upgrades[],MATCH("T"&amp;TimeRemaining[#Headers],Upgrades[#Headers],0),FALSE),0)*MAX(0,SUM('Construction Dashboard'!$G27:P27)),0)</f>
        <v>0</v>
      </c>
      <c r="P77" s="61">
        <f ca="1">IF(VALUE(TimeRemaining[#Headers])&lt;='Construction Dashboard'!$F27,IFERROR(VLOOKUP(TimeRemaining[[#This Row],[Time]],Upgrades[],MATCH("T"&amp;TimeRemaining[#Headers],Upgrades[#Headers],0),FALSE),0)*MAX(0,SUM('Construction Dashboard'!$G27:Q27)),0)</f>
        <v>0</v>
      </c>
      <c r="Q77" s="61">
        <f ca="1">IF(VALUE(TimeRemaining[#Headers])&lt;='Construction Dashboard'!$F27,IFERROR(VLOOKUP(TimeRemaining[[#This Row],[Time]],Upgrades[],MATCH("T"&amp;TimeRemaining[#Headers],Upgrades[#Headers],0),FALSE),0)*MAX(0,SUM('Construction Dashboard'!$G27:R27)),0)</f>
        <v>0</v>
      </c>
      <c r="R77" s="61">
        <f ca="1">IF(TimeRemaining[[#This Row],[MatchStr]]="IGNORE",0,SUM(TimeRemaining[[#This Row],[1]:[12]]))</f>
        <v>0</v>
      </c>
    </row>
    <row r="78" spans="1:27">
      <c r="A78" s="11" t="s">
        <v>15</v>
      </c>
      <c r="B78" s="11" t="str">
        <f>VLOOKUP(TimeRemaining[[#This Row],[Time]],Upgrades[],MATCH("Kind",Upgrades[#Headers],0),FALSE)</f>
        <v>Building</v>
      </c>
      <c r="C78" s="11" t="str">
        <f>VLOOKUP(TimeRemaining[[#This Row],[Time]],Upgrades[],MATCH("Resource",Upgrades[#Headers],0),FALSE)</f>
        <v>Elixir</v>
      </c>
      <c r="D78" s="131" t="str">
        <f>IF(COUNTIF(Skips,TimeRemaining[[#This Row],[Time]])&gt;0,"IGNORE",TimeRemaining[Kind]&amp;"-"&amp;TimeRemaining[Resource])</f>
        <v>Building-Elixir</v>
      </c>
      <c r="E78" s="54" t="str">
        <f ca="1">IFERROR(VLOOKUP(TimeRemaining[[#This Row],[Time]],Upgrades[],MATCH("T"&amp;MATCH(TRUE,INDEX(TimeRemaining[[#This Row],[1]:[12]]&lt;&gt;0,),0),Upgrades[#Headers],0),FALSE),"")</f>
        <v/>
      </c>
      <c r="F78" s="61">
        <f ca="1">IF(VALUE(TimeRemaining[#Headers])&lt;='Construction Dashboard'!$F28,IFERROR(VLOOKUP(TimeRemaining[[#This Row],[Time]],Upgrades[],MATCH("T"&amp;TimeRemaining[#Headers],Upgrades[#Headers],0),FALSE),0)*MAX(0,SUM('Construction Dashboard'!$G28:G28)),0)</f>
        <v>0</v>
      </c>
      <c r="G78" s="61">
        <f ca="1">IF(VALUE(TimeRemaining[#Headers])&lt;='Construction Dashboard'!$F28,IFERROR(VLOOKUP(TimeRemaining[[#This Row],[Time]],Upgrades[],MATCH("T"&amp;TimeRemaining[#Headers],Upgrades[#Headers],0),FALSE),0)*MAX(0,SUM('Construction Dashboard'!$G28:H28)),0)</f>
        <v>0</v>
      </c>
      <c r="H78" s="61">
        <f ca="1">IF(VALUE(TimeRemaining[#Headers])&lt;='Construction Dashboard'!$F28,IFERROR(VLOOKUP(TimeRemaining[[#This Row],[Time]],Upgrades[],MATCH("T"&amp;TimeRemaining[#Headers],Upgrades[#Headers],0),FALSE),0)*MAX(0,SUM('Construction Dashboard'!$G28:I28)),0)</f>
        <v>0</v>
      </c>
      <c r="I78" s="61">
        <f ca="1">IF(VALUE(TimeRemaining[#Headers])&lt;='Construction Dashboard'!$F28,IFERROR(VLOOKUP(TimeRemaining[[#This Row],[Time]],Upgrades[],MATCH("T"&amp;TimeRemaining[#Headers],Upgrades[#Headers],0),FALSE),0)*MAX(0,SUM('Construction Dashboard'!$G28:J28)),0)</f>
        <v>0</v>
      </c>
      <c r="J78" s="61">
        <f ca="1">IF(VALUE(TimeRemaining[#Headers])&lt;='Construction Dashboard'!$F28,IFERROR(VLOOKUP(TimeRemaining[[#This Row],[Time]],Upgrades[],MATCH("T"&amp;TimeRemaining[#Headers],Upgrades[#Headers],0),FALSE),0)*MAX(0,SUM('Construction Dashboard'!$G28:K28)),0)</f>
        <v>0</v>
      </c>
      <c r="K78" s="61">
        <f ca="1">IF(VALUE(TimeRemaining[#Headers])&lt;='Construction Dashboard'!$F28,IFERROR(VLOOKUP(TimeRemaining[[#This Row],[Time]],Upgrades[],MATCH("T"&amp;TimeRemaining[#Headers],Upgrades[#Headers],0),FALSE),0)*MAX(0,SUM('Construction Dashboard'!$G28:L28)),0)</f>
        <v>0</v>
      </c>
      <c r="L78" s="61">
        <f ca="1">IF(VALUE(TimeRemaining[#Headers])&lt;='Construction Dashboard'!$F28,IFERROR(VLOOKUP(TimeRemaining[[#This Row],[Time]],Upgrades[],MATCH("T"&amp;TimeRemaining[#Headers],Upgrades[#Headers],0),FALSE),0)*MAX(0,SUM('Construction Dashboard'!$G28:M28)),0)</f>
        <v>0</v>
      </c>
      <c r="M78" s="61">
        <f ca="1">IF(VALUE(TimeRemaining[#Headers])&lt;='Construction Dashboard'!$F28,IFERROR(VLOOKUP(TimeRemaining[[#This Row],[Time]],Upgrades[],MATCH("T"&amp;TimeRemaining[#Headers],Upgrades[#Headers],0),FALSE),0)*MAX(0,SUM('Construction Dashboard'!$G28:N28)),0)</f>
        <v>0</v>
      </c>
      <c r="N78" s="61">
        <f ca="1">IF(VALUE(TimeRemaining[#Headers])&lt;='Construction Dashboard'!$F28,IFERROR(VLOOKUP(TimeRemaining[[#This Row],[Time]],Upgrades[],MATCH("T"&amp;TimeRemaining[#Headers],Upgrades[#Headers],0),FALSE),0)*MAX(0,SUM('Construction Dashboard'!$G28:O28)),0)</f>
        <v>0</v>
      </c>
      <c r="O78" s="61">
        <f ca="1">IF(VALUE(TimeRemaining[#Headers])&lt;='Construction Dashboard'!$F28,IFERROR(VLOOKUP(TimeRemaining[[#This Row],[Time]],Upgrades[],MATCH("T"&amp;TimeRemaining[#Headers],Upgrades[#Headers],0),FALSE),0)*MAX(0,SUM('Construction Dashboard'!$G28:P28)),0)</f>
        <v>0</v>
      </c>
      <c r="P78" s="61">
        <f ca="1">IF(VALUE(TimeRemaining[#Headers])&lt;='Construction Dashboard'!$F28,IFERROR(VLOOKUP(TimeRemaining[[#This Row],[Time]],Upgrades[],MATCH("T"&amp;TimeRemaining[#Headers],Upgrades[#Headers],0),FALSE),0)*MAX(0,SUM('Construction Dashboard'!$G28:Q28)),0)</f>
        <v>0</v>
      </c>
      <c r="Q78" s="61">
        <f ca="1">IF(VALUE(TimeRemaining[#Headers])&lt;='Construction Dashboard'!$F28,IFERROR(VLOOKUP(TimeRemaining[[#This Row],[Time]],Upgrades[],MATCH("T"&amp;TimeRemaining[#Headers],Upgrades[#Headers],0),FALSE),0)*MAX(0,SUM('Construction Dashboard'!$G28:R28)),0)</f>
        <v>0</v>
      </c>
      <c r="R78" s="61">
        <f ca="1">IF(TimeRemaining[[#This Row],[MatchStr]]="IGNORE",0,SUM(TimeRemaining[[#This Row],[1]:[12]]))</f>
        <v>0</v>
      </c>
    </row>
    <row r="79" spans="1:27">
      <c r="A79" s="11" t="s">
        <v>16</v>
      </c>
      <c r="B79" s="11" t="str">
        <f>VLOOKUP(TimeRemaining[[#This Row],[Time]],Upgrades[],MATCH("Kind",Upgrades[#Headers],0),FALSE)</f>
        <v>Building</v>
      </c>
      <c r="C79" s="11" t="str">
        <f>VLOOKUP(TimeRemaining[[#This Row],[Time]],Upgrades[],MATCH("Resource",Upgrades[#Headers],0),FALSE)</f>
        <v>Gold</v>
      </c>
      <c r="D79" s="131" t="str">
        <f>IF(COUNTIF(Skips,TimeRemaining[[#This Row],[Time]])&gt;0,"IGNORE",TimeRemaining[Kind]&amp;"-"&amp;TimeRemaining[Resource])</f>
        <v>Building-Gold</v>
      </c>
      <c r="E79" s="54" t="str">
        <f ca="1">IFERROR(VLOOKUP(TimeRemaining[[#This Row],[Time]],Upgrades[],MATCH("T"&amp;MATCH(TRUE,INDEX(TimeRemaining[[#This Row],[1]:[12]]&lt;&gt;0,),0),Upgrades[#Headers],0),FALSE),"")</f>
        <v/>
      </c>
      <c r="F79" s="61">
        <f ca="1">IF(VALUE(TimeRemaining[#Headers])&lt;='Construction Dashboard'!$F29,IFERROR(VLOOKUP(TimeRemaining[[#This Row],[Time]],Upgrades[],MATCH("T"&amp;TimeRemaining[#Headers],Upgrades[#Headers],0),FALSE),0)*MAX(0,SUM('Construction Dashboard'!$G29:G29)),0)</f>
        <v>0</v>
      </c>
      <c r="G79" s="61">
        <f ca="1">IF(VALUE(TimeRemaining[#Headers])&lt;='Construction Dashboard'!$F29,IFERROR(VLOOKUP(TimeRemaining[[#This Row],[Time]],Upgrades[],MATCH("T"&amp;TimeRemaining[#Headers],Upgrades[#Headers],0),FALSE),0)*MAX(0,SUM('Construction Dashboard'!$G29:H29)),0)</f>
        <v>0</v>
      </c>
      <c r="H79" s="61">
        <f ca="1">IF(VALUE(TimeRemaining[#Headers])&lt;='Construction Dashboard'!$F29,IFERROR(VLOOKUP(TimeRemaining[[#This Row],[Time]],Upgrades[],MATCH("T"&amp;TimeRemaining[#Headers],Upgrades[#Headers],0),FALSE),0)*MAX(0,SUM('Construction Dashboard'!$G29:I29)),0)</f>
        <v>0</v>
      </c>
      <c r="I79" s="61">
        <f ca="1">IF(VALUE(TimeRemaining[#Headers])&lt;='Construction Dashboard'!$F29,IFERROR(VLOOKUP(TimeRemaining[[#This Row],[Time]],Upgrades[],MATCH("T"&amp;TimeRemaining[#Headers],Upgrades[#Headers],0),FALSE),0)*MAX(0,SUM('Construction Dashboard'!$G29:J29)),0)</f>
        <v>0</v>
      </c>
      <c r="J79" s="61">
        <f ca="1">IF(VALUE(TimeRemaining[#Headers])&lt;='Construction Dashboard'!$F29,IFERROR(VLOOKUP(TimeRemaining[[#This Row],[Time]],Upgrades[],MATCH("T"&amp;TimeRemaining[#Headers],Upgrades[#Headers],0),FALSE),0)*MAX(0,SUM('Construction Dashboard'!$G29:K29)),0)</f>
        <v>0</v>
      </c>
      <c r="K79" s="61">
        <f ca="1">IF(VALUE(TimeRemaining[#Headers])&lt;='Construction Dashboard'!$F29,IFERROR(VLOOKUP(TimeRemaining[[#This Row],[Time]],Upgrades[],MATCH("T"&amp;TimeRemaining[#Headers],Upgrades[#Headers],0),FALSE),0)*MAX(0,SUM('Construction Dashboard'!$G29:L29)),0)</f>
        <v>0</v>
      </c>
      <c r="L79" s="61">
        <f ca="1">IF(VALUE(TimeRemaining[#Headers])&lt;='Construction Dashboard'!$F29,IFERROR(VLOOKUP(TimeRemaining[[#This Row],[Time]],Upgrades[],MATCH("T"&amp;TimeRemaining[#Headers],Upgrades[#Headers],0),FALSE),0)*MAX(0,SUM('Construction Dashboard'!$G29:M29)),0)</f>
        <v>0</v>
      </c>
      <c r="M79" s="61">
        <f ca="1">IF(VALUE(TimeRemaining[#Headers])&lt;='Construction Dashboard'!$F29,IFERROR(VLOOKUP(TimeRemaining[[#This Row],[Time]],Upgrades[],MATCH("T"&amp;TimeRemaining[#Headers],Upgrades[#Headers],0),FALSE),0)*MAX(0,SUM('Construction Dashboard'!$G29:N29)),0)</f>
        <v>0</v>
      </c>
      <c r="N79" s="61">
        <f ca="1">IF(VALUE(TimeRemaining[#Headers])&lt;='Construction Dashboard'!$F29,IFERROR(VLOOKUP(TimeRemaining[[#This Row],[Time]],Upgrades[],MATCH("T"&amp;TimeRemaining[#Headers],Upgrades[#Headers],0),FALSE),0)*MAX(0,SUM('Construction Dashboard'!$G29:O29)),0)</f>
        <v>0</v>
      </c>
      <c r="O79" s="61">
        <f ca="1">IF(VALUE(TimeRemaining[#Headers])&lt;='Construction Dashboard'!$F29,IFERROR(VLOOKUP(TimeRemaining[[#This Row],[Time]],Upgrades[],MATCH("T"&amp;TimeRemaining[#Headers],Upgrades[#Headers],0),FALSE),0)*MAX(0,SUM('Construction Dashboard'!$G29:P29)),0)</f>
        <v>0</v>
      </c>
      <c r="P79" s="61">
        <f ca="1">IF(VALUE(TimeRemaining[#Headers])&lt;='Construction Dashboard'!$F29,IFERROR(VLOOKUP(TimeRemaining[[#This Row],[Time]],Upgrades[],MATCH("T"&amp;TimeRemaining[#Headers],Upgrades[#Headers],0),FALSE),0)*MAX(0,SUM('Construction Dashboard'!$G29:Q29)),0)</f>
        <v>0</v>
      </c>
      <c r="Q79" s="61">
        <f ca="1">IF(VALUE(TimeRemaining[#Headers])&lt;='Construction Dashboard'!$F29,IFERROR(VLOOKUP(TimeRemaining[[#This Row],[Time]],Upgrades[],MATCH("T"&amp;TimeRemaining[#Headers],Upgrades[#Headers],0),FALSE),0)*MAX(0,SUM('Construction Dashboard'!$G29:R29)),0)</f>
        <v>0</v>
      </c>
      <c r="R79" s="61">
        <f ca="1">IF(TimeRemaining[[#This Row],[MatchStr]]="IGNORE",0,SUM(TimeRemaining[[#This Row],[1]:[12]]))</f>
        <v>0</v>
      </c>
    </row>
    <row r="80" spans="1:27">
      <c r="A80" s="11" t="s">
        <v>17</v>
      </c>
      <c r="B80" s="11" t="str">
        <f>VLOOKUP(TimeRemaining[[#This Row],[Time]],Upgrades[],MATCH("Kind",Upgrades[#Headers],0),FALSE)</f>
        <v>Building</v>
      </c>
      <c r="C80" s="11" t="str">
        <f>VLOOKUP(TimeRemaining[[#This Row],[Time]],Upgrades[],MATCH("Resource",Upgrades[#Headers],0),FALSE)</f>
        <v>Elixir</v>
      </c>
      <c r="D80" s="131" t="str">
        <f>IF(COUNTIF(Skips,TimeRemaining[[#This Row],[Time]])&gt;0,"IGNORE",TimeRemaining[Kind]&amp;"-"&amp;TimeRemaining[Resource])</f>
        <v>Building-Elixir</v>
      </c>
      <c r="E80" s="54" t="str">
        <f ca="1">IFERROR(VLOOKUP(TimeRemaining[[#This Row],[Time]],Upgrades[],MATCH("T"&amp;MATCH(TRUE,INDEX(TimeRemaining[[#This Row],[1]:[12]]&lt;&gt;0,),0),Upgrades[#Headers],0),FALSE),"")</f>
        <v/>
      </c>
      <c r="F80" s="61">
        <f ca="1">IF(VALUE(TimeRemaining[#Headers])&lt;='Construction Dashboard'!$F30,IFERROR(VLOOKUP(TimeRemaining[[#This Row],[Time]],Upgrades[],MATCH("T"&amp;TimeRemaining[#Headers],Upgrades[#Headers],0),FALSE),0)*MAX(0,SUM('Construction Dashboard'!$G30:G30)),0)</f>
        <v>0</v>
      </c>
      <c r="G80" s="61">
        <f ca="1">IF(VALUE(TimeRemaining[#Headers])&lt;='Construction Dashboard'!$F30,IFERROR(VLOOKUP(TimeRemaining[[#This Row],[Time]],Upgrades[],MATCH("T"&amp;TimeRemaining[#Headers],Upgrades[#Headers],0),FALSE),0)*MAX(0,SUM('Construction Dashboard'!$G30:H30)),0)</f>
        <v>0</v>
      </c>
      <c r="H80" s="61">
        <f ca="1">IF(VALUE(TimeRemaining[#Headers])&lt;='Construction Dashboard'!$F30,IFERROR(VLOOKUP(TimeRemaining[[#This Row],[Time]],Upgrades[],MATCH("T"&amp;TimeRemaining[#Headers],Upgrades[#Headers],0),FALSE),0)*MAX(0,SUM('Construction Dashboard'!$G30:I30)),0)</f>
        <v>0</v>
      </c>
      <c r="I80" s="61">
        <f ca="1">IF(VALUE(TimeRemaining[#Headers])&lt;='Construction Dashboard'!$F30,IFERROR(VLOOKUP(TimeRemaining[[#This Row],[Time]],Upgrades[],MATCH("T"&amp;TimeRemaining[#Headers],Upgrades[#Headers],0),FALSE),0)*MAX(0,SUM('Construction Dashboard'!$G30:J30)),0)</f>
        <v>0</v>
      </c>
      <c r="J80" s="61">
        <f ca="1">IF(VALUE(TimeRemaining[#Headers])&lt;='Construction Dashboard'!$F30,IFERROR(VLOOKUP(TimeRemaining[[#This Row],[Time]],Upgrades[],MATCH("T"&amp;TimeRemaining[#Headers],Upgrades[#Headers],0),FALSE),0)*MAX(0,SUM('Construction Dashboard'!$G30:K30)),0)</f>
        <v>0</v>
      </c>
      <c r="K80" s="61">
        <f ca="1">IF(VALUE(TimeRemaining[#Headers])&lt;='Construction Dashboard'!$F30,IFERROR(VLOOKUP(TimeRemaining[[#This Row],[Time]],Upgrades[],MATCH("T"&amp;TimeRemaining[#Headers],Upgrades[#Headers],0),FALSE),0)*MAX(0,SUM('Construction Dashboard'!$G30:L30)),0)</f>
        <v>0</v>
      </c>
      <c r="L80" s="61">
        <f ca="1">IF(VALUE(TimeRemaining[#Headers])&lt;='Construction Dashboard'!$F30,IFERROR(VLOOKUP(TimeRemaining[[#This Row],[Time]],Upgrades[],MATCH("T"&amp;TimeRemaining[#Headers],Upgrades[#Headers],0),FALSE),0)*MAX(0,SUM('Construction Dashboard'!$G30:M30)),0)</f>
        <v>0</v>
      </c>
      <c r="M80" s="61">
        <f ca="1">IF(VALUE(TimeRemaining[#Headers])&lt;='Construction Dashboard'!$F30,IFERROR(VLOOKUP(TimeRemaining[[#This Row],[Time]],Upgrades[],MATCH("T"&amp;TimeRemaining[#Headers],Upgrades[#Headers],0),FALSE),0)*MAX(0,SUM('Construction Dashboard'!$G30:N30)),0)</f>
        <v>0</v>
      </c>
      <c r="N80" s="61">
        <f ca="1">IF(VALUE(TimeRemaining[#Headers])&lt;='Construction Dashboard'!$F30,IFERROR(VLOOKUP(TimeRemaining[[#This Row],[Time]],Upgrades[],MATCH("T"&amp;TimeRemaining[#Headers],Upgrades[#Headers],0),FALSE),0)*MAX(0,SUM('Construction Dashboard'!$G30:O30)),0)</f>
        <v>0</v>
      </c>
      <c r="O80" s="61">
        <f ca="1">IF(VALUE(TimeRemaining[#Headers])&lt;='Construction Dashboard'!$F30,IFERROR(VLOOKUP(TimeRemaining[[#This Row],[Time]],Upgrades[],MATCH("T"&amp;TimeRemaining[#Headers],Upgrades[#Headers],0),FALSE),0)*MAX(0,SUM('Construction Dashboard'!$G30:P30)),0)</f>
        <v>0</v>
      </c>
      <c r="P80" s="61">
        <f ca="1">IF(VALUE(TimeRemaining[#Headers])&lt;='Construction Dashboard'!$F30,IFERROR(VLOOKUP(TimeRemaining[[#This Row],[Time]],Upgrades[],MATCH("T"&amp;TimeRemaining[#Headers],Upgrades[#Headers],0),FALSE),0)*MAX(0,SUM('Construction Dashboard'!$G30:Q30)),0)</f>
        <v>0</v>
      </c>
      <c r="Q80" s="61">
        <f ca="1">IF(VALUE(TimeRemaining[#Headers])&lt;='Construction Dashboard'!$F30,IFERROR(VLOOKUP(TimeRemaining[[#This Row],[Time]],Upgrades[],MATCH("T"&amp;TimeRemaining[#Headers],Upgrades[#Headers],0),FALSE),0)*MAX(0,SUM('Construction Dashboard'!$G30:R30)),0)</f>
        <v>0</v>
      </c>
      <c r="R80" s="61">
        <f ca="1">IF(TimeRemaining[[#This Row],[MatchStr]]="IGNORE",0,SUM(TimeRemaining[[#This Row],[1]:[12]]))</f>
        <v>0</v>
      </c>
    </row>
    <row r="81" spans="1:18">
      <c r="A81" s="11" t="s">
        <v>3</v>
      </c>
      <c r="B81" s="11" t="str">
        <f>VLOOKUP(TimeRemaining[[#This Row],[Time]],Upgrades[],MATCH("Kind",Upgrades[#Headers],0),FALSE)</f>
        <v>Building</v>
      </c>
      <c r="C81" s="11" t="str">
        <f>VLOOKUP(TimeRemaining[[#This Row],[Time]],Upgrades[],MATCH("Resource",Upgrades[#Headers],0),FALSE)</f>
        <v>Elixir</v>
      </c>
      <c r="D81" s="131" t="str">
        <f>IF(COUNTIF(Skips,TimeRemaining[[#This Row],[Time]])&gt;0,"IGNORE",TimeRemaining[Kind]&amp;"-"&amp;TimeRemaining[Resource])</f>
        <v>Building-Elixir</v>
      </c>
      <c r="E81" s="54" t="str">
        <f ca="1">IFERROR(VLOOKUP(TimeRemaining[[#This Row],[Time]],Upgrades[],MATCH("T"&amp;MATCH(TRUE,INDEX(TimeRemaining[[#This Row],[1]:[12]]&lt;&gt;0,),0),Upgrades[#Headers],0),FALSE),"")</f>
        <v/>
      </c>
      <c r="F81" s="61">
        <f ca="1">IF(VALUE(TimeRemaining[#Headers])&lt;='Construction Dashboard'!$F31,IFERROR(VLOOKUP(TimeRemaining[[#This Row],[Time]],Upgrades[],MATCH("T"&amp;TimeRemaining[#Headers],Upgrades[#Headers],0),FALSE),0)*MAX(0,SUM('Construction Dashboard'!$G31:G31)),0)</f>
        <v>0</v>
      </c>
      <c r="G81" s="61">
        <f ca="1">IF(VALUE(TimeRemaining[#Headers])&lt;='Construction Dashboard'!$F31,IFERROR(VLOOKUP(TimeRemaining[[#This Row],[Time]],Upgrades[],MATCH("T"&amp;TimeRemaining[#Headers],Upgrades[#Headers],0),FALSE),0)*MAX(0,SUM('Construction Dashboard'!$G31:H31)),0)</f>
        <v>0</v>
      </c>
      <c r="H81" s="61">
        <f ca="1">IF(VALUE(TimeRemaining[#Headers])&lt;='Construction Dashboard'!$F31,IFERROR(VLOOKUP(TimeRemaining[[#This Row],[Time]],Upgrades[],MATCH("T"&amp;TimeRemaining[#Headers],Upgrades[#Headers],0),FALSE),0)*MAX(0,SUM('Construction Dashboard'!$G31:I31)),0)</f>
        <v>0</v>
      </c>
      <c r="I81" s="61">
        <f ca="1">IF(VALUE(TimeRemaining[#Headers])&lt;='Construction Dashboard'!$F31,IFERROR(VLOOKUP(TimeRemaining[[#This Row],[Time]],Upgrades[],MATCH("T"&amp;TimeRemaining[#Headers],Upgrades[#Headers],0),FALSE),0)*MAX(0,SUM('Construction Dashboard'!$G31:J31)),0)</f>
        <v>0</v>
      </c>
      <c r="J81" s="61">
        <f ca="1">IF(VALUE(TimeRemaining[#Headers])&lt;='Construction Dashboard'!$F31,IFERROR(VLOOKUP(TimeRemaining[[#This Row],[Time]],Upgrades[],MATCH("T"&amp;TimeRemaining[#Headers],Upgrades[#Headers],0),FALSE),0)*MAX(0,SUM('Construction Dashboard'!$G31:K31)),0)</f>
        <v>0</v>
      </c>
      <c r="K81" s="61">
        <f ca="1">IF(VALUE(TimeRemaining[#Headers])&lt;='Construction Dashboard'!$F31,IFERROR(VLOOKUP(TimeRemaining[[#This Row],[Time]],Upgrades[],MATCH("T"&amp;TimeRemaining[#Headers],Upgrades[#Headers],0),FALSE),0)*MAX(0,SUM('Construction Dashboard'!$G31:L31)),0)</f>
        <v>0</v>
      </c>
      <c r="L81" s="61">
        <f ca="1">IF(VALUE(TimeRemaining[#Headers])&lt;='Construction Dashboard'!$F31,IFERROR(VLOOKUP(TimeRemaining[[#This Row],[Time]],Upgrades[],MATCH("T"&amp;TimeRemaining[#Headers],Upgrades[#Headers],0),FALSE),0)*MAX(0,SUM('Construction Dashboard'!$G31:M31)),0)</f>
        <v>0</v>
      </c>
      <c r="M81" s="61">
        <f ca="1">IF(VALUE(TimeRemaining[#Headers])&lt;='Construction Dashboard'!$F31,IFERROR(VLOOKUP(TimeRemaining[[#This Row],[Time]],Upgrades[],MATCH("T"&amp;TimeRemaining[#Headers],Upgrades[#Headers],0),FALSE),0)*MAX(0,SUM('Construction Dashboard'!$G31:N31)),0)</f>
        <v>0</v>
      </c>
      <c r="N81" s="61">
        <f ca="1">IF(VALUE(TimeRemaining[#Headers])&lt;='Construction Dashboard'!$F31,IFERROR(VLOOKUP(TimeRemaining[[#This Row],[Time]],Upgrades[],MATCH("T"&amp;TimeRemaining[#Headers],Upgrades[#Headers],0),FALSE),0)*MAX(0,SUM('Construction Dashboard'!$G31:O31)),0)</f>
        <v>0</v>
      </c>
      <c r="O81" s="61">
        <f ca="1">IF(VALUE(TimeRemaining[#Headers])&lt;='Construction Dashboard'!$F31,IFERROR(VLOOKUP(TimeRemaining[[#This Row],[Time]],Upgrades[],MATCH("T"&amp;TimeRemaining[#Headers],Upgrades[#Headers],0),FALSE),0)*MAX(0,SUM('Construction Dashboard'!$G31:P31)),0)</f>
        <v>0</v>
      </c>
      <c r="P81" s="61">
        <f ca="1">IF(VALUE(TimeRemaining[#Headers])&lt;='Construction Dashboard'!$F31,IFERROR(VLOOKUP(TimeRemaining[[#This Row],[Time]],Upgrades[],MATCH("T"&amp;TimeRemaining[#Headers],Upgrades[#Headers],0),FALSE),0)*MAX(0,SUM('Construction Dashboard'!$G31:Q31)),0)</f>
        <v>0</v>
      </c>
      <c r="Q81" s="61">
        <f ca="1">IF(VALUE(TimeRemaining[#Headers])&lt;='Construction Dashboard'!$F31,IFERROR(VLOOKUP(TimeRemaining[[#This Row],[Time]],Upgrades[],MATCH("T"&amp;TimeRemaining[#Headers],Upgrades[#Headers],0),FALSE),0)*MAX(0,SUM('Construction Dashboard'!$G31:R31)),0)</f>
        <v>0</v>
      </c>
      <c r="R81" s="61">
        <f ca="1">IF(TimeRemaining[[#This Row],[MatchStr]]="IGNORE",0,SUM(TimeRemaining[[#This Row],[1]:[12]]))</f>
        <v>0</v>
      </c>
    </row>
    <row r="82" spans="1:18">
      <c r="A82" s="11" t="s">
        <v>4</v>
      </c>
      <c r="B82" s="11" t="str">
        <f>VLOOKUP(TimeRemaining[[#This Row],[Time]],Upgrades[],MATCH("Kind",Upgrades[#Headers],0),FALSE)</f>
        <v>Building</v>
      </c>
      <c r="C82" s="11" t="str">
        <f>VLOOKUP(TimeRemaining[[#This Row],[Time]],Upgrades[],MATCH("Resource",Upgrades[#Headers],0),FALSE)</f>
        <v>Gold</v>
      </c>
      <c r="D82" s="131" t="str">
        <f>IF(COUNTIF(Skips,TimeRemaining[[#This Row],[Time]])&gt;0,"IGNORE",TimeRemaining[Kind]&amp;"-"&amp;TimeRemaining[Resource])</f>
        <v>Building-Gold</v>
      </c>
      <c r="E82" s="54" t="str">
        <f ca="1">IFERROR(VLOOKUP(TimeRemaining[[#This Row],[Time]],Upgrades[],MATCH("T"&amp;MATCH(TRUE,INDEX(TimeRemaining[[#This Row],[1]:[12]]&lt;&gt;0,),0),Upgrades[#Headers],0),FALSE),"")</f>
        <v/>
      </c>
      <c r="F82" s="61">
        <f ca="1">IF(VALUE(TimeRemaining[#Headers])&lt;='Construction Dashboard'!$F32,IFERROR(VLOOKUP(TimeRemaining[[#This Row],[Time]],Upgrades[],MATCH("T"&amp;TimeRemaining[#Headers],Upgrades[#Headers],0),FALSE),0)*MAX(0,SUM('Construction Dashboard'!$G32:G32)),0)</f>
        <v>0</v>
      </c>
      <c r="G82" s="61">
        <f ca="1">IF(VALUE(TimeRemaining[#Headers])&lt;='Construction Dashboard'!$F32,IFERROR(VLOOKUP(TimeRemaining[[#This Row],[Time]],Upgrades[],MATCH("T"&amp;TimeRemaining[#Headers],Upgrades[#Headers],0),FALSE),0)*MAX(0,SUM('Construction Dashboard'!$G32:H32)),0)</f>
        <v>0</v>
      </c>
      <c r="H82" s="61">
        <f ca="1">IF(VALUE(TimeRemaining[#Headers])&lt;='Construction Dashboard'!$F32,IFERROR(VLOOKUP(TimeRemaining[[#This Row],[Time]],Upgrades[],MATCH("T"&amp;TimeRemaining[#Headers],Upgrades[#Headers],0),FALSE),0)*MAX(0,SUM('Construction Dashboard'!$G32:I32)),0)</f>
        <v>0</v>
      </c>
      <c r="I82" s="61">
        <f ca="1">IF(VALUE(TimeRemaining[#Headers])&lt;='Construction Dashboard'!$F32,IFERROR(VLOOKUP(TimeRemaining[[#This Row],[Time]],Upgrades[],MATCH("T"&amp;TimeRemaining[#Headers],Upgrades[#Headers],0),FALSE),0)*MAX(0,SUM('Construction Dashboard'!$G32:J32)),0)</f>
        <v>0</v>
      </c>
      <c r="J82" s="61">
        <f ca="1">IF(VALUE(TimeRemaining[#Headers])&lt;='Construction Dashboard'!$F32,IFERROR(VLOOKUP(TimeRemaining[[#This Row],[Time]],Upgrades[],MATCH("T"&amp;TimeRemaining[#Headers],Upgrades[#Headers],0),FALSE),0)*MAX(0,SUM('Construction Dashboard'!$G32:K32)),0)</f>
        <v>0</v>
      </c>
      <c r="K82" s="61">
        <f ca="1">IF(VALUE(TimeRemaining[#Headers])&lt;='Construction Dashboard'!$F32,IFERROR(VLOOKUP(TimeRemaining[[#This Row],[Time]],Upgrades[],MATCH("T"&amp;TimeRemaining[#Headers],Upgrades[#Headers],0),FALSE),0)*MAX(0,SUM('Construction Dashboard'!$G32:L32)),0)</f>
        <v>0</v>
      </c>
      <c r="L82" s="61">
        <f ca="1">IF(VALUE(TimeRemaining[#Headers])&lt;='Construction Dashboard'!$F32,IFERROR(VLOOKUP(TimeRemaining[[#This Row],[Time]],Upgrades[],MATCH("T"&amp;TimeRemaining[#Headers],Upgrades[#Headers],0),FALSE),0)*MAX(0,SUM('Construction Dashboard'!$G32:M32)),0)</f>
        <v>0</v>
      </c>
      <c r="M82" s="61">
        <f ca="1">IF(VALUE(TimeRemaining[#Headers])&lt;='Construction Dashboard'!$F32,IFERROR(VLOOKUP(TimeRemaining[[#This Row],[Time]],Upgrades[],MATCH("T"&amp;TimeRemaining[#Headers],Upgrades[#Headers],0),FALSE),0)*MAX(0,SUM('Construction Dashboard'!$G32:N32)),0)</f>
        <v>0</v>
      </c>
      <c r="N82" s="61">
        <f ca="1">IF(VALUE(TimeRemaining[#Headers])&lt;='Construction Dashboard'!$F32,IFERROR(VLOOKUP(TimeRemaining[[#This Row],[Time]],Upgrades[],MATCH("T"&amp;TimeRemaining[#Headers],Upgrades[#Headers],0),FALSE),0)*MAX(0,SUM('Construction Dashboard'!$G32:O32)),0)</f>
        <v>0</v>
      </c>
      <c r="O82" s="61">
        <f ca="1">IF(VALUE(TimeRemaining[#Headers])&lt;='Construction Dashboard'!$F32,IFERROR(VLOOKUP(TimeRemaining[[#This Row],[Time]],Upgrades[],MATCH("T"&amp;TimeRemaining[#Headers],Upgrades[#Headers],0),FALSE),0)*MAX(0,SUM('Construction Dashboard'!$G32:P32)),0)</f>
        <v>0</v>
      </c>
      <c r="P82" s="61">
        <f ca="1">IF(VALUE(TimeRemaining[#Headers])&lt;='Construction Dashboard'!$F32,IFERROR(VLOOKUP(TimeRemaining[[#This Row],[Time]],Upgrades[],MATCH("T"&amp;TimeRemaining[#Headers],Upgrades[#Headers],0),FALSE),0)*MAX(0,SUM('Construction Dashboard'!$G32:Q32)),0)</f>
        <v>0</v>
      </c>
      <c r="Q82" s="61">
        <f ca="1">IF(VALUE(TimeRemaining[#Headers])&lt;='Construction Dashboard'!$F32,IFERROR(VLOOKUP(TimeRemaining[[#This Row],[Time]],Upgrades[],MATCH("T"&amp;TimeRemaining[#Headers],Upgrades[#Headers],0),FALSE),0)*MAX(0,SUM('Construction Dashboard'!$G32:R32)),0)</f>
        <v>0</v>
      </c>
      <c r="R82" s="61">
        <f ca="1">IF(TimeRemaining[[#This Row],[MatchStr]]="IGNORE",0,SUM(TimeRemaining[[#This Row],[1]:[12]]))</f>
        <v>0</v>
      </c>
    </row>
    <row r="83" spans="1:18">
      <c r="A83" s="11" t="s">
        <v>18</v>
      </c>
      <c r="B83" s="11" t="str">
        <f>VLOOKUP(TimeRemaining[[#This Row],[Time]],Upgrades[],MATCH("Kind",Upgrades[#Headers],0),FALSE)</f>
        <v>Building</v>
      </c>
      <c r="C83" s="11" t="str">
        <f>VLOOKUP(TimeRemaining[[#This Row],[Time]],Upgrades[],MATCH("Resource",Upgrades[#Headers],0),FALSE)</f>
        <v>Elixir</v>
      </c>
      <c r="D83" s="131" t="str">
        <f>IF(COUNTIF(Skips,TimeRemaining[[#This Row],[Time]])&gt;0,"IGNORE",TimeRemaining[Kind]&amp;"-"&amp;TimeRemaining[Resource])</f>
        <v>IGNORE</v>
      </c>
      <c r="E83" s="54">
        <f ca="1">IFERROR(VLOOKUP(TimeRemaining[[#This Row],[Time]],Upgrades[],MATCH("T"&amp;MATCH(TRUE,INDEX(TimeRemaining[[#This Row],[1]:[12]]&lt;&gt;0,),0),Upgrades[#Headers],0),FALSE),"")</f>
        <v>2</v>
      </c>
      <c r="F83" s="61">
        <f ca="1">IF(VALUE(TimeRemaining[#Headers])&lt;='Construction Dashboard'!$F33,IFERROR(VLOOKUP(TimeRemaining[[#This Row],[Time]],Upgrades[],MATCH("T"&amp;TimeRemaining[#Headers],Upgrades[#Headers],0),FALSE),0)*MAX(0,SUM('Construction Dashboard'!$G33:G33)),0)</f>
        <v>0</v>
      </c>
      <c r="G83" s="61">
        <f ca="1">IF(VALUE(TimeRemaining[#Headers])&lt;='Construction Dashboard'!$F33,IFERROR(VLOOKUP(TimeRemaining[[#This Row],[Time]],Upgrades[],MATCH("T"&amp;TimeRemaining[#Headers],Upgrades[#Headers],0),FALSE),0)*MAX(0,SUM('Construction Dashboard'!$G33:H33)),0)</f>
        <v>2</v>
      </c>
      <c r="H83" s="61">
        <f ca="1">IF(VALUE(TimeRemaining[#Headers])&lt;='Construction Dashboard'!$F33,IFERROR(VLOOKUP(TimeRemaining[[#This Row],[Time]],Upgrades[],MATCH("T"&amp;TimeRemaining[#Headers],Upgrades[#Headers],0),FALSE),0)*MAX(0,SUM('Construction Dashboard'!$G33:I33)),0)</f>
        <v>0</v>
      </c>
      <c r="I83" s="61">
        <f ca="1">IF(VALUE(TimeRemaining[#Headers])&lt;='Construction Dashboard'!$F33,IFERROR(VLOOKUP(TimeRemaining[[#This Row],[Time]],Upgrades[],MATCH("T"&amp;TimeRemaining[#Headers],Upgrades[#Headers],0),FALSE),0)*MAX(0,SUM('Construction Dashboard'!$G33:J33)),0)</f>
        <v>0</v>
      </c>
      <c r="J83" s="61">
        <f ca="1">IF(VALUE(TimeRemaining[#Headers])&lt;='Construction Dashboard'!$F33,IFERROR(VLOOKUP(TimeRemaining[[#This Row],[Time]],Upgrades[],MATCH("T"&amp;TimeRemaining[#Headers],Upgrades[#Headers],0),FALSE),0)*MAX(0,SUM('Construction Dashboard'!$G33:K33)),0)</f>
        <v>0</v>
      </c>
      <c r="K83" s="61">
        <f ca="1">IF(VALUE(TimeRemaining[#Headers])&lt;='Construction Dashboard'!$F33,IFERROR(VLOOKUP(TimeRemaining[[#This Row],[Time]],Upgrades[],MATCH("T"&amp;TimeRemaining[#Headers],Upgrades[#Headers],0),FALSE),0)*MAX(0,SUM('Construction Dashboard'!$G33:L33)),0)</f>
        <v>0</v>
      </c>
      <c r="L83" s="61">
        <f ca="1">IF(VALUE(TimeRemaining[#Headers])&lt;='Construction Dashboard'!$F33,IFERROR(VLOOKUP(TimeRemaining[[#This Row],[Time]],Upgrades[],MATCH("T"&amp;TimeRemaining[#Headers],Upgrades[#Headers],0),FALSE),0)*MAX(0,SUM('Construction Dashboard'!$G33:M33)),0)</f>
        <v>0</v>
      </c>
      <c r="M83" s="61">
        <f ca="1">IF(VALUE(TimeRemaining[#Headers])&lt;='Construction Dashboard'!$F33,IFERROR(VLOOKUP(TimeRemaining[[#This Row],[Time]],Upgrades[],MATCH("T"&amp;TimeRemaining[#Headers],Upgrades[#Headers],0),FALSE),0)*MAX(0,SUM('Construction Dashboard'!$G33:N33)),0)</f>
        <v>0</v>
      </c>
      <c r="N83" s="61">
        <f ca="1">IF(VALUE(TimeRemaining[#Headers])&lt;='Construction Dashboard'!$F33,IFERROR(VLOOKUP(TimeRemaining[[#This Row],[Time]],Upgrades[],MATCH("T"&amp;TimeRemaining[#Headers],Upgrades[#Headers],0),FALSE),0)*MAX(0,SUM('Construction Dashboard'!$G33:O33)),0)</f>
        <v>0</v>
      </c>
      <c r="O83" s="61">
        <f ca="1">IF(VALUE(TimeRemaining[#Headers])&lt;='Construction Dashboard'!$F33,IFERROR(VLOOKUP(TimeRemaining[[#This Row],[Time]],Upgrades[],MATCH("T"&amp;TimeRemaining[#Headers],Upgrades[#Headers],0),FALSE),0)*MAX(0,SUM('Construction Dashboard'!$G33:P33)),0)</f>
        <v>0</v>
      </c>
      <c r="P83" s="61">
        <f ca="1">IF(VALUE(TimeRemaining[#Headers])&lt;='Construction Dashboard'!$F33,IFERROR(VLOOKUP(TimeRemaining[[#This Row],[Time]],Upgrades[],MATCH("T"&amp;TimeRemaining[#Headers],Upgrades[#Headers],0),FALSE),0)*MAX(0,SUM('Construction Dashboard'!$G33:Q33)),0)</f>
        <v>0</v>
      </c>
      <c r="Q83" s="61">
        <f ca="1">IF(VALUE(TimeRemaining[#Headers])&lt;='Construction Dashboard'!$F33,IFERROR(VLOOKUP(TimeRemaining[[#This Row],[Time]],Upgrades[],MATCH("T"&amp;TimeRemaining[#Headers],Upgrades[#Headers],0),FALSE),0)*MAX(0,SUM('Construction Dashboard'!$G33:R33)),0)</f>
        <v>0</v>
      </c>
      <c r="R83" s="61">
        <f>IF(TimeRemaining[[#This Row],[MatchStr]]="IGNORE",0,SUM(TimeRemaining[[#This Row],[1]:[12]]))</f>
        <v>0</v>
      </c>
    </row>
    <row r="84" spans="1:18">
      <c r="A84" s="11" t="s">
        <v>19</v>
      </c>
      <c r="B84" s="11" t="str">
        <f>VLOOKUP(TimeRemaining[[#This Row],[Time]],Upgrades[],MATCH("Kind",Upgrades[#Headers],0),FALSE)</f>
        <v>Building</v>
      </c>
      <c r="C84" s="11" t="str">
        <f>VLOOKUP(TimeRemaining[[#This Row],[Time]],Upgrades[],MATCH("Resource",Upgrades[#Headers],0),FALSE)</f>
        <v>Elixir</v>
      </c>
      <c r="D84" s="131" t="str">
        <f>IF(COUNTIF(Skips,TimeRemaining[[#This Row],[Time]])&gt;0,"IGNORE",TimeRemaining[Kind]&amp;"-"&amp;TimeRemaining[Resource])</f>
        <v>Building-Elixir</v>
      </c>
      <c r="E84" s="54">
        <f ca="1">IFERROR(VLOOKUP(TimeRemaining[[#This Row],[Time]],Upgrades[],MATCH("T"&amp;MATCH(TRUE,INDEX(TimeRemaining[[#This Row],[1]:[12]]&lt;&gt;0,),0),Upgrades[#Headers],0),FALSE),"")</f>
        <v>5</v>
      </c>
      <c r="F84" s="61">
        <f ca="1">IF(VALUE(TimeRemaining[#Headers])&lt;='Construction Dashboard'!$F34,IFERROR(VLOOKUP(TimeRemaining[[#This Row],[Time]],Upgrades[],MATCH("T"&amp;TimeRemaining[#Headers],Upgrades[#Headers],0),FALSE),0)*MAX(0,SUM('Construction Dashboard'!$G34:G34)),0)</f>
        <v>0</v>
      </c>
      <c r="G84" s="61">
        <f ca="1">IF(VALUE(TimeRemaining[#Headers])&lt;='Construction Dashboard'!$F34,IFERROR(VLOOKUP(TimeRemaining[[#This Row],[Time]],Upgrades[],MATCH("T"&amp;TimeRemaining[#Headers],Upgrades[#Headers],0),FALSE),0)*MAX(0,SUM('Construction Dashboard'!$G34:H34)),0)</f>
        <v>5</v>
      </c>
      <c r="H84" s="61">
        <f ca="1">IF(VALUE(TimeRemaining[#Headers])&lt;='Construction Dashboard'!$F34,IFERROR(VLOOKUP(TimeRemaining[[#This Row],[Time]],Upgrades[],MATCH("T"&amp;TimeRemaining[#Headers],Upgrades[#Headers],0),FALSE),0)*MAX(0,SUM('Construction Dashboard'!$G34:I34)),0)</f>
        <v>0</v>
      </c>
      <c r="I84" s="61">
        <f ca="1">IF(VALUE(TimeRemaining[#Headers])&lt;='Construction Dashboard'!$F34,IFERROR(VLOOKUP(TimeRemaining[[#This Row],[Time]],Upgrades[],MATCH("T"&amp;TimeRemaining[#Headers],Upgrades[#Headers],0),FALSE),0)*MAX(0,SUM('Construction Dashboard'!$G34:J34)),0)</f>
        <v>0</v>
      </c>
      <c r="J84" s="61">
        <f ca="1">IF(VALUE(TimeRemaining[#Headers])&lt;='Construction Dashboard'!$F34,IFERROR(VLOOKUP(TimeRemaining[[#This Row],[Time]],Upgrades[],MATCH("T"&amp;TimeRemaining[#Headers],Upgrades[#Headers],0),FALSE),0)*MAX(0,SUM('Construction Dashboard'!$G34:K34)),0)</f>
        <v>0</v>
      </c>
      <c r="K84" s="61">
        <f ca="1">IF(VALUE(TimeRemaining[#Headers])&lt;='Construction Dashboard'!$F34,IFERROR(VLOOKUP(TimeRemaining[[#This Row],[Time]],Upgrades[],MATCH("T"&amp;TimeRemaining[#Headers],Upgrades[#Headers],0),FALSE),0)*MAX(0,SUM('Construction Dashboard'!$G34:L34)),0)</f>
        <v>0</v>
      </c>
      <c r="L84" s="61">
        <f ca="1">IF(VALUE(TimeRemaining[#Headers])&lt;='Construction Dashboard'!$F34,IFERROR(VLOOKUP(TimeRemaining[[#This Row],[Time]],Upgrades[],MATCH("T"&amp;TimeRemaining[#Headers],Upgrades[#Headers],0),FALSE),0)*MAX(0,SUM('Construction Dashboard'!$G34:M34)),0)</f>
        <v>0</v>
      </c>
      <c r="M84" s="61">
        <f ca="1">IF(VALUE(TimeRemaining[#Headers])&lt;='Construction Dashboard'!$F34,IFERROR(VLOOKUP(TimeRemaining[[#This Row],[Time]],Upgrades[],MATCH("T"&amp;TimeRemaining[#Headers],Upgrades[#Headers],0),FALSE),0)*MAX(0,SUM('Construction Dashboard'!$G34:N34)),0)</f>
        <v>0</v>
      </c>
      <c r="N84" s="61">
        <f ca="1">IF(VALUE(TimeRemaining[#Headers])&lt;='Construction Dashboard'!$F34,IFERROR(VLOOKUP(TimeRemaining[[#This Row],[Time]],Upgrades[],MATCH("T"&amp;TimeRemaining[#Headers],Upgrades[#Headers],0),FALSE),0)*MAX(0,SUM('Construction Dashboard'!$G34:O34)),0)</f>
        <v>0</v>
      </c>
      <c r="O84" s="61">
        <f ca="1">IF(VALUE(TimeRemaining[#Headers])&lt;='Construction Dashboard'!$F34,IFERROR(VLOOKUP(TimeRemaining[[#This Row],[Time]],Upgrades[],MATCH("T"&amp;TimeRemaining[#Headers],Upgrades[#Headers],0),FALSE),0)*MAX(0,SUM('Construction Dashboard'!$G34:P34)),0)</f>
        <v>0</v>
      </c>
      <c r="P84" s="61">
        <f ca="1">IF(VALUE(TimeRemaining[#Headers])&lt;='Construction Dashboard'!$F34,IFERROR(VLOOKUP(TimeRemaining[[#This Row],[Time]],Upgrades[],MATCH("T"&amp;TimeRemaining[#Headers],Upgrades[#Headers],0),FALSE),0)*MAX(0,SUM('Construction Dashboard'!$G34:Q34)),0)</f>
        <v>0</v>
      </c>
      <c r="Q84" s="61">
        <f ca="1">IF(VALUE(TimeRemaining[#Headers])&lt;='Construction Dashboard'!$F34,IFERROR(VLOOKUP(TimeRemaining[[#This Row],[Time]],Upgrades[],MATCH("T"&amp;TimeRemaining[#Headers],Upgrades[#Headers],0),FALSE),0)*MAX(0,SUM('Construction Dashboard'!$G34:R34)),0)</f>
        <v>0</v>
      </c>
      <c r="R84" s="61">
        <f ca="1">IF(TimeRemaining[[#This Row],[MatchStr]]="IGNORE",0,SUM(TimeRemaining[[#This Row],[1]:[12]]))</f>
        <v>5</v>
      </c>
    </row>
    <row r="85" spans="1:18">
      <c r="A85" s="11" t="s">
        <v>21</v>
      </c>
      <c r="B85" s="11" t="str">
        <f>VLOOKUP(TimeRemaining[[#This Row],[Time]],Upgrades[],MATCH("Kind",Upgrades[#Headers],0),FALSE)</f>
        <v>Building</v>
      </c>
      <c r="C85" s="11" t="str">
        <f>VLOOKUP(TimeRemaining[[#This Row],[Time]],Upgrades[],MATCH("Resource",Upgrades[#Headers],0),FALSE)</f>
        <v>Elixir</v>
      </c>
      <c r="D85" s="131" t="str">
        <f>IF(COUNTIF(Skips,TimeRemaining[[#This Row],[Time]])&gt;0,"IGNORE",TimeRemaining[Kind]&amp;"-"&amp;TimeRemaining[Resource])</f>
        <v>Building-Elixir</v>
      </c>
      <c r="E85" s="54" t="str">
        <f ca="1">IFERROR(VLOOKUP(TimeRemaining[[#This Row],[Time]],Upgrades[],MATCH("T"&amp;MATCH(TRUE,INDEX(TimeRemaining[[#This Row],[1]:[12]]&lt;&gt;0,),0),Upgrades[#Headers],0),FALSE),"")</f>
        <v/>
      </c>
      <c r="F85" s="61">
        <f ca="1">IF(VALUE(TimeRemaining[#Headers])&lt;='Construction Dashboard'!$F35,IFERROR(VLOOKUP(TimeRemaining[[#This Row],[Time]],Upgrades[],MATCH("T"&amp;TimeRemaining[#Headers],Upgrades[#Headers],0),FALSE),0)*MAX(0,SUM('Construction Dashboard'!$G35:G35)),0)</f>
        <v>0</v>
      </c>
      <c r="G85" s="61">
        <f ca="1">IF(VALUE(TimeRemaining[#Headers])&lt;='Construction Dashboard'!$F35,IFERROR(VLOOKUP(TimeRemaining[[#This Row],[Time]],Upgrades[],MATCH("T"&amp;TimeRemaining[#Headers],Upgrades[#Headers],0),FALSE),0)*MAX(0,SUM('Construction Dashboard'!$G35:H35)),0)</f>
        <v>0</v>
      </c>
      <c r="H85" s="61">
        <f ca="1">IF(VALUE(TimeRemaining[#Headers])&lt;='Construction Dashboard'!$F35,IFERROR(VLOOKUP(TimeRemaining[[#This Row],[Time]],Upgrades[],MATCH("T"&amp;TimeRemaining[#Headers],Upgrades[#Headers],0),FALSE),0)*MAX(0,SUM('Construction Dashboard'!$G35:I35)),0)</f>
        <v>0</v>
      </c>
      <c r="I85" s="61">
        <f ca="1">IF(VALUE(TimeRemaining[#Headers])&lt;='Construction Dashboard'!$F35,IFERROR(VLOOKUP(TimeRemaining[[#This Row],[Time]],Upgrades[],MATCH("T"&amp;TimeRemaining[#Headers],Upgrades[#Headers],0),FALSE),0)*MAX(0,SUM('Construction Dashboard'!$G35:J35)),0)</f>
        <v>0</v>
      </c>
      <c r="J85" s="61">
        <f ca="1">IF(VALUE(TimeRemaining[#Headers])&lt;='Construction Dashboard'!$F35,IFERROR(VLOOKUP(TimeRemaining[[#This Row],[Time]],Upgrades[],MATCH("T"&amp;TimeRemaining[#Headers],Upgrades[#Headers],0),FALSE),0)*MAX(0,SUM('Construction Dashboard'!$G35:K35)),0)</f>
        <v>0</v>
      </c>
      <c r="K85" s="61">
        <f ca="1">IF(VALUE(TimeRemaining[#Headers])&lt;='Construction Dashboard'!$F35,IFERROR(VLOOKUP(TimeRemaining[[#This Row],[Time]],Upgrades[],MATCH("T"&amp;TimeRemaining[#Headers],Upgrades[#Headers],0),FALSE),0)*MAX(0,SUM('Construction Dashboard'!$G35:L35)),0)</f>
        <v>0</v>
      </c>
      <c r="L85" s="61">
        <f ca="1">IF(VALUE(TimeRemaining[#Headers])&lt;='Construction Dashboard'!$F35,IFERROR(VLOOKUP(TimeRemaining[[#This Row],[Time]],Upgrades[],MATCH("T"&amp;TimeRemaining[#Headers],Upgrades[#Headers],0),FALSE),0)*MAX(0,SUM('Construction Dashboard'!$G35:M35)),0)</f>
        <v>0</v>
      </c>
      <c r="M85" s="61">
        <f ca="1">IF(VALUE(TimeRemaining[#Headers])&lt;='Construction Dashboard'!$F35,IFERROR(VLOOKUP(TimeRemaining[[#This Row],[Time]],Upgrades[],MATCH("T"&amp;TimeRemaining[#Headers],Upgrades[#Headers],0),FALSE),0)*MAX(0,SUM('Construction Dashboard'!$G35:N35)),0)</f>
        <v>0</v>
      </c>
      <c r="N85" s="61">
        <f ca="1">IF(VALUE(TimeRemaining[#Headers])&lt;='Construction Dashboard'!$F35,IFERROR(VLOOKUP(TimeRemaining[[#This Row],[Time]],Upgrades[],MATCH("T"&amp;TimeRemaining[#Headers],Upgrades[#Headers],0),FALSE),0)*MAX(0,SUM('Construction Dashboard'!$G35:O35)),0)</f>
        <v>0</v>
      </c>
      <c r="O85" s="61">
        <f ca="1">IF(VALUE(TimeRemaining[#Headers])&lt;='Construction Dashboard'!$F35,IFERROR(VLOOKUP(TimeRemaining[[#This Row],[Time]],Upgrades[],MATCH("T"&amp;TimeRemaining[#Headers],Upgrades[#Headers],0),FALSE),0)*MAX(0,SUM('Construction Dashboard'!$G35:P35)),0)</f>
        <v>0</v>
      </c>
      <c r="P85" s="61">
        <f ca="1">IF(VALUE(TimeRemaining[#Headers])&lt;='Construction Dashboard'!$F35,IFERROR(VLOOKUP(TimeRemaining[[#This Row],[Time]],Upgrades[],MATCH("T"&amp;TimeRemaining[#Headers],Upgrades[#Headers],0),FALSE),0)*MAX(0,SUM('Construction Dashboard'!$G35:Q35)),0)</f>
        <v>0</v>
      </c>
      <c r="Q85" s="61">
        <f ca="1">IF(VALUE(TimeRemaining[#Headers])&lt;='Construction Dashboard'!$F35,IFERROR(VLOOKUP(TimeRemaining[[#This Row],[Time]],Upgrades[],MATCH("T"&amp;TimeRemaining[#Headers],Upgrades[#Headers],0),FALSE),0)*MAX(0,SUM('Construction Dashboard'!$G35:R35)),0)</f>
        <v>0</v>
      </c>
      <c r="R85" s="61">
        <f ca="1">IF(TimeRemaining[[#This Row],[MatchStr]]="IGNORE",0,SUM(TimeRemaining[[#This Row],[1]:[12]]))</f>
        <v>0</v>
      </c>
    </row>
    <row r="86" spans="1:18">
      <c r="A86" s="11" t="s">
        <v>5</v>
      </c>
      <c r="B86" s="11" t="str">
        <f>VLOOKUP(TimeRemaining[[#This Row],[Time]],Upgrades[],MATCH("Kind",Upgrades[#Headers],0),FALSE)</f>
        <v>Building</v>
      </c>
      <c r="C86" s="11" t="str">
        <f>VLOOKUP(TimeRemaining[[#This Row],[Time]],Upgrades[],MATCH("Resource",Upgrades[#Headers],0),FALSE)</f>
        <v>Gold</v>
      </c>
      <c r="D86" s="131" t="str">
        <f>IF(COUNTIF(Skips,TimeRemaining[[#This Row],[Time]])&gt;0,"IGNORE",TimeRemaining[Kind]&amp;"-"&amp;TimeRemaining[Resource])</f>
        <v>Building-Gold</v>
      </c>
      <c r="E86" s="54" t="str">
        <f ca="1">IFERROR(VLOOKUP(TimeRemaining[[#This Row],[Time]],Upgrades[],MATCH("T"&amp;MATCH(TRUE,INDEX(TimeRemaining[[#This Row],[1]:[12]]&lt;&gt;0,),0),Upgrades[#Headers],0),FALSE),"")</f>
        <v/>
      </c>
      <c r="F86" s="61">
        <f ca="1">IF(VALUE(TimeRemaining[#Headers])&lt;='Construction Dashboard'!$F36,IFERROR(VLOOKUP(TimeRemaining[[#This Row],[Time]],Upgrades[],MATCH("T"&amp;TimeRemaining[#Headers],Upgrades[#Headers],0),FALSE),0)*MAX(0,SUM('Construction Dashboard'!$G36:G36)),0)</f>
        <v>0</v>
      </c>
      <c r="G86" s="61">
        <f ca="1">IF(VALUE(TimeRemaining[#Headers])&lt;='Construction Dashboard'!$F36,IFERROR(VLOOKUP(TimeRemaining[[#This Row],[Time]],Upgrades[],MATCH("T"&amp;TimeRemaining[#Headers],Upgrades[#Headers],0),FALSE),0)*MAX(0,SUM('Construction Dashboard'!$G36:H36)),0)</f>
        <v>0</v>
      </c>
      <c r="H86" s="61">
        <f ca="1">IF(VALUE(TimeRemaining[#Headers])&lt;='Construction Dashboard'!$F36,IFERROR(VLOOKUP(TimeRemaining[[#This Row],[Time]],Upgrades[],MATCH("T"&amp;TimeRemaining[#Headers],Upgrades[#Headers],0),FALSE),0)*MAX(0,SUM('Construction Dashboard'!$G36:I36)),0)</f>
        <v>0</v>
      </c>
      <c r="I86" s="61">
        <f ca="1">IF(VALUE(TimeRemaining[#Headers])&lt;='Construction Dashboard'!$F36,IFERROR(VLOOKUP(TimeRemaining[[#This Row],[Time]],Upgrades[],MATCH("T"&amp;TimeRemaining[#Headers],Upgrades[#Headers],0),FALSE),0)*MAX(0,SUM('Construction Dashboard'!$G36:J36)),0)</f>
        <v>0</v>
      </c>
      <c r="J86" s="61">
        <f ca="1">IF(VALUE(TimeRemaining[#Headers])&lt;='Construction Dashboard'!$F36,IFERROR(VLOOKUP(TimeRemaining[[#This Row],[Time]],Upgrades[],MATCH("T"&amp;TimeRemaining[#Headers],Upgrades[#Headers],0),FALSE),0)*MAX(0,SUM('Construction Dashboard'!$G36:K36)),0)</f>
        <v>0</v>
      </c>
      <c r="K86" s="61">
        <f ca="1">IF(VALUE(TimeRemaining[#Headers])&lt;='Construction Dashboard'!$F36,IFERROR(VLOOKUP(TimeRemaining[[#This Row],[Time]],Upgrades[],MATCH("T"&amp;TimeRemaining[#Headers],Upgrades[#Headers],0),FALSE),0)*MAX(0,SUM('Construction Dashboard'!$G36:L36)),0)</f>
        <v>0</v>
      </c>
      <c r="L86" s="61">
        <f ca="1">IF(VALUE(TimeRemaining[#Headers])&lt;='Construction Dashboard'!$F36,IFERROR(VLOOKUP(TimeRemaining[[#This Row],[Time]],Upgrades[],MATCH("T"&amp;TimeRemaining[#Headers],Upgrades[#Headers],0),FALSE),0)*MAX(0,SUM('Construction Dashboard'!$G36:M36)),0)</f>
        <v>0</v>
      </c>
      <c r="M86" s="61">
        <f ca="1">IF(VALUE(TimeRemaining[#Headers])&lt;='Construction Dashboard'!$F36,IFERROR(VLOOKUP(TimeRemaining[[#This Row],[Time]],Upgrades[],MATCH("T"&amp;TimeRemaining[#Headers],Upgrades[#Headers],0),FALSE),0)*MAX(0,SUM('Construction Dashboard'!$G36:N36)),0)</f>
        <v>0</v>
      </c>
      <c r="N86" s="61">
        <f ca="1">IF(VALUE(TimeRemaining[#Headers])&lt;='Construction Dashboard'!$F36,IFERROR(VLOOKUP(TimeRemaining[[#This Row],[Time]],Upgrades[],MATCH("T"&amp;TimeRemaining[#Headers],Upgrades[#Headers],0),FALSE),0)*MAX(0,SUM('Construction Dashboard'!$G36:O36)),0)</f>
        <v>0</v>
      </c>
      <c r="O86" s="61">
        <f ca="1">IF(VALUE(TimeRemaining[#Headers])&lt;='Construction Dashboard'!$F36,IFERROR(VLOOKUP(TimeRemaining[[#This Row],[Time]],Upgrades[],MATCH("T"&amp;TimeRemaining[#Headers],Upgrades[#Headers],0),FALSE),0)*MAX(0,SUM('Construction Dashboard'!$G36:P36)),0)</f>
        <v>0</v>
      </c>
      <c r="P86" s="61">
        <f ca="1">IF(VALUE(TimeRemaining[#Headers])&lt;='Construction Dashboard'!$F36,IFERROR(VLOOKUP(TimeRemaining[[#This Row],[Time]],Upgrades[],MATCH("T"&amp;TimeRemaining[#Headers],Upgrades[#Headers],0),FALSE),0)*MAX(0,SUM('Construction Dashboard'!$G36:Q36)),0)</f>
        <v>0</v>
      </c>
      <c r="Q86" s="61">
        <f ca="1">IF(VALUE(TimeRemaining[#Headers])&lt;='Construction Dashboard'!$F36,IFERROR(VLOOKUP(TimeRemaining[[#This Row],[Time]],Upgrades[],MATCH("T"&amp;TimeRemaining[#Headers],Upgrades[#Headers],0),FALSE),0)*MAX(0,SUM('Construction Dashboard'!$G36:R36)),0)</f>
        <v>0</v>
      </c>
      <c r="R86" s="61">
        <f ca="1">IF(TimeRemaining[[#This Row],[MatchStr]]="IGNORE",0,SUM(TimeRemaining[[#This Row],[1]:[12]]))</f>
        <v>0</v>
      </c>
    </row>
    <row r="87" spans="1:18">
      <c r="A87" s="11" t="s">
        <v>6</v>
      </c>
      <c r="B87" s="11" t="str">
        <f>VLOOKUP(TimeRemaining[[#This Row],[Time]],Upgrades[],MATCH("Kind",Upgrades[#Headers],0),FALSE)</f>
        <v>Building</v>
      </c>
      <c r="C87" s="11" t="str">
        <f>VLOOKUP(TimeRemaining[[#This Row],[Time]],Upgrades[],MATCH("Resource",Upgrades[#Headers],0),FALSE)</f>
        <v>Gold</v>
      </c>
      <c r="D87" s="131" t="str">
        <f>IF(COUNTIF(Skips,TimeRemaining[[#This Row],[Time]])&gt;0,"IGNORE",TimeRemaining[Kind]&amp;"-"&amp;TimeRemaining[Resource])</f>
        <v>Building-Gold</v>
      </c>
      <c r="E87" s="54" t="str">
        <f ca="1">IFERROR(VLOOKUP(TimeRemaining[[#This Row],[Time]],Upgrades[],MATCH("T"&amp;MATCH(TRUE,INDEX(TimeRemaining[[#This Row],[1]:[12]]&lt;&gt;0,),0),Upgrades[#Headers],0),FALSE),"")</f>
        <v/>
      </c>
      <c r="F87" s="61">
        <f ca="1">IF(VALUE(TimeRemaining[#Headers])&lt;='Construction Dashboard'!$F37,IFERROR(VLOOKUP(TimeRemaining[[#This Row],[Time]],Upgrades[],MATCH("T"&amp;TimeRemaining[#Headers],Upgrades[#Headers],0),FALSE),0)*MAX(0,SUM('Construction Dashboard'!$G37:G37)),0)</f>
        <v>0</v>
      </c>
      <c r="G87" s="61">
        <f ca="1">IF(VALUE(TimeRemaining[#Headers])&lt;='Construction Dashboard'!$F37,IFERROR(VLOOKUP(TimeRemaining[[#This Row],[Time]],Upgrades[],MATCH("T"&amp;TimeRemaining[#Headers],Upgrades[#Headers],0),FALSE),0)*MAX(0,SUM('Construction Dashboard'!$G37:H37)),0)</f>
        <v>0</v>
      </c>
      <c r="H87" s="61">
        <f ca="1">IF(VALUE(TimeRemaining[#Headers])&lt;='Construction Dashboard'!$F37,IFERROR(VLOOKUP(TimeRemaining[[#This Row],[Time]],Upgrades[],MATCH("T"&amp;TimeRemaining[#Headers],Upgrades[#Headers],0),FALSE),0)*MAX(0,SUM('Construction Dashboard'!$G37:I37)),0)</f>
        <v>0</v>
      </c>
      <c r="I87" s="61">
        <f ca="1">IF(VALUE(TimeRemaining[#Headers])&lt;='Construction Dashboard'!$F37,IFERROR(VLOOKUP(TimeRemaining[[#This Row],[Time]],Upgrades[],MATCH("T"&amp;TimeRemaining[#Headers],Upgrades[#Headers],0),FALSE),0)*MAX(0,SUM('Construction Dashboard'!$G37:J37)),0)</f>
        <v>0</v>
      </c>
      <c r="J87" s="61">
        <f ca="1">IF(VALUE(TimeRemaining[#Headers])&lt;='Construction Dashboard'!$F37,IFERROR(VLOOKUP(TimeRemaining[[#This Row],[Time]],Upgrades[],MATCH("T"&amp;TimeRemaining[#Headers],Upgrades[#Headers],0),FALSE),0)*MAX(0,SUM('Construction Dashboard'!$G37:K37)),0)</f>
        <v>0</v>
      </c>
      <c r="K87" s="61">
        <f ca="1">IF(VALUE(TimeRemaining[#Headers])&lt;='Construction Dashboard'!$F37,IFERROR(VLOOKUP(TimeRemaining[[#This Row],[Time]],Upgrades[],MATCH("T"&amp;TimeRemaining[#Headers],Upgrades[#Headers],0),FALSE),0)*MAX(0,SUM('Construction Dashboard'!$G37:L37)),0)</f>
        <v>0</v>
      </c>
      <c r="L87" s="61">
        <f ca="1">IF(VALUE(TimeRemaining[#Headers])&lt;='Construction Dashboard'!$F37,IFERROR(VLOOKUP(TimeRemaining[[#This Row],[Time]],Upgrades[],MATCH("T"&amp;TimeRemaining[#Headers],Upgrades[#Headers],0),FALSE),0)*MAX(0,SUM('Construction Dashboard'!$G37:M37)),0)</f>
        <v>0</v>
      </c>
      <c r="M87" s="61">
        <f ca="1">IF(VALUE(TimeRemaining[#Headers])&lt;='Construction Dashboard'!$F37,IFERROR(VLOOKUP(TimeRemaining[[#This Row],[Time]],Upgrades[],MATCH("T"&amp;TimeRemaining[#Headers],Upgrades[#Headers],0),FALSE),0)*MAX(0,SUM('Construction Dashboard'!$G37:N37)),0)</f>
        <v>0</v>
      </c>
      <c r="N87" s="61">
        <f ca="1">IF(VALUE(TimeRemaining[#Headers])&lt;='Construction Dashboard'!$F37,IFERROR(VLOOKUP(TimeRemaining[[#This Row],[Time]],Upgrades[],MATCH("T"&amp;TimeRemaining[#Headers],Upgrades[#Headers],0),FALSE),0)*MAX(0,SUM('Construction Dashboard'!$G37:O37)),0)</f>
        <v>0</v>
      </c>
      <c r="O87" s="61">
        <f ca="1">IF(VALUE(TimeRemaining[#Headers])&lt;='Construction Dashboard'!$F37,IFERROR(VLOOKUP(TimeRemaining[[#This Row],[Time]],Upgrades[],MATCH("T"&amp;TimeRemaining[#Headers],Upgrades[#Headers],0),FALSE),0)*MAX(0,SUM('Construction Dashboard'!$G37:P37)),0)</f>
        <v>0</v>
      </c>
      <c r="P87" s="61">
        <f ca="1">IF(VALUE(TimeRemaining[#Headers])&lt;='Construction Dashboard'!$F37,IFERROR(VLOOKUP(TimeRemaining[[#This Row],[Time]],Upgrades[],MATCH("T"&amp;TimeRemaining[#Headers],Upgrades[#Headers],0),FALSE),0)*MAX(0,SUM('Construction Dashboard'!$G37:Q37)),0)</f>
        <v>0</v>
      </c>
      <c r="Q87" s="61">
        <f ca="1">IF(VALUE(TimeRemaining[#Headers])&lt;='Construction Dashboard'!$F37,IFERROR(VLOOKUP(TimeRemaining[[#This Row],[Time]],Upgrades[],MATCH("T"&amp;TimeRemaining[#Headers],Upgrades[#Headers],0),FALSE),0)*MAX(0,SUM('Construction Dashboard'!$G37:R37)),0)</f>
        <v>0</v>
      </c>
      <c r="R87" s="61">
        <f ca="1">IF(TimeRemaining[[#This Row],[MatchStr]]="IGNORE",0,SUM(TimeRemaining[[#This Row],[1]:[12]]))</f>
        <v>0</v>
      </c>
    </row>
    <row r="88" spans="1:18">
      <c r="A88" s="11" t="s">
        <v>22</v>
      </c>
      <c r="B88" s="11" t="str">
        <f>VLOOKUP(TimeRemaining[[#This Row],[Time]],Upgrades[],MATCH("Kind",Upgrades[#Headers],0),FALSE)</f>
        <v>Building</v>
      </c>
      <c r="C88" s="11" t="str">
        <f>VLOOKUP(TimeRemaining[[#This Row],[Time]],Upgrades[],MATCH("Resource",Upgrades[#Headers],0),FALSE)</f>
        <v>Gold</v>
      </c>
      <c r="D88" s="131" t="str">
        <f>IF(COUNTIF(Skips,TimeRemaining[[#This Row],[Time]])&gt;0,"IGNORE",TimeRemaining[Kind]&amp;"-"&amp;TimeRemaining[Resource])</f>
        <v>Building-Gold</v>
      </c>
      <c r="E88" s="54" t="str">
        <f ca="1">IFERROR(VLOOKUP(TimeRemaining[[#This Row],[Time]],Upgrades[],MATCH("T"&amp;MATCH(TRUE,INDEX(TimeRemaining[[#This Row],[1]:[12]]&lt;&gt;0,),0),Upgrades[#Headers],0),FALSE),"")</f>
        <v/>
      </c>
      <c r="F88" s="61">
        <f ca="1">IF(VALUE(TimeRemaining[#Headers])&lt;='Construction Dashboard'!$F38,IFERROR(VLOOKUP(TimeRemaining[[#This Row],[Time]],Upgrades[],MATCH("T"&amp;TimeRemaining[#Headers],Upgrades[#Headers],0),FALSE),0)*MAX(0,SUM('Construction Dashboard'!$G38:G38)),0)</f>
        <v>0</v>
      </c>
      <c r="G88" s="61">
        <f ca="1">IF(VALUE(TimeRemaining[#Headers])&lt;='Construction Dashboard'!$F38,IFERROR(VLOOKUP(TimeRemaining[[#This Row],[Time]],Upgrades[],MATCH("T"&amp;TimeRemaining[#Headers],Upgrades[#Headers],0),FALSE),0)*MAX(0,SUM('Construction Dashboard'!$G38:H38)),0)</f>
        <v>0</v>
      </c>
      <c r="H88" s="61">
        <f ca="1">IF(VALUE(TimeRemaining[#Headers])&lt;='Construction Dashboard'!$F38,IFERROR(VLOOKUP(TimeRemaining[[#This Row],[Time]],Upgrades[],MATCH("T"&amp;TimeRemaining[#Headers],Upgrades[#Headers],0),FALSE),0)*MAX(0,SUM('Construction Dashboard'!$G38:I38)),0)</f>
        <v>0</v>
      </c>
      <c r="I88" s="61">
        <f ca="1">IF(VALUE(TimeRemaining[#Headers])&lt;='Construction Dashboard'!$F38,IFERROR(VLOOKUP(TimeRemaining[[#This Row],[Time]],Upgrades[],MATCH("T"&amp;TimeRemaining[#Headers],Upgrades[#Headers],0),FALSE),0)*MAX(0,SUM('Construction Dashboard'!$G38:J38)),0)</f>
        <v>0</v>
      </c>
      <c r="J88" s="61">
        <f ca="1">IF(VALUE(TimeRemaining[#Headers])&lt;='Construction Dashboard'!$F38,IFERROR(VLOOKUP(TimeRemaining[[#This Row],[Time]],Upgrades[],MATCH("T"&amp;TimeRemaining[#Headers],Upgrades[#Headers],0),FALSE),0)*MAX(0,SUM('Construction Dashboard'!$G38:K38)),0)</f>
        <v>0</v>
      </c>
      <c r="K88" s="61">
        <f ca="1">IF(VALUE(TimeRemaining[#Headers])&lt;='Construction Dashboard'!$F38,IFERROR(VLOOKUP(TimeRemaining[[#This Row],[Time]],Upgrades[],MATCH("T"&amp;TimeRemaining[#Headers],Upgrades[#Headers],0),FALSE),0)*MAX(0,SUM('Construction Dashboard'!$G38:L38)),0)</f>
        <v>0</v>
      </c>
      <c r="L88" s="61">
        <f ca="1">IF(VALUE(TimeRemaining[#Headers])&lt;='Construction Dashboard'!$F38,IFERROR(VLOOKUP(TimeRemaining[[#This Row],[Time]],Upgrades[],MATCH("T"&amp;TimeRemaining[#Headers],Upgrades[#Headers],0),FALSE),0)*MAX(0,SUM('Construction Dashboard'!$G38:M38)),0)</f>
        <v>0</v>
      </c>
      <c r="M88" s="61">
        <f ca="1">IF(VALUE(TimeRemaining[#Headers])&lt;='Construction Dashboard'!$F38,IFERROR(VLOOKUP(TimeRemaining[[#This Row],[Time]],Upgrades[],MATCH("T"&amp;TimeRemaining[#Headers],Upgrades[#Headers],0),FALSE),0)*MAX(0,SUM('Construction Dashboard'!$G38:N38)),0)</f>
        <v>0</v>
      </c>
      <c r="N88" s="61">
        <f ca="1">IF(VALUE(TimeRemaining[#Headers])&lt;='Construction Dashboard'!$F38,IFERROR(VLOOKUP(TimeRemaining[[#This Row],[Time]],Upgrades[],MATCH("T"&amp;TimeRemaining[#Headers],Upgrades[#Headers],0),FALSE),0)*MAX(0,SUM('Construction Dashboard'!$G38:O38)),0)</f>
        <v>0</v>
      </c>
      <c r="O88" s="61">
        <f ca="1">IF(VALUE(TimeRemaining[#Headers])&lt;='Construction Dashboard'!$F38,IFERROR(VLOOKUP(TimeRemaining[[#This Row],[Time]],Upgrades[],MATCH("T"&amp;TimeRemaining[#Headers],Upgrades[#Headers],0),FALSE),0)*MAX(0,SUM('Construction Dashboard'!$G38:P38)),0)</f>
        <v>0</v>
      </c>
      <c r="P88" s="61">
        <f ca="1">IF(VALUE(TimeRemaining[#Headers])&lt;='Construction Dashboard'!$F38,IFERROR(VLOOKUP(TimeRemaining[[#This Row],[Time]],Upgrades[],MATCH("T"&amp;TimeRemaining[#Headers],Upgrades[#Headers],0),FALSE),0)*MAX(0,SUM('Construction Dashboard'!$G38:Q38)),0)</f>
        <v>0</v>
      </c>
      <c r="Q88" s="61">
        <f ca="1">IF(VALUE(TimeRemaining[#Headers])&lt;='Construction Dashboard'!$F38,IFERROR(VLOOKUP(TimeRemaining[[#This Row],[Time]],Upgrades[],MATCH("T"&amp;TimeRemaining[#Headers],Upgrades[#Headers],0),FALSE),0)*MAX(0,SUM('Construction Dashboard'!$G38:R38)),0)</f>
        <v>0</v>
      </c>
      <c r="R88" s="61">
        <f ca="1">IF(TimeRemaining[[#This Row],[MatchStr]]="IGNORE",0,SUM(TimeRemaining[[#This Row],[1]:[12]]))</f>
        <v>0</v>
      </c>
    </row>
    <row r="89" spans="1:18">
      <c r="A89" s="11" t="s">
        <v>23</v>
      </c>
      <c r="B89" s="11" t="str">
        <f>VLOOKUP(TimeRemaining[[#This Row],[Time]],Upgrades[],MATCH("Kind",Upgrades[#Headers],0),FALSE)</f>
        <v>Wall</v>
      </c>
      <c r="C89" s="11" t="str">
        <f>VLOOKUP(TimeRemaining[[#This Row],[Time]],Upgrades[],MATCH("Resource",Upgrades[#Headers],0),FALSE)</f>
        <v>Gold</v>
      </c>
      <c r="D89" s="131" t="str">
        <f>IF(COUNTIF(Skips,TimeRemaining[[#This Row],[Time]])&gt;0,"IGNORE",TimeRemaining[Kind]&amp;"-"&amp;TimeRemaining[Resource])</f>
        <v>Wall-Gold</v>
      </c>
      <c r="E89" s="54" t="str">
        <f ca="1">IFERROR(VLOOKUP(TimeRemaining[[#This Row],[Time]],Upgrades[],MATCH("T"&amp;MATCH(TRUE,INDEX(TimeRemaining[[#This Row],[1]:[12]]&lt;&gt;0,),0),Upgrades[#Headers],0),FALSE),"")</f>
        <v/>
      </c>
      <c r="F89" s="61">
        <f ca="1">IF(VALUE(TimeRemaining[#Headers])&lt;='Construction Dashboard'!$F39,IFERROR(VLOOKUP(TimeRemaining[[#This Row],[Time]],Upgrades[],MATCH("T"&amp;TimeRemaining[#Headers],Upgrades[#Headers],0),FALSE),0)*MAX(0,SUM('Construction Dashboard'!$G39:G39)),0)</f>
        <v>0</v>
      </c>
      <c r="G89" s="61">
        <f ca="1">IF(VALUE(TimeRemaining[#Headers])&lt;='Construction Dashboard'!$F39,IFERROR(VLOOKUP(TimeRemaining[[#This Row],[Time]],Upgrades[],MATCH("T"&amp;TimeRemaining[#Headers],Upgrades[#Headers],0),FALSE),0)*MAX(0,SUM('Construction Dashboard'!$G39:H39)),0)</f>
        <v>0</v>
      </c>
      <c r="H89" s="61">
        <f ca="1">IF(VALUE(TimeRemaining[#Headers])&lt;='Construction Dashboard'!$F39,IFERROR(VLOOKUP(TimeRemaining[[#This Row],[Time]],Upgrades[],MATCH("T"&amp;TimeRemaining[#Headers],Upgrades[#Headers],0),FALSE),0)*MAX(0,SUM('Construction Dashboard'!$G39:I39)),0)</f>
        <v>0</v>
      </c>
      <c r="I89" s="61">
        <f ca="1">IF(VALUE(TimeRemaining[#Headers])&lt;='Construction Dashboard'!$F39,IFERROR(VLOOKUP(TimeRemaining[[#This Row],[Time]],Upgrades[],MATCH("T"&amp;TimeRemaining[#Headers],Upgrades[#Headers],0),FALSE),0)*MAX(0,SUM('Construction Dashboard'!$G39:J39)),0)</f>
        <v>0</v>
      </c>
      <c r="J89" s="61">
        <f ca="1">IF(VALUE(TimeRemaining[#Headers])&lt;='Construction Dashboard'!$F39,IFERROR(VLOOKUP(TimeRemaining[[#This Row],[Time]],Upgrades[],MATCH("T"&amp;TimeRemaining[#Headers],Upgrades[#Headers],0),FALSE),0)*MAX(0,SUM('Construction Dashboard'!$G39:K39)),0)</f>
        <v>0</v>
      </c>
      <c r="K89" s="61">
        <f ca="1">IF(VALUE(TimeRemaining[#Headers])&lt;='Construction Dashboard'!$F39,IFERROR(VLOOKUP(TimeRemaining[[#This Row],[Time]],Upgrades[],MATCH("T"&amp;TimeRemaining[#Headers],Upgrades[#Headers],0),FALSE),0)*MAX(0,SUM('Construction Dashboard'!$G39:L39)),0)</f>
        <v>0</v>
      </c>
      <c r="L89" s="61">
        <f ca="1">IF(VALUE(TimeRemaining[#Headers])&lt;='Construction Dashboard'!$F39,IFERROR(VLOOKUP(TimeRemaining[[#This Row],[Time]],Upgrades[],MATCH("T"&amp;TimeRemaining[#Headers],Upgrades[#Headers],0),FALSE),0)*MAX(0,SUM('Construction Dashboard'!$G39:M39)),0)</f>
        <v>0</v>
      </c>
      <c r="M89" s="61">
        <f ca="1">IF(VALUE(TimeRemaining[#Headers])&lt;='Construction Dashboard'!$F39,IFERROR(VLOOKUP(TimeRemaining[[#This Row],[Time]],Upgrades[],MATCH("T"&amp;TimeRemaining[#Headers],Upgrades[#Headers],0),FALSE),0)*MAX(0,SUM('Construction Dashboard'!$G39:N39)),0)</f>
        <v>0</v>
      </c>
      <c r="N89" s="61">
        <f ca="1">IF(VALUE(TimeRemaining[#Headers])&lt;='Construction Dashboard'!$F39,IFERROR(VLOOKUP(TimeRemaining[[#This Row],[Time]],Upgrades[],MATCH("T"&amp;TimeRemaining[#Headers],Upgrades[#Headers],0),FALSE),0)*MAX(0,SUM('Construction Dashboard'!$G39:O39)),0)</f>
        <v>0</v>
      </c>
      <c r="O89" s="61">
        <f ca="1">IF(VALUE(TimeRemaining[#Headers])&lt;='Construction Dashboard'!$F39,IFERROR(VLOOKUP(TimeRemaining[[#This Row],[Time]],Upgrades[],MATCH("T"&amp;TimeRemaining[#Headers],Upgrades[#Headers],0),FALSE),0)*MAX(0,SUM('Construction Dashboard'!$G39:P39)),0)</f>
        <v>0</v>
      </c>
      <c r="P89" s="61">
        <f ca="1">IF(VALUE(TimeRemaining[#Headers])&lt;='Construction Dashboard'!$F39,IFERROR(VLOOKUP(TimeRemaining[[#This Row],[Time]],Upgrades[],MATCH("T"&amp;TimeRemaining[#Headers],Upgrades[#Headers],0),FALSE),0)*MAX(0,SUM('Construction Dashboard'!$G39:Q39)),0)</f>
        <v>0</v>
      </c>
      <c r="Q89" s="61">
        <f ca="1">IF(VALUE(TimeRemaining[#Headers])&lt;='Construction Dashboard'!$F39,IFERROR(VLOOKUP(TimeRemaining[[#This Row],[Time]],Upgrades[],MATCH("T"&amp;TimeRemaining[#Headers],Upgrades[#Headers],0),FALSE),0)*MAX(0,SUM('Construction Dashboard'!$G39:R39)),0)</f>
        <v>0</v>
      </c>
      <c r="R89" s="61">
        <f ca="1">IF(TimeRemaining[[#This Row],[MatchStr]]="IGNORE",0,SUM(TimeRemaining[[#This Row],[1]:[12]]))</f>
        <v>0</v>
      </c>
    </row>
    <row r="90" spans="1:18">
      <c r="A90" s="11" t="s">
        <v>7</v>
      </c>
      <c r="B90" s="11" t="str">
        <f>VLOOKUP(TimeRemaining[[#This Row],[Time]],Upgrades[],MATCH("Kind",Upgrades[#Headers],0),FALSE)</f>
        <v>Building</v>
      </c>
      <c r="C90" s="11" t="str">
        <f>VLOOKUP(TimeRemaining[[#This Row],[Time]],Upgrades[],MATCH("Resource",Upgrades[#Headers],0),FALSE)</f>
        <v>Gold</v>
      </c>
      <c r="D90" s="131" t="str">
        <f>IF(COUNTIF(Skips,TimeRemaining[[#This Row],[Time]])&gt;0,"IGNORE",TimeRemaining[Kind]&amp;"-"&amp;TimeRemaining[Resource])</f>
        <v>Building-Gold</v>
      </c>
      <c r="E90" s="54" t="str">
        <f ca="1">IFERROR(VLOOKUP(TimeRemaining[[#This Row],[Time]],Upgrades[],MATCH("T"&amp;MATCH(TRUE,INDEX(TimeRemaining[[#This Row],[1]:[12]]&lt;&gt;0,),0),Upgrades[#Headers],0),FALSE),"")</f>
        <v/>
      </c>
      <c r="F90" s="61">
        <f ca="1">IF(VALUE(TimeRemaining[#Headers])&lt;='Construction Dashboard'!$F40,IFERROR(VLOOKUP(TimeRemaining[[#This Row],[Time]],Upgrades[],MATCH("T"&amp;TimeRemaining[#Headers],Upgrades[#Headers],0),FALSE),0)*MAX(0,SUM('Construction Dashboard'!$G40:G40)),0)</f>
        <v>0</v>
      </c>
      <c r="G90" s="61">
        <f ca="1">IF(VALUE(TimeRemaining[#Headers])&lt;='Construction Dashboard'!$F40,IFERROR(VLOOKUP(TimeRemaining[[#This Row],[Time]],Upgrades[],MATCH("T"&amp;TimeRemaining[#Headers],Upgrades[#Headers],0),FALSE),0)*MAX(0,SUM('Construction Dashboard'!$G40:H40)),0)</f>
        <v>0</v>
      </c>
      <c r="H90" s="61">
        <f ca="1">IF(VALUE(TimeRemaining[#Headers])&lt;='Construction Dashboard'!$F40,IFERROR(VLOOKUP(TimeRemaining[[#This Row],[Time]],Upgrades[],MATCH("T"&amp;TimeRemaining[#Headers],Upgrades[#Headers],0),FALSE),0)*MAX(0,SUM('Construction Dashboard'!$G40:I40)),0)</f>
        <v>0</v>
      </c>
      <c r="I90" s="61">
        <f ca="1">IF(VALUE(TimeRemaining[#Headers])&lt;='Construction Dashboard'!$F40,IFERROR(VLOOKUP(TimeRemaining[[#This Row],[Time]],Upgrades[],MATCH("T"&amp;TimeRemaining[#Headers],Upgrades[#Headers],0),FALSE),0)*MAX(0,SUM('Construction Dashboard'!$G40:J40)),0)</f>
        <v>0</v>
      </c>
      <c r="J90" s="61">
        <f ca="1">IF(VALUE(TimeRemaining[#Headers])&lt;='Construction Dashboard'!$F40,IFERROR(VLOOKUP(TimeRemaining[[#This Row],[Time]],Upgrades[],MATCH("T"&amp;TimeRemaining[#Headers],Upgrades[#Headers],0),FALSE),0)*MAX(0,SUM('Construction Dashboard'!$G40:K40)),0)</f>
        <v>0</v>
      </c>
      <c r="K90" s="61">
        <f ca="1">IF(VALUE(TimeRemaining[#Headers])&lt;='Construction Dashboard'!$F40,IFERROR(VLOOKUP(TimeRemaining[[#This Row],[Time]],Upgrades[],MATCH("T"&amp;TimeRemaining[#Headers],Upgrades[#Headers],0),FALSE),0)*MAX(0,SUM('Construction Dashboard'!$G40:L40)),0)</f>
        <v>0</v>
      </c>
      <c r="L90" s="61">
        <f ca="1">IF(VALUE(TimeRemaining[#Headers])&lt;='Construction Dashboard'!$F40,IFERROR(VLOOKUP(TimeRemaining[[#This Row],[Time]],Upgrades[],MATCH("T"&amp;TimeRemaining[#Headers],Upgrades[#Headers],0),FALSE),0)*MAX(0,SUM('Construction Dashboard'!$G40:M40)),0)</f>
        <v>0</v>
      </c>
      <c r="M90" s="61">
        <f ca="1">IF(VALUE(TimeRemaining[#Headers])&lt;='Construction Dashboard'!$F40,IFERROR(VLOOKUP(TimeRemaining[[#This Row],[Time]],Upgrades[],MATCH("T"&amp;TimeRemaining[#Headers],Upgrades[#Headers],0),FALSE),0)*MAX(0,SUM('Construction Dashboard'!$G40:N40)),0)</f>
        <v>0</v>
      </c>
      <c r="N90" s="61">
        <f ca="1">IF(VALUE(TimeRemaining[#Headers])&lt;='Construction Dashboard'!$F40,IFERROR(VLOOKUP(TimeRemaining[[#This Row],[Time]],Upgrades[],MATCH("T"&amp;TimeRemaining[#Headers],Upgrades[#Headers],0),FALSE),0)*MAX(0,SUM('Construction Dashboard'!$G40:O40)),0)</f>
        <v>0</v>
      </c>
      <c r="O90" s="61">
        <f ca="1">IF(VALUE(TimeRemaining[#Headers])&lt;='Construction Dashboard'!$F40,IFERROR(VLOOKUP(TimeRemaining[[#This Row],[Time]],Upgrades[],MATCH("T"&amp;TimeRemaining[#Headers],Upgrades[#Headers],0),FALSE),0)*MAX(0,SUM('Construction Dashboard'!$G40:P40)),0)</f>
        <v>0</v>
      </c>
      <c r="P90" s="61">
        <f ca="1">IF(VALUE(TimeRemaining[#Headers])&lt;='Construction Dashboard'!$F40,IFERROR(VLOOKUP(TimeRemaining[[#This Row],[Time]],Upgrades[],MATCH("T"&amp;TimeRemaining[#Headers],Upgrades[#Headers],0),FALSE),0)*MAX(0,SUM('Construction Dashboard'!$G40:Q40)),0)</f>
        <v>0</v>
      </c>
      <c r="Q90" s="61">
        <f ca="1">IF(VALUE(TimeRemaining[#Headers])&lt;='Construction Dashboard'!$F40,IFERROR(VLOOKUP(TimeRemaining[[#This Row],[Time]],Upgrades[],MATCH("T"&amp;TimeRemaining[#Headers],Upgrades[#Headers],0),FALSE),0)*MAX(0,SUM('Construction Dashboard'!$G40:R40)),0)</f>
        <v>0</v>
      </c>
      <c r="R90" s="61">
        <f ca="1">IF(TimeRemaining[[#This Row],[MatchStr]]="IGNORE",0,SUM(TimeRemaining[[#This Row],[1]:[12]]))</f>
        <v>0</v>
      </c>
    </row>
    <row r="91" spans="1:18">
      <c r="A91" s="11" t="s">
        <v>8</v>
      </c>
      <c r="B91" s="11" t="str">
        <f>VLOOKUP(TimeRemaining[[#This Row],[Time]],Upgrades[],MATCH("Kind",Upgrades[#Headers],0),FALSE)</f>
        <v>Building</v>
      </c>
      <c r="C91" s="11" t="str">
        <f>VLOOKUP(TimeRemaining[[#This Row],[Time]],Upgrades[],MATCH("Resource",Upgrades[#Headers],0),FALSE)</f>
        <v>Gold</v>
      </c>
      <c r="D91" s="131" t="str">
        <f>IF(COUNTIF(Skips,TimeRemaining[[#This Row],[Time]])&gt;0,"IGNORE",TimeRemaining[Kind]&amp;"-"&amp;TimeRemaining[Resource])</f>
        <v>Building-Gold</v>
      </c>
      <c r="E91" s="54" t="str">
        <f ca="1">IFERROR(VLOOKUP(TimeRemaining[[#This Row],[Time]],Upgrades[],MATCH("T"&amp;MATCH(TRUE,INDEX(TimeRemaining[[#This Row],[1]:[12]]&lt;&gt;0,),0),Upgrades[#Headers],0),FALSE),"")</f>
        <v/>
      </c>
      <c r="F91" s="61">
        <f ca="1">IF(VALUE(TimeRemaining[#Headers])&lt;='Construction Dashboard'!$F41,IFERROR(VLOOKUP(TimeRemaining[[#This Row],[Time]],Upgrades[],MATCH("T"&amp;TimeRemaining[#Headers],Upgrades[#Headers],0),FALSE),0)*MAX(0,SUM('Construction Dashboard'!$G41:G41)),0)</f>
        <v>0</v>
      </c>
      <c r="G91" s="61">
        <f ca="1">IF(VALUE(TimeRemaining[#Headers])&lt;='Construction Dashboard'!$F41,IFERROR(VLOOKUP(TimeRemaining[[#This Row],[Time]],Upgrades[],MATCH("T"&amp;TimeRemaining[#Headers],Upgrades[#Headers],0),FALSE),0)*MAX(0,SUM('Construction Dashboard'!$G41:H41)),0)</f>
        <v>0</v>
      </c>
      <c r="H91" s="61">
        <f ca="1">IF(VALUE(TimeRemaining[#Headers])&lt;='Construction Dashboard'!$F41,IFERROR(VLOOKUP(TimeRemaining[[#This Row],[Time]],Upgrades[],MATCH("T"&amp;TimeRemaining[#Headers],Upgrades[#Headers],0),FALSE),0)*MAX(0,SUM('Construction Dashboard'!$G41:I41)),0)</f>
        <v>0</v>
      </c>
      <c r="I91" s="61">
        <f ca="1">IF(VALUE(TimeRemaining[#Headers])&lt;='Construction Dashboard'!$F41,IFERROR(VLOOKUP(TimeRemaining[[#This Row],[Time]],Upgrades[],MATCH("T"&amp;TimeRemaining[#Headers],Upgrades[#Headers],0),FALSE),0)*MAX(0,SUM('Construction Dashboard'!$G41:J41)),0)</f>
        <v>0</v>
      </c>
      <c r="J91" s="61">
        <f ca="1">IF(VALUE(TimeRemaining[#Headers])&lt;='Construction Dashboard'!$F41,IFERROR(VLOOKUP(TimeRemaining[[#This Row],[Time]],Upgrades[],MATCH("T"&amp;TimeRemaining[#Headers],Upgrades[#Headers],0),FALSE),0)*MAX(0,SUM('Construction Dashboard'!$G41:K41)),0)</f>
        <v>0</v>
      </c>
      <c r="K91" s="61">
        <f ca="1">IF(VALUE(TimeRemaining[#Headers])&lt;='Construction Dashboard'!$F41,IFERROR(VLOOKUP(TimeRemaining[[#This Row],[Time]],Upgrades[],MATCH("T"&amp;TimeRemaining[#Headers],Upgrades[#Headers],0),FALSE),0)*MAX(0,SUM('Construction Dashboard'!$G41:L41)),0)</f>
        <v>0</v>
      </c>
      <c r="L91" s="61">
        <f ca="1">IF(VALUE(TimeRemaining[#Headers])&lt;='Construction Dashboard'!$F41,IFERROR(VLOOKUP(TimeRemaining[[#This Row],[Time]],Upgrades[],MATCH("T"&amp;TimeRemaining[#Headers],Upgrades[#Headers],0),FALSE),0)*MAX(0,SUM('Construction Dashboard'!$G41:M41)),0)</f>
        <v>0</v>
      </c>
      <c r="M91" s="61">
        <f ca="1">IF(VALUE(TimeRemaining[#Headers])&lt;='Construction Dashboard'!$F41,IFERROR(VLOOKUP(TimeRemaining[[#This Row],[Time]],Upgrades[],MATCH("T"&amp;TimeRemaining[#Headers],Upgrades[#Headers],0),FALSE),0)*MAX(0,SUM('Construction Dashboard'!$G41:N41)),0)</f>
        <v>0</v>
      </c>
      <c r="N91" s="61">
        <f ca="1">IF(VALUE(TimeRemaining[#Headers])&lt;='Construction Dashboard'!$F41,IFERROR(VLOOKUP(TimeRemaining[[#This Row],[Time]],Upgrades[],MATCH("T"&amp;TimeRemaining[#Headers],Upgrades[#Headers],0),FALSE),0)*MAX(0,SUM('Construction Dashboard'!$G41:O41)),0)</f>
        <v>0</v>
      </c>
      <c r="O91" s="61">
        <f ca="1">IF(VALUE(TimeRemaining[#Headers])&lt;='Construction Dashboard'!$F41,IFERROR(VLOOKUP(TimeRemaining[[#This Row],[Time]],Upgrades[],MATCH("T"&amp;TimeRemaining[#Headers],Upgrades[#Headers],0),FALSE),0)*MAX(0,SUM('Construction Dashboard'!$G41:P41)),0)</f>
        <v>0</v>
      </c>
      <c r="P91" s="61">
        <f ca="1">IF(VALUE(TimeRemaining[#Headers])&lt;='Construction Dashboard'!$F41,IFERROR(VLOOKUP(TimeRemaining[[#This Row],[Time]],Upgrades[],MATCH("T"&amp;TimeRemaining[#Headers],Upgrades[#Headers],0),FALSE),0)*MAX(0,SUM('Construction Dashboard'!$G41:Q41)),0)</f>
        <v>0</v>
      </c>
      <c r="Q91" s="61">
        <f ca="1">IF(VALUE(TimeRemaining[#Headers])&lt;='Construction Dashboard'!$F41,IFERROR(VLOOKUP(TimeRemaining[[#This Row],[Time]],Upgrades[],MATCH("T"&amp;TimeRemaining[#Headers],Upgrades[#Headers],0),FALSE),0)*MAX(0,SUM('Construction Dashboard'!$G41:R41)),0)</f>
        <v>0</v>
      </c>
      <c r="R91" s="61">
        <f ca="1">IF(TimeRemaining[[#This Row],[MatchStr]]="IGNORE",0,SUM(TimeRemaining[[#This Row],[1]:[12]]))</f>
        <v>0</v>
      </c>
    </row>
    <row r="92" spans="1:18">
      <c r="A92" s="11" t="s">
        <v>24</v>
      </c>
      <c r="B92" s="11" t="str">
        <f>VLOOKUP(TimeRemaining[[#This Row],[Time]],Upgrades[],MATCH("Kind",Upgrades[#Headers],0),FALSE)</f>
        <v>Building</v>
      </c>
      <c r="C92" s="11" t="str">
        <f>VLOOKUP(TimeRemaining[[#This Row],[Time]],Upgrades[],MATCH("Resource",Upgrades[#Headers],0),FALSE)</f>
        <v>Gold</v>
      </c>
      <c r="D92" s="131" t="str">
        <f>IF(COUNTIF(Skips,TimeRemaining[[#This Row],[Time]])&gt;0,"IGNORE",TimeRemaining[Kind]&amp;"-"&amp;TimeRemaining[Resource])</f>
        <v>Building-Gold</v>
      </c>
      <c r="E92" s="54" t="str">
        <f ca="1">IFERROR(VLOOKUP(TimeRemaining[[#This Row],[Time]],Upgrades[],MATCH("T"&amp;MATCH(TRUE,INDEX(TimeRemaining[[#This Row],[1]:[12]]&lt;&gt;0,),0),Upgrades[#Headers],0),FALSE),"")</f>
        <v/>
      </c>
      <c r="F92" s="61">
        <f ca="1">IF(VALUE(TimeRemaining[#Headers])&lt;='Construction Dashboard'!$F42,IFERROR(VLOOKUP(TimeRemaining[[#This Row],[Time]],Upgrades[],MATCH("T"&amp;TimeRemaining[#Headers],Upgrades[#Headers],0),FALSE),0)*MAX(0,SUM('Construction Dashboard'!$G42:G42)),0)</f>
        <v>0</v>
      </c>
      <c r="G92" s="61">
        <f ca="1">IF(VALUE(TimeRemaining[#Headers])&lt;='Construction Dashboard'!$F42,IFERROR(VLOOKUP(TimeRemaining[[#This Row],[Time]],Upgrades[],MATCH("T"&amp;TimeRemaining[#Headers],Upgrades[#Headers],0),FALSE),0)*MAX(0,SUM('Construction Dashboard'!$G42:H42)),0)</f>
        <v>0</v>
      </c>
      <c r="H92" s="61">
        <f ca="1">IF(VALUE(TimeRemaining[#Headers])&lt;='Construction Dashboard'!$F42,IFERROR(VLOOKUP(TimeRemaining[[#This Row],[Time]],Upgrades[],MATCH("T"&amp;TimeRemaining[#Headers],Upgrades[#Headers],0),FALSE),0)*MAX(0,SUM('Construction Dashboard'!$G42:I42)),0)</f>
        <v>0</v>
      </c>
      <c r="I92" s="61">
        <f ca="1">IF(VALUE(TimeRemaining[#Headers])&lt;='Construction Dashboard'!$F42,IFERROR(VLOOKUP(TimeRemaining[[#This Row],[Time]],Upgrades[],MATCH("T"&amp;TimeRemaining[#Headers],Upgrades[#Headers],0),FALSE),0)*MAX(0,SUM('Construction Dashboard'!$G42:J42)),0)</f>
        <v>0</v>
      </c>
      <c r="J92" s="61">
        <f ca="1">IF(VALUE(TimeRemaining[#Headers])&lt;='Construction Dashboard'!$F42,IFERROR(VLOOKUP(TimeRemaining[[#This Row],[Time]],Upgrades[],MATCH("T"&amp;TimeRemaining[#Headers],Upgrades[#Headers],0),FALSE),0)*MAX(0,SUM('Construction Dashboard'!$G42:K42)),0)</f>
        <v>0</v>
      </c>
      <c r="K92" s="61">
        <f ca="1">IF(VALUE(TimeRemaining[#Headers])&lt;='Construction Dashboard'!$F42,IFERROR(VLOOKUP(TimeRemaining[[#This Row],[Time]],Upgrades[],MATCH("T"&amp;TimeRemaining[#Headers],Upgrades[#Headers],0),FALSE),0)*MAX(0,SUM('Construction Dashboard'!$G42:L42)),0)</f>
        <v>0</v>
      </c>
      <c r="L92" s="61">
        <f ca="1">IF(VALUE(TimeRemaining[#Headers])&lt;='Construction Dashboard'!$F42,IFERROR(VLOOKUP(TimeRemaining[[#This Row],[Time]],Upgrades[],MATCH("T"&amp;TimeRemaining[#Headers],Upgrades[#Headers],0),FALSE),0)*MAX(0,SUM('Construction Dashboard'!$G42:M42)),0)</f>
        <v>0</v>
      </c>
      <c r="M92" s="61">
        <f ca="1">IF(VALUE(TimeRemaining[#Headers])&lt;='Construction Dashboard'!$F42,IFERROR(VLOOKUP(TimeRemaining[[#This Row],[Time]],Upgrades[],MATCH("T"&amp;TimeRemaining[#Headers],Upgrades[#Headers],0),FALSE),0)*MAX(0,SUM('Construction Dashboard'!$G42:N42)),0)</f>
        <v>0</v>
      </c>
      <c r="N92" s="61">
        <f ca="1">IF(VALUE(TimeRemaining[#Headers])&lt;='Construction Dashboard'!$F42,IFERROR(VLOOKUP(TimeRemaining[[#This Row],[Time]],Upgrades[],MATCH("T"&amp;TimeRemaining[#Headers],Upgrades[#Headers],0),FALSE),0)*MAX(0,SUM('Construction Dashboard'!$G42:O42)),0)</f>
        <v>0</v>
      </c>
      <c r="O92" s="61">
        <f ca="1">IF(VALUE(TimeRemaining[#Headers])&lt;='Construction Dashboard'!$F42,IFERROR(VLOOKUP(TimeRemaining[[#This Row],[Time]],Upgrades[],MATCH("T"&amp;TimeRemaining[#Headers],Upgrades[#Headers],0),FALSE),0)*MAX(0,SUM('Construction Dashboard'!$G42:P42)),0)</f>
        <v>0</v>
      </c>
      <c r="P92" s="61">
        <f ca="1">IF(VALUE(TimeRemaining[#Headers])&lt;='Construction Dashboard'!$F42,IFERROR(VLOOKUP(TimeRemaining[[#This Row],[Time]],Upgrades[],MATCH("T"&amp;TimeRemaining[#Headers],Upgrades[#Headers],0),FALSE),0)*MAX(0,SUM('Construction Dashboard'!$G42:Q42)),0)</f>
        <v>0</v>
      </c>
      <c r="Q92" s="61">
        <f ca="1">IF(VALUE(TimeRemaining[#Headers])&lt;='Construction Dashboard'!$F42,IFERROR(VLOOKUP(TimeRemaining[[#This Row],[Time]],Upgrades[],MATCH("T"&amp;TimeRemaining[#Headers],Upgrades[#Headers],0),FALSE),0)*MAX(0,SUM('Construction Dashboard'!$G42:R42)),0)</f>
        <v>0</v>
      </c>
      <c r="R92" s="61">
        <f ca="1">IF(TimeRemaining[[#This Row],[MatchStr]]="IGNORE",0,SUM(TimeRemaining[[#This Row],[1]:[12]]))</f>
        <v>0</v>
      </c>
    </row>
    <row r="93" spans="1:18">
      <c r="A93" s="11" t="s">
        <v>25</v>
      </c>
      <c r="B93" s="11" t="str">
        <f>VLOOKUP(TimeRemaining[[#This Row],[Time]],Upgrades[],MATCH("Kind",Upgrades[#Headers],0),FALSE)</f>
        <v>Building</v>
      </c>
      <c r="C93" s="11" t="str">
        <f>VLOOKUP(TimeRemaining[[#This Row],[Time]],Upgrades[],MATCH("Resource",Upgrades[#Headers],0),FALSE)</f>
        <v>Gold</v>
      </c>
      <c r="D93" s="131" t="str">
        <f>IF(COUNTIF(Skips,TimeRemaining[[#This Row],[Time]])&gt;0,"IGNORE",TimeRemaining[Kind]&amp;"-"&amp;TimeRemaining[Resource])</f>
        <v>Building-Gold</v>
      </c>
      <c r="E93" s="54" t="str">
        <f ca="1">IFERROR(VLOOKUP(TimeRemaining[[#This Row],[Time]],Upgrades[],MATCH("T"&amp;MATCH(TRUE,INDEX(TimeRemaining[[#This Row],[1]:[12]]&lt;&gt;0,),0),Upgrades[#Headers],0),FALSE),"")</f>
        <v/>
      </c>
      <c r="F93" s="61">
        <f ca="1">IF(VALUE(TimeRemaining[#Headers])&lt;='Construction Dashboard'!$F43,IFERROR(VLOOKUP(TimeRemaining[[#This Row],[Time]],Upgrades[],MATCH("T"&amp;TimeRemaining[#Headers],Upgrades[#Headers],0),FALSE),0)*MAX(0,SUM('Construction Dashboard'!$G43:G43)),0)</f>
        <v>0</v>
      </c>
      <c r="G93" s="61">
        <f ca="1">IF(VALUE(TimeRemaining[#Headers])&lt;='Construction Dashboard'!$F43,IFERROR(VLOOKUP(TimeRemaining[[#This Row],[Time]],Upgrades[],MATCH("T"&amp;TimeRemaining[#Headers],Upgrades[#Headers],0),FALSE),0)*MAX(0,SUM('Construction Dashboard'!$G43:H43)),0)</f>
        <v>0</v>
      </c>
      <c r="H93" s="61">
        <f ca="1">IF(VALUE(TimeRemaining[#Headers])&lt;='Construction Dashboard'!$F43,IFERROR(VLOOKUP(TimeRemaining[[#This Row],[Time]],Upgrades[],MATCH("T"&amp;TimeRemaining[#Headers],Upgrades[#Headers],0),FALSE),0)*MAX(0,SUM('Construction Dashboard'!$G43:I43)),0)</f>
        <v>0</v>
      </c>
      <c r="I93" s="61">
        <f ca="1">IF(VALUE(TimeRemaining[#Headers])&lt;='Construction Dashboard'!$F43,IFERROR(VLOOKUP(TimeRemaining[[#This Row],[Time]],Upgrades[],MATCH("T"&amp;TimeRemaining[#Headers],Upgrades[#Headers],0),FALSE),0)*MAX(0,SUM('Construction Dashboard'!$G43:J43)),0)</f>
        <v>0</v>
      </c>
      <c r="J93" s="61">
        <f ca="1">IF(VALUE(TimeRemaining[#Headers])&lt;='Construction Dashboard'!$F43,IFERROR(VLOOKUP(TimeRemaining[[#This Row],[Time]],Upgrades[],MATCH("T"&amp;TimeRemaining[#Headers],Upgrades[#Headers],0),FALSE),0)*MAX(0,SUM('Construction Dashboard'!$G43:K43)),0)</f>
        <v>0</v>
      </c>
      <c r="K93" s="61">
        <f ca="1">IF(VALUE(TimeRemaining[#Headers])&lt;='Construction Dashboard'!$F43,IFERROR(VLOOKUP(TimeRemaining[[#This Row],[Time]],Upgrades[],MATCH("T"&amp;TimeRemaining[#Headers],Upgrades[#Headers],0),FALSE),0)*MAX(0,SUM('Construction Dashboard'!$G43:L43)),0)</f>
        <v>0</v>
      </c>
      <c r="L93" s="61">
        <f ca="1">IF(VALUE(TimeRemaining[#Headers])&lt;='Construction Dashboard'!$F43,IFERROR(VLOOKUP(TimeRemaining[[#This Row],[Time]],Upgrades[],MATCH("T"&amp;TimeRemaining[#Headers],Upgrades[#Headers],0),FALSE),0)*MAX(0,SUM('Construction Dashboard'!$G43:M43)),0)</f>
        <v>0</v>
      </c>
      <c r="M93" s="61">
        <f ca="1">IF(VALUE(TimeRemaining[#Headers])&lt;='Construction Dashboard'!$F43,IFERROR(VLOOKUP(TimeRemaining[[#This Row],[Time]],Upgrades[],MATCH("T"&amp;TimeRemaining[#Headers],Upgrades[#Headers],0),FALSE),0)*MAX(0,SUM('Construction Dashboard'!$G43:N43)),0)</f>
        <v>0</v>
      </c>
      <c r="N93" s="61">
        <f ca="1">IF(VALUE(TimeRemaining[#Headers])&lt;='Construction Dashboard'!$F43,IFERROR(VLOOKUP(TimeRemaining[[#This Row],[Time]],Upgrades[],MATCH("T"&amp;TimeRemaining[#Headers],Upgrades[#Headers],0),FALSE),0)*MAX(0,SUM('Construction Dashboard'!$G43:O43)),0)</f>
        <v>0</v>
      </c>
      <c r="O93" s="61">
        <f ca="1">IF(VALUE(TimeRemaining[#Headers])&lt;='Construction Dashboard'!$F43,IFERROR(VLOOKUP(TimeRemaining[[#This Row],[Time]],Upgrades[],MATCH("T"&amp;TimeRemaining[#Headers],Upgrades[#Headers],0),FALSE),0)*MAX(0,SUM('Construction Dashboard'!$G43:P43)),0)</f>
        <v>0</v>
      </c>
      <c r="P93" s="61">
        <f ca="1">IF(VALUE(TimeRemaining[#Headers])&lt;='Construction Dashboard'!$F43,IFERROR(VLOOKUP(TimeRemaining[[#This Row],[Time]],Upgrades[],MATCH("T"&amp;TimeRemaining[#Headers],Upgrades[#Headers],0),FALSE),0)*MAX(0,SUM('Construction Dashboard'!$G43:Q43)),0)</f>
        <v>0</v>
      </c>
      <c r="Q93" s="61">
        <f ca="1">IF(VALUE(TimeRemaining[#Headers])&lt;='Construction Dashboard'!$F43,IFERROR(VLOOKUP(TimeRemaining[[#This Row],[Time]],Upgrades[],MATCH("T"&amp;TimeRemaining[#Headers],Upgrades[#Headers],0),FALSE),0)*MAX(0,SUM('Construction Dashboard'!$G43:R43)),0)</f>
        <v>0</v>
      </c>
      <c r="R93" s="61">
        <f ca="1">IF(TimeRemaining[[#This Row],[MatchStr]]="IGNORE",0,SUM(TimeRemaining[[#This Row],[1]:[12]]))</f>
        <v>0</v>
      </c>
    </row>
    <row r="94" spans="1:18">
      <c r="A94" s="11" t="s">
        <v>26</v>
      </c>
      <c r="B94" s="11" t="str">
        <f>VLOOKUP(TimeRemaining[[#This Row],[Time]],Upgrades[],MATCH("Kind",Upgrades[#Headers],0),FALSE)</f>
        <v>Building</v>
      </c>
      <c r="C94" s="11" t="str">
        <f>VLOOKUP(TimeRemaining[[#This Row],[Time]],Upgrades[],MATCH("Resource",Upgrades[#Headers],0),FALSE)</f>
        <v>Gold</v>
      </c>
      <c r="D94" s="131" t="str">
        <f>IF(COUNTIF(Skips,TimeRemaining[[#This Row],[Time]])&gt;0,"IGNORE",TimeRemaining[Kind]&amp;"-"&amp;TimeRemaining[Resource])</f>
        <v>Building-Gold</v>
      </c>
      <c r="E94" s="54" t="str">
        <f ca="1">IFERROR(VLOOKUP(TimeRemaining[[#This Row],[Time]],Upgrades[],MATCH("T"&amp;MATCH(TRUE,INDEX(TimeRemaining[[#This Row],[1]:[12]]&lt;&gt;0,),0),Upgrades[#Headers],0),FALSE),"")</f>
        <v/>
      </c>
      <c r="F94" s="61">
        <f ca="1">IF(VALUE(TimeRemaining[#Headers])&lt;='Construction Dashboard'!$F44,IFERROR(VLOOKUP(TimeRemaining[[#This Row],[Time]],Upgrades[],MATCH("T"&amp;TimeRemaining[#Headers],Upgrades[#Headers],0),FALSE),0)*MAX(0,SUM('Construction Dashboard'!$G44:G44)),0)</f>
        <v>0</v>
      </c>
      <c r="G94" s="61">
        <f ca="1">IF(VALUE(TimeRemaining[#Headers])&lt;='Construction Dashboard'!$F44,IFERROR(VLOOKUP(TimeRemaining[[#This Row],[Time]],Upgrades[],MATCH("T"&amp;TimeRemaining[#Headers],Upgrades[#Headers],0),FALSE),0)*MAX(0,SUM('Construction Dashboard'!$G44:H44)),0)</f>
        <v>0</v>
      </c>
      <c r="H94" s="61">
        <f ca="1">IF(VALUE(TimeRemaining[#Headers])&lt;='Construction Dashboard'!$F44,IFERROR(VLOOKUP(TimeRemaining[[#This Row],[Time]],Upgrades[],MATCH("T"&amp;TimeRemaining[#Headers],Upgrades[#Headers],0),FALSE),0)*MAX(0,SUM('Construction Dashboard'!$G44:I44)),0)</f>
        <v>0</v>
      </c>
      <c r="I94" s="61">
        <f ca="1">IF(VALUE(TimeRemaining[#Headers])&lt;='Construction Dashboard'!$F44,IFERROR(VLOOKUP(TimeRemaining[[#This Row],[Time]],Upgrades[],MATCH("T"&amp;TimeRemaining[#Headers],Upgrades[#Headers],0),FALSE),0)*MAX(0,SUM('Construction Dashboard'!$G44:J44)),0)</f>
        <v>0</v>
      </c>
      <c r="J94" s="61">
        <f ca="1">IF(VALUE(TimeRemaining[#Headers])&lt;='Construction Dashboard'!$F44,IFERROR(VLOOKUP(TimeRemaining[[#This Row],[Time]],Upgrades[],MATCH("T"&amp;TimeRemaining[#Headers],Upgrades[#Headers],0),FALSE),0)*MAX(0,SUM('Construction Dashboard'!$G44:K44)),0)</f>
        <v>0</v>
      </c>
      <c r="K94" s="61">
        <f ca="1">IF(VALUE(TimeRemaining[#Headers])&lt;='Construction Dashboard'!$F44,IFERROR(VLOOKUP(TimeRemaining[[#This Row],[Time]],Upgrades[],MATCH("T"&amp;TimeRemaining[#Headers],Upgrades[#Headers],0),FALSE),0)*MAX(0,SUM('Construction Dashboard'!$G44:L44)),0)</f>
        <v>0</v>
      </c>
      <c r="L94" s="61">
        <f ca="1">IF(VALUE(TimeRemaining[#Headers])&lt;='Construction Dashboard'!$F44,IFERROR(VLOOKUP(TimeRemaining[[#This Row],[Time]],Upgrades[],MATCH("T"&amp;TimeRemaining[#Headers],Upgrades[#Headers],0),FALSE),0)*MAX(0,SUM('Construction Dashboard'!$G44:M44)),0)</f>
        <v>0</v>
      </c>
      <c r="M94" s="61">
        <f ca="1">IF(VALUE(TimeRemaining[#Headers])&lt;='Construction Dashboard'!$F44,IFERROR(VLOOKUP(TimeRemaining[[#This Row],[Time]],Upgrades[],MATCH("T"&amp;TimeRemaining[#Headers],Upgrades[#Headers],0),FALSE),0)*MAX(0,SUM('Construction Dashboard'!$G44:N44)),0)</f>
        <v>0</v>
      </c>
      <c r="N94" s="61">
        <f ca="1">IF(VALUE(TimeRemaining[#Headers])&lt;='Construction Dashboard'!$F44,IFERROR(VLOOKUP(TimeRemaining[[#This Row],[Time]],Upgrades[],MATCH("T"&amp;TimeRemaining[#Headers],Upgrades[#Headers],0),FALSE),0)*MAX(0,SUM('Construction Dashboard'!$G44:O44)),0)</f>
        <v>0</v>
      </c>
      <c r="O94" s="61">
        <f ca="1">IF(VALUE(TimeRemaining[#Headers])&lt;='Construction Dashboard'!$F44,IFERROR(VLOOKUP(TimeRemaining[[#This Row],[Time]],Upgrades[],MATCH("T"&amp;TimeRemaining[#Headers],Upgrades[#Headers],0),FALSE),0)*MAX(0,SUM('Construction Dashboard'!$G44:P44)),0)</f>
        <v>0</v>
      </c>
      <c r="P94" s="61">
        <f ca="1">IF(VALUE(TimeRemaining[#Headers])&lt;='Construction Dashboard'!$F44,IFERROR(VLOOKUP(TimeRemaining[[#This Row],[Time]],Upgrades[],MATCH("T"&amp;TimeRemaining[#Headers],Upgrades[#Headers],0),FALSE),0)*MAX(0,SUM('Construction Dashboard'!$G44:Q44)),0)</f>
        <v>0</v>
      </c>
      <c r="Q94" s="61">
        <f ca="1">IF(VALUE(TimeRemaining[#Headers])&lt;='Construction Dashboard'!$F44,IFERROR(VLOOKUP(TimeRemaining[[#This Row],[Time]],Upgrades[],MATCH("T"&amp;TimeRemaining[#Headers],Upgrades[#Headers],0),FALSE),0)*MAX(0,SUM('Construction Dashboard'!$G44:R44)),0)</f>
        <v>0</v>
      </c>
      <c r="R94" s="61">
        <f ca="1">IF(TimeRemaining[[#This Row],[MatchStr]]="IGNORE",0,SUM(TimeRemaining[[#This Row],[1]:[12]]))</f>
        <v>0</v>
      </c>
    </row>
    <row r="95" spans="1:18">
      <c r="A95" s="11" t="s">
        <v>9</v>
      </c>
      <c r="B95" s="11" t="str">
        <f>VLOOKUP(TimeRemaining[[#This Row],[Time]],Upgrades[],MATCH("Kind",Upgrades[#Headers],0),FALSE)</f>
        <v>Building</v>
      </c>
      <c r="C95" s="11" t="str">
        <f>VLOOKUP(TimeRemaining[[#This Row],[Time]],Upgrades[],MATCH("Resource",Upgrades[#Headers],0),FALSE)</f>
        <v>Gold</v>
      </c>
      <c r="D95" s="131" t="str">
        <f>IF(COUNTIF(Skips,TimeRemaining[[#This Row],[Time]])&gt;0,"IGNORE",TimeRemaining[Kind]&amp;"-"&amp;TimeRemaining[Resource])</f>
        <v>Building-Gold</v>
      </c>
      <c r="E95" s="54" t="str">
        <f ca="1">IFERROR(VLOOKUP(TimeRemaining[[#This Row],[Time]],Upgrades[],MATCH("T"&amp;MATCH(TRUE,INDEX(TimeRemaining[[#This Row],[1]:[12]]&lt;&gt;0,),0),Upgrades[#Headers],0),FALSE),"")</f>
        <v/>
      </c>
      <c r="F95" s="61">
        <f ca="1">IF(VALUE(TimeRemaining[#Headers])&lt;='Construction Dashboard'!$F45,IFERROR(VLOOKUP(TimeRemaining[[#This Row],[Time]],Upgrades[],MATCH("T"&amp;TimeRemaining[#Headers],Upgrades[#Headers],0),FALSE),0)*MAX(0,SUM('Construction Dashboard'!$G45:G45)),0)</f>
        <v>0</v>
      </c>
      <c r="G95" s="61">
        <f ca="1">IF(VALUE(TimeRemaining[#Headers])&lt;='Construction Dashboard'!$F45,IFERROR(VLOOKUP(TimeRemaining[[#This Row],[Time]],Upgrades[],MATCH("T"&amp;TimeRemaining[#Headers],Upgrades[#Headers],0),FALSE),0)*MAX(0,SUM('Construction Dashboard'!$G45:H45)),0)</f>
        <v>0</v>
      </c>
      <c r="H95" s="61">
        <f ca="1">IF(VALUE(TimeRemaining[#Headers])&lt;='Construction Dashboard'!$F45,IFERROR(VLOOKUP(TimeRemaining[[#This Row],[Time]],Upgrades[],MATCH("T"&amp;TimeRemaining[#Headers],Upgrades[#Headers],0),FALSE),0)*MAX(0,SUM('Construction Dashboard'!$G45:I45)),0)</f>
        <v>0</v>
      </c>
      <c r="I95" s="61">
        <f ca="1">IF(VALUE(TimeRemaining[#Headers])&lt;='Construction Dashboard'!$F45,IFERROR(VLOOKUP(TimeRemaining[[#This Row],[Time]],Upgrades[],MATCH("T"&amp;TimeRemaining[#Headers],Upgrades[#Headers],0),FALSE),0)*MAX(0,SUM('Construction Dashboard'!$G45:J45)),0)</f>
        <v>0</v>
      </c>
      <c r="J95" s="61">
        <f ca="1">IF(VALUE(TimeRemaining[#Headers])&lt;='Construction Dashboard'!$F45,IFERROR(VLOOKUP(TimeRemaining[[#This Row],[Time]],Upgrades[],MATCH("T"&amp;TimeRemaining[#Headers],Upgrades[#Headers],0),FALSE),0)*MAX(0,SUM('Construction Dashboard'!$G45:K45)),0)</f>
        <v>0</v>
      </c>
      <c r="K95" s="61">
        <f ca="1">IF(VALUE(TimeRemaining[#Headers])&lt;='Construction Dashboard'!$F45,IFERROR(VLOOKUP(TimeRemaining[[#This Row],[Time]],Upgrades[],MATCH("T"&amp;TimeRemaining[#Headers],Upgrades[#Headers],0),FALSE),0)*MAX(0,SUM('Construction Dashboard'!$G45:L45)),0)</f>
        <v>0</v>
      </c>
      <c r="L95" s="61">
        <f ca="1">IF(VALUE(TimeRemaining[#Headers])&lt;='Construction Dashboard'!$F45,IFERROR(VLOOKUP(TimeRemaining[[#This Row],[Time]],Upgrades[],MATCH("T"&amp;TimeRemaining[#Headers],Upgrades[#Headers],0),FALSE),0)*MAX(0,SUM('Construction Dashboard'!$G45:M45)),0)</f>
        <v>0</v>
      </c>
      <c r="M95" s="61">
        <f ca="1">IF(VALUE(TimeRemaining[#Headers])&lt;='Construction Dashboard'!$F45,IFERROR(VLOOKUP(TimeRemaining[[#This Row],[Time]],Upgrades[],MATCH("T"&amp;TimeRemaining[#Headers],Upgrades[#Headers],0),FALSE),0)*MAX(0,SUM('Construction Dashboard'!$G45:N45)),0)</f>
        <v>0</v>
      </c>
      <c r="N95" s="61">
        <f ca="1">IF(VALUE(TimeRemaining[#Headers])&lt;='Construction Dashboard'!$F45,IFERROR(VLOOKUP(TimeRemaining[[#This Row],[Time]],Upgrades[],MATCH("T"&amp;TimeRemaining[#Headers],Upgrades[#Headers],0),FALSE),0)*MAX(0,SUM('Construction Dashboard'!$G45:O45)),0)</f>
        <v>0</v>
      </c>
      <c r="O95" s="61">
        <f ca="1">IF(VALUE(TimeRemaining[#Headers])&lt;='Construction Dashboard'!$F45,IFERROR(VLOOKUP(TimeRemaining[[#This Row],[Time]],Upgrades[],MATCH("T"&amp;TimeRemaining[#Headers],Upgrades[#Headers],0),FALSE),0)*MAX(0,SUM('Construction Dashboard'!$G45:P45)),0)</f>
        <v>0</v>
      </c>
      <c r="P95" s="61">
        <f ca="1">IF(VALUE(TimeRemaining[#Headers])&lt;='Construction Dashboard'!$F45,IFERROR(VLOOKUP(TimeRemaining[[#This Row],[Time]],Upgrades[],MATCH("T"&amp;TimeRemaining[#Headers],Upgrades[#Headers],0),FALSE),0)*MAX(0,SUM('Construction Dashboard'!$G45:Q45)),0)</f>
        <v>0</v>
      </c>
      <c r="Q95" s="61">
        <f ca="1">IF(VALUE(TimeRemaining[#Headers])&lt;='Construction Dashboard'!$F45,IFERROR(VLOOKUP(TimeRemaining[[#This Row],[Time]],Upgrades[],MATCH("T"&amp;TimeRemaining[#Headers],Upgrades[#Headers],0),FALSE),0)*MAX(0,SUM('Construction Dashboard'!$G45:R45)),0)</f>
        <v>0</v>
      </c>
      <c r="R95" s="61">
        <f ca="1">IF(TimeRemaining[[#This Row],[MatchStr]]="IGNORE",0,SUM(TimeRemaining[[#This Row],[1]:[12]]))</f>
        <v>0</v>
      </c>
    </row>
    <row r="96" spans="1:18">
      <c r="A96" s="11" t="s">
        <v>10</v>
      </c>
      <c r="B96" s="11" t="str">
        <f>VLOOKUP(TimeRemaining[[#This Row],[Time]],Upgrades[],MATCH("Kind",Upgrades[#Headers],0),FALSE)</f>
        <v>Building</v>
      </c>
      <c r="C96" s="11" t="str">
        <f>VLOOKUP(TimeRemaining[[#This Row],[Time]],Upgrades[],MATCH("Resource",Upgrades[#Headers],0),FALSE)</f>
        <v>Gold</v>
      </c>
      <c r="D96" s="131" t="str">
        <f>IF(COUNTIF(Skips,TimeRemaining[[#This Row],[Time]])&gt;0,"IGNORE",TimeRemaining[Kind]&amp;"-"&amp;TimeRemaining[Resource])</f>
        <v>Building-Gold</v>
      </c>
      <c r="E96" s="54" t="str">
        <f ca="1">IFERROR(VLOOKUP(TimeRemaining[[#This Row],[Time]],Upgrades[],MATCH("T"&amp;MATCH(TRUE,INDEX(TimeRemaining[[#This Row],[1]:[12]]&lt;&gt;0,),0),Upgrades[#Headers],0),FALSE),"")</f>
        <v/>
      </c>
      <c r="F96" s="61">
        <f ca="1">IF(VALUE(TimeRemaining[#Headers])&lt;='Construction Dashboard'!$F46,IFERROR(VLOOKUP(TimeRemaining[[#This Row],[Time]],Upgrades[],MATCH("T"&amp;TimeRemaining[#Headers],Upgrades[#Headers],0),FALSE),0)*MAX(0,SUM('Construction Dashboard'!$G46:G46)),0)</f>
        <v>0</v>
      </c>
      <c r="G96" s="61">
        <f ca="1">IF(VALUE(TimeRemaining[#Headers])&lt;='Construction Dashboard'!$F46,IFERROR(VLOOKUP(TimeRemaining[[#This Row],[Time]],Upgrades[],MATCH("T"&amp;TimeRemaining[#Headers],Upgrades[#Headers],0),FALSE),0)*MAX(0,SUM('Construction Dashboard'!$G46:H46)),0)</f>
        <v>0</v>
      </c>
      <c r="H96" s="61">
        <f ca="1">IF(VALUE(TimeRemaining[#Headers])&lt;='Construction Dashboard'!$F46,IFERROR(VLOOKUP(TimeRemaining[[#This Row],[Time]],Upgrades[],MATCH("T"&amp;TimeRemaining[#Headers],Upgrades[#Headers],0),FALSE),0)*MAX(0,SUM('Construction Dashboard'!$G46:I46)),0)</f>
        <v>0</v>
      </c>
      <c r="I96" s="61">
        <f ca="1">IF(VALUE(TimeRemaining[#Headers])&lt;='Construction Dashboard'!$F46,IFERROR(VLOOKUP(TimeRemaining[[#This Row],[Time]],Upgrades[],MATCH("T"&amp;TimeRemaining[#Headers],Upgrades[#Headers],0),FALSE),0)*MAX(0,SUM('Construction Dashboard'!$G46:J46)),0)</f>
        <v>0</v>
      </c>
      <c r="J96" s="61">
        <f ca="1">IF(VALUE(TimeRemaining[#Headers])&lt;='Construction Dashboard'!$F46,IFERROR(VLOOKUP(TimeRemaining[[#This Row],[Time]],Upgrades[],MATCH("T"&amp;TimeRemaining[#Headers],Upgrades[#Headers],0),FALSE),0)*MAX(0,SUM('Construction Dashboard'!$G46:K46)),0)</f>
        <v>0</v>
      </c>
      <c r="K96" s="61">
        <f ca="1">IF(VALUE(TimeRemaining[#Headers])&lt;='Construction Dashboard'!$F46,IFERROR(VLOOKUP(TimeRemaining[[#This Row],[Time]],Upgrades[],MATCH("T"&amp;TimeRemaining[#Headers],Upgrades[#Headers],0),FALSE),0)*MAX(0,SUM('Construction Dashboard'!$G46:L46)),0)</f>
        <v>0</v>
      </c>
      <c r="L96" s="61">
        <f ca="1">IF(VALUE(TimeRemaining[#Headers])&lt;='Construction Dashboard'!$F46,IFERROR(VLOOKUP(TimeRemaining[[#This Row],[Time]],Upgrades[],MATCH("T"&amp;TimeRemaining[#Headers],Upgrades[#Headers],0),FALSE),0)*MAX(0,SUM('Construction Dashboard'!$G46:M46)),0)</f>
        <v>0</v>
      </c>
      <c r="M96" s="61">
        <f ca="1">IF(VALUE(TimeRemaining[#Headers])&lt;='Construction Dashboard'!$F46,IFERROR(VLOOKUP(TimeRemaining[[#This Row],[Time]],Upgrades[],MATCH("T"&amp;TimeRemaining[#Headers],Upgrades[#Headers],0),FALSE),0)*MAX(0,SUM('Construction Dashboard'!$G46:N46)),0)</f>
        <v>0</v>
      </c>
      <c r="N96" s="61">
        <f ca="1">IF(VALUE(TimeRemaining[#Headers])&lt;='Construction Dashboard'!$F46,IFERROR(VLOOKUP(TimeRemaining[[#This Row],[Time]],Upgrades[],MATCH("T"&amp;TimeRemaining[#Headers],Upgrades[#Headers],0),FALSE),0)*MAX(0,SUM('Construction Dashboard'!$G46:O46)),0)</f>
        <v>0</v>
      </c>
      <c r="O96" s="61">
        <f ca="1">IF(VALUE(TimeRemaining[#Headers])&lt;='Construction Dashboard'!$F46,IFERROR(VLOOKUP(TimeRemaining[[#This Row],[Time]],Upgrades[],MATCH("T"&amp;TimeRemaining[#Headers],Upgrades[#Headers],0),FALSE),0)*MAX(0,SUM('Construction Dashboard'!$G46:P46)),0)</f>
        <v>0</v>
      </c>
      <c r="P96" s="61">
        <f ca="1">IF(VALUE(TimeRemaining[#Headers])&lt;='Construction Dashboard'!$F46,IFERROR(VLOOKUP(TimeRemaining[[#This Row],[Time]],Upgrades[],MATCH("T"&amp;TimeRemaining[#Headers],Upgrades[#Headers],0),FALSE),0)*MAX(0,SUM('Construction Dashboard'!$G46:Q46)),0)</f>
        <v>0</v>
      </c>
      <c r="Q96" s="61">
        <f ca="1">IF(VALUE(TimeRemaining[#Headers])&lt;='Construction Dashboard'!$F46,IFERROR(VLOOKUP(TimeRemaining[[#This Row],[Time]],Upgrades[],MATCH("T"&amp;TimeRemaining[#Headers],Upgrades[#Headers],0),FALSE),0)*MAX(0,SUM('Construction Dashboard'!$G46:R46)),0)</f>
        <v>0</v>
      </c>
      <c r="R96" s="61">
        <f ca="1">IF(TimeRemaining[[#This Row],[MatchStr]]="IGNORE",0,SUM(TimeRemaining[[#This Row],[1]:[12]]))</f>
        <v>0</v>
      </c>
    </row>
    <row r="97" spans="1:18">
      <c r="A97" s="11" t="s">
        <v>27</v>
      </c>
      <c r="B97" s="11" t="str">
        <f>VLOOKUP(TimeRemaining[[#This Row],[Time]],Upgrades[],MATCH("Kind",Upgrades[#Headers],0),FALSE)</f>
        <v>Building</v>
      </c>
      <c r="C97" s="11" t="str">
        <f>VLOOKUP(TimeRemaining[[#This Row],[Time]],Upgrades[],MATCH("Resource",Upgrades[#Headers],0),FALSE)</f>
        <v>Gold</v>
      </c>
      <c r="D97" s="131" t="str">
        <f>IF(COUNTIF(Skips,TimeRemaining[[#This Row],[Time]])&gt;0,"IGNORE",TimeRemaining[Kind]&amp;"-"&amp;TimeRemaining[Resource])</f>
        <v>Building-Gold</v>
      </c>
      <c r="E97" s="54" t="str">
        <f ca="1">IFERROR(VLOOKUP(TimeRemaining[[#This Row],[Time]],Upgrades[],MATCH("T"&amp;MATCH(TRUE,INDEX(TimeRemaining[[#This Row],[1]:[12]]&lt;&gt;0,),0),Upgrades[#Headers],0),FALSE),"")</f>
        <v/>
      </c>
      <c r="F97" s="61">
        <f ca="1">IF(VALUE(TimeRemaining[#Headers])&lt;='Construction Dashboard'!$F47,IFERROR(VLOOKUP(TimeRemaining[[#This Row],[Time]],Upgrades[],MATCH("T"&amp;TimeRemaining[#Headers],Upgrades[#Headers],0),FALSE),0)*MAX(0,SUM('Construction Dashboard'!$G47:G47)),0)</f>
        <v>0</v>
      </c>
      <c r="G97" s="61">
        <f ca="1">IF(VALUE(TimeRemaining[#Headers])&lt;='Construction Dashboard'!$F47,IFERROR(VLOOKUP(TimeRemaining[[#This Row],[Time]],Upgrades[],MATCH("T"&amp;TimeRemaining[#Headers],Upgrades[#Headers],0),FALSE),0)*MAX(0,SUM('Construction Dashboard'!$G47:H47)),0)</f>
        <v>0</v>
      </c>
      <c r="H97" s="61">
        <f ca="1">IF(VALUE(TimeRemaining[#Headers])&lt;='Construction Dashboard'!$F47,IFERROR(VLOOKUP(TimeRemaining[[#This Row],[Time]],Upgrades[],MATCH("T"&amp;TimeRemaining[#Headers],Upgrades[#Headers],0),FALSE),0)*MAX(0,SUM('Construction Dashboard'!$G47:I47)),0)</f>
        <v>0</v>
      </c>
      <c r="I97" s="61">
        <f ca="1">IF(VALUE(TimeRemaining[#Headers])&lt;='Construction Dashboard'!$F47,IFERROR(VLOOKUP(TimeRemaining[[#This Row],[Time]],Upgrades[],MATCH("T"&amp;TimeRemaining[#Headers],Upgrades[#Headers],0),FALSE),0)*MAX(0,SUM('Construction Dashboard'!$G47:J47)),0)</f>
        <v>0</v>
      </c>
      <c r="J97" s="61">
        <f ca="1">IF(VALUE(TimeRemaining[#Headers])&lt;='Construction Dashboard'!$F47,IFERROR(VLOOKUP(TimeRemaining[[#This Row],[Time]],Upgrades[],MATCH("T"&amp;TimeRemaining[#Headers],Upgrades[#Headers],0),FALSE),0)*MAX(0,SUM('Construction Dashboard'!$G47:K47)),0)</f>
        <v>0</v>
      </c>
      <c r="K97" s="61">
        <f ca="1">IF(VALUE(TimeRemaining[#Headers])&lt;='Construction Dashboard'!$F47,IFERROR(VLOOKUP(TimeRemaining[[#This Row],[Time]],Upgrades[],MATCH("T"&amp;TimeRemaining[#Headers],Upgrades[#Headers],0),FALSE),0)*MAX(0,SUM('Construction Dashboard'!$G47:L47)),0)</f>
        <v>0</v>
      </c>
      <c r="L97" s="61">
        <f ca="1">IF(VALUE(TimeRemaining[#Headers])&lt;='Construction Dashboard'!$F47,IFERROR(VLOOKUP(TimeRemaining[[#This Row],[Time]],Upgrades[],MATCH("T"&amp;TimeRemaining[#Headers],Upgrades[#Headers],0),FALSE),0)*MAX(0,SUM('Construction Dashboard'!$G47:M47)),0)</f>
        <v>0</v>
      </c>
      <c r="M97" s="61">
        <f ca="1">IF(VALUE(TimeRemaining[#Headers])&lt;='Construction Dashboard'!$F47,IFERROR(VLOOKUP(TimeRemaining[[#This Row],[Time]],Upgrades[],MATCH("T"&amp;TimeRemaining[#Headers],Upgrades[#Headers],0),FALSE),0)*MAX(0,SUM('Construction Dashboard'!$G47:N47)),0)</f>
        <v>0</v>
      </c>
      <c r="N97" s="61">
        <f ca="1">IF(VALUE(TimeRemaining[#Headers])&lt;='Construction Dashboard'!$F47,IFERROR(VLOOKUP(TimeRemaining[[#This Row],[Time]],Upgrades[],MATCH("T"&amp;TimeRemaining[#Headers],Upgrades[#Headers],0),FALSE),0)*MAX(0,SUM('Construction Dashboard'!$G47:O47)),0)</f>
        <v>0</v>
      </c>
      <c r="O97" s="61">
        <f ca="1">IF(VALUE(TimeRemaining[#Headers])&lt;='Construction Dashboard'!$F47,IFERROR(VLOOKUP(TimeRemaining[[#This Row],[Time]],Upgrades[],MATCH("T"&amp;TimeRemaining[#Headers],Upgrades[#Headers],0),FALSE),0)*MAX(0,SUM('Construction Dashboard'!$G47:P47)),0)</f>
        <v>0</v>
      </c>
      <c r="P97" s="61">
        <f ca="1">IF(VALUE(TimeRemaining[#Headers])&lt;='Construction Dashboard'!$F47,IFERROR(VLOOKUP(TimeRemaining[[#This Row],[Time]],Upgrades[],MATCH("T"&amp;TimeRemaining[#Headers],Upgrades[#Headers],0),FALSE),0)*MAX(0,SUM('Construction Dashboard'!$G47:Q47)),0)</f>
        <v>0</v>
      </c>
      <c r="Q97" s="61">
        <f ca="1">IF(VALUE(TimeRemaining[#Headers])&lt;='Construction Dashboard'!$F47,IFERROR(VLOOKUP(TimeRemaining[[#This Row],[Time]],Upgrades[],MATCH("T"&amp;TimeRemaining[#Headers],Upgrades[#Headers],0),FALSE),0)*MAX(0,SUM('Construction Dashboard'!$G47:R47)),0)</f>
        <v>0</v>
      </c>
      <c r="R97" s="61">
        <f ca="1">IF(TimeRemaining[[#This Row],[MatchStr]]="IGNORE",0,SUM(TimeRemaining[[#This Row],[1]:[12]]))</f>
        <v>0</v>
      </c>
    </row>
    <row r="98" spans="1:18">
      <c r="A98" s="11" t="s">
        <v>11</v>
      </c>
      <c r="B98" s="11" t="str">
        <f>VLOOKUP(TimeRemaining[[#This Row],[Time]],Upgrades[],MATCH("Kind",Upgrades[#Headers],0),FALSE)</f>
        <v>Building</v>
      </c>
      <c r="C98" s="11" t="str">
        <f>VLOOKUP(TimeRemaining[[#This Row],[Time]],Upgrades[],MATCH("Resource",Upgrades[#Headers],0),FALSE)</f>
        <v>Gold</v>
      </c>
      <c r="D98" s="131" t="str">
        <f>IF(COUNTIF(Skips,TimeRemaining[[#This Row],[Time]])&gt;0,"IGNORE",TimeRemaining[Kind]&amp;"-"&amp;TimeRemaining[Resource])</f>
        <v>Building-Gold</v>
      </c>
      <c r="E98" s="54" t="str">
        <f ca="1">IFERROR(VLOOKUP(TimeRemaining[[#This Row],[Time]],Upgrades[],MATCH("T"&amp;MATCH(TRUE,INDEX(TimeRemaining[[#This Row],[1]:[12]]&lt;&gt;0,),0),Upgrades[#Headers],0),FALSE),"")</f>
        <v/>
      </c>
      <c r="F98" s="61">
        <f ca="1">IF(VALUE(TimeRemaining[#Headers])&lt;='Construction Dashboard'!$F48,IFERROR(VLOOKUP(TimeRemaining[[#This Row],[Time]],Upgrades[],MATCH("T"&amp;TimeRemaining[#Headers],Upgrades[#Headers],0),FALSE),0)*MAX(0,SUM('Construction Dashboard'!$G48:G48)),0)</f>
        <v>0</v>
      </c>
      <c r="G98" s="61">
        <f ca="1">IF(VALUE(TimeRemaining[#Headers])&lt;='Construction Dashboard'!$F48,IFERROR(VLOOKUP(TimeRemaining[[#This Row],[Time]],Upgrades[],MATCH("T"&amp;TimeRemaining[#Headers],Upgrades[#Headers],0),FALSE),0)*MAX(0,SUM('Construction Dashboard'!$G48:H48)),0)</f>
        <v>0</v>
      </c>
      <c r="H98" s="61">
        <f ca="1">IF(VALUE(TimeRemaining[#Headers])&lt;='Construction Dashboard'!$F48,IFERROR(VLOOKUP(TimeRemaining[[#This Row],[Time]],Upgrades[],MATCH("T"&amp;TimeRemaining[#Headers],Upgrades[#Headers],0),FALSE),0)*MAX(0,SUM('Construction Dashboard'!$G48:I48)),0)</f>
        <v>0</v>
      </c>
      <c r="I98" s="61">
        <f ca="1">IF(VALUE(TimeRemaining[#Headers])&lt;='Construction Dashboard'!$F48,IFERROR(VLOOKUP(TimeRemaining[[#This Row],[Time]],Upgrades[],MATCH("T"&amp;TimeRemaining[#Headers],Upgrades[#Headers],0),FALSE),0)*MAX(0,SUM('Construction Dashboard'!$G48:J48)),0)</f>
        <v>0</v>
      </c>
      <c r="J98" s="61">
        <f ca="1">IF(VALUE(TimeRemaining[#Headers])&lt;='Construction Dashboard'!$F48,IFERROR(VLOOKUP(TimeRemaining[[#This Row],[Time]],Upgrades[],MATCH("T"&amp;TimeRemaining[#Headers],Upgrades[#Headers],0),FALSE),0)*MAX(0,SUM('Construction Dashboard'!$G48:K48)),0)</f>
        <v>0</v>
      </c>
      <c r="K98" s="61">
        <f ca="1">IF(VALUE(TimeRemaining[#Headers])&lt;='Construction Dashboard'!$F48,IFERROR(VLOOKUP(TimeRemaining[[#This Row],[Time]],Upgrades[],MATCH("T"&amp;TimeRemaining[#Headers],Upgrades[#Headers],0),FALSE),0)*MAX(0,SUM('Construction Dashboard'!$G48:L48)),0)</f>
        <v>0</v>
      </c>
      <c r="L98" s="61">
        <f ca="1">IF(VALUE(TimeRemaining[#Headers])&lt;='Construction Dashboard'!$F48,IFERROR(VLOOKUP(TimeRemaining[[#This Row],[Time]],Upgrades[],MATCH("T"&amp;TimeRemaining[#Headers],Upgrades[#Headers],0),FALSE),0)*MAX(0,SUM('Construction Dashboard'!$G48:M48)),0)</f>
        <v>0</v>
      </c>
      <c r="M98" s="61">
        <f ca="1">IF(VALUE(TimeRemaining[#Headers])&lt;='Construction Dashboard'!$F48,IFERROR(VLOOKUP(TimeRemaining[[#This Row],[Time]],Upgrades[],MATCH("T"&amp;TimeRemaining[#Headers],Upgrades[#Headers],0),FALSE),0)*MAX(0,SUM('Construction Dashboard'!$G48:N48)),0)</f>
        <v>0</v>
      </c>
      <c r="N98" s="61">
        <f ca="1">IF(VALUE(TimeRemaining[#Headers])&lt;='Construction Dashboard'!$F48,IFERROR(VLOOKUP(TimeRemaining[[#This Row],[Time]],Upgrades[],MATCH("T"&amp;TimeRemaining[#Headers],Upgrades[#Headers],0),FALSE),0)*MAX(0,SUM('Construction Dashboard'!$G48:O48)),0)</f>
        <v>0</v>
      </c>
      <c r="O98" s="61">
        <f ca="1">IF(VALUE(TimeRemaining[#Headers])&lt;='Construction Dashboard'!$F48,IFERROR(VLOOKUP(TimeRemaining[[#This Row],[Time]],Upgrades[],MATCH("T"&amp;TimeRemaining[#Headers],Upgrades[#Headers],0),FALSE),0)*MAX(0,SUM('Construction Dashboard'!$G48:P48)),0)</f>
        <v>0</v>
      </c>
      <c r="P98" s="61">
        <f ca="1">IF(VALUE(TimeRemaining[#Headers])&lt;='Construction Dashboard'!$F48,IFERROR(VLOOKUP(TimeRemaining[[#This Row],[Time]],Upgrades[],MATCH("T"&amp;TimeRemaining[#Headers],Upgrades[#Headers],0),FALSE),0)*MAX(0,SUM('Construction Dashboard'!$G48:Q48)),0)</f>
        <v>0</v>
      </c>
      <c r="Q98" s="61">
        <f ca="1">IF(VALUE(TimeRemaining[#Headers])&lt;='Construction Dashboard'!$F48,IFERROR(VLOOKUP(TimeRemaining[[#This Row],[Time]],Upgrades[],MATCH("T"&amp;TimeRemaining[#Headers],Upgrades[#Headers],0),FALSE),0)*MAX(0,SUM('Construction Dashboard'!$G48:R48)),0)</f>
        <v>0</v>
      </c>
      <c r="R98" s="61">
        <f ca="1">IF(TimeRemaining[[#This Row],[MatchStr]]="IGNORE",0,SUM(TimeRemaining[[#This Row],[1]:[12]]))</f>
        <v>0</v>
      </c>
    </row>
    <row r="99" spans="1:18">
      <c r="A99" s="11" t="s">
        <v>12</v>
      </c>
      <c r="B99" s="11" t="str">
        <f>VLOOKUP(TimeRemaining[[#This Row],[Time]],Upgrades[],MATCH("Kind",Upgrades[#Headers],0),FALSE)</f>
        <v>Building</v>
      </c>
      <c r="C99" s="11" t="str">
        <f>VLOOKUP(TimeRemaining[[#This Row],[Time]],Upgrades[],MATCH("Resource",Upgrades[#Headers],0),FALSE)</f>
        <v>Gold</v>
      </c>
      <c r="D99" s="131" t="str">
        <f>IF(COUNTIF(Skips,TimeRemaining[[#This Row],[Time]])&gt;0,"IGNORE",TimeRemaining[Kind]&amp;"-"&amp;TimeRemaining[Resource])</f>
        <v>Building-Gold</v>
      </c>
      <c r="E99" s="54" t="str">
        <f ca="1">IFERROR(VLOOKUP(TimeRemaining[[#This Row],[Time]],Upgrades[],MATCH("T"&amp;MATCH(TRUE,INDEX(TimeRemaining[[#This Row],[1]:[12]]&lt;&gt;0,),0),Upgrades[#Headers],0),FALSE),"")</f>
        <v/>
      </c>
      <c r="F99" s="61">
        <f ca="1">IF(VALUE(TimeRemaining[#Headers])&lt;='Construction Dashboard'!$F49,IFERROR(VLOOKUP(TimeRemaining[[#This Row],[Time]],Upgrades[],MATCH("T"&amp;TimeRemaining[#Headers],Upgrades[#Headers],0),FALSE),0)*MAX(0,SUM('Construction Dashboard'!$G49:G49)),0)</f>
        <v>0</v>
      </c>
      <c r="G99" s="61">
        <f ca="1">IF(VALUE(TimeRemaining[#Headers])&lt;='Construction Dashboard'!$F49,IFERROR(VLOOKUP(TimeRemaining[[#This Row],[Time]],Upgrades[],MATCH("T"&amp;TimeRemaining[#Headers],Upgrades[#Headers],0),FALSE),0)*MAX(0,SUM('Construction Dashboard'!$G49:H49)),0)</f>
        <v>0</v>
      </c>
      <c r="H99" s="61">
        <f ca="1">IF(VALUE(TimeRemaining[#Headers])&lt;='Construction Dashboard'!$F49,IFERROR(VLOOKUP(TimeRemaining[[#This Row],[Time]],Upgrades[],MATCH("T"&amp;TimeRemaining[#Headers],Upgrades[#Headers],0),FALSE),0)*MAX(0,SUM('Construction Dashboard'!$G49:I49)),0)</f>
        <v>0</v>
      </c>
      <c r="I99" s="61">
        <f ca="1">IF(VALUE(TimeRemaining[#Headers])&lt;='Construction Dashboard'!$F49,IFERROR(VLOOKUP(TimeRemaining[[#This Row],[Time]],Upgrades[],MATCH("T"&amp;TimeRemaining[#Headers],Upgrades[#Headers],0),FALSE),0)*MAX(0,SUM('Construction Dashboard'!$G49:J49)),0)</f>
        <v>0</v>
      </c>
      <c r="J99" s="61">
        <f ca="1">IF(VALUE(TimeRemaining[#Headers])&lt;='Construction Dashboard'!$F49,IFERROR(VLOOKUP(TimeRemaining[[#This Row],[Time]],Upgrades[],MATCH("T"&amp;TimeRemaining[#Headers],Upgrades[#Headers],0),FALSE),0)*MAX(0,SUM('Construction Dashboard'!$G49:K49)),0)</f>
        <v>0</v>
      </c>
      <c r="K99" s="61">
        <f ca="1">IF(VALUE(TimeRemaining[#Headers])&lt;='Construction Dashboard'!$F49,IFERROR(VLOOKUP(TimeRemaining[[#This Row],[Time]],Upgrades[],MATCH("T"&amp;TimeRemaining[#Headers],Upgrades[#Headers],0),FALSE),0)*MAX(0,SUM('Construction Dashboard'!$G49:L49)),0)</f>
        <v>0</v>
      </c>
      <c r="L99" s="61">
        <f ca="1">IF(VALUE(TimeRemaining[#Headers])&lt;='Construction Dashboard'!$F49,IFERROR(VLOOKUP(TimeRemaining[[#This Row],[Time]],Upgrades[],MATCH("T"&amp;TimeRemaining[#Headers],Upgrades[#Headers],0),FALSE),0)*MAX(0,SUM('Construction Dashboard'!$G49:M49)),0)</f>
        <v>0</v>
      </c>
      <c r="M99" s="61">
        <f ca="1">IF(VALUE(TimeRemaining[#Headers])&lt;='Construction Dashboard'!$F49,IFERROR(VLOOKUP(TimeRemaining[[#This Row],[Time]],Upgrades[],MATCH("T"&amp;TimeRemaining[#Headers],Upgrades[#Headers],0),FALSE),0)*MAX(0,SUM('Construction Dashboard'!$G49:N49)),0)</f>
        <v>0</v>
      </c>
      <c r="N99" s="61">
        <f ca="1">IF(VALUE(TimeRemaining[#Headers])&lt;='Construction Dashboard'!$F49,IFERROR(VLOOKUP(TimeRemaining[[#This Row],[Time]],Upgrades[],MATCH("T"&amp;TimeRemaining[#Headers],Upgrades[#Headers],0),FALSE),0)*MAX(0,SUM('Construction Dashboard'!$G49:O49)),0)</f>
        <v>0</v>
      </c>
      <c r="O99" s="61">
        <f ca="1">IF(VALUE(TimeRemaining[#Headers])&lt;='Construction Dashboard'!$F49,IFERROR(VLOOKUP(TimeRemaining[[#This Row],[Time]],Upgrades[],MATCH("T"&amp;TimeRemaining[#Headers],Upgrades[#Headers],0),FALSE),0)*MAX(0,SUM('Construction Dashboard'!$G49:P49)),0)</f>
        <v>0</v>
      </c>
      <c r="P99" s="61">
        <f ca="1">IF(VALUE(TimeRemaining[#Headers])&lt;='Construction Dashboard'!$F49,IFERROR(VLOOKUP(TimeRemaining[[#This Row],[Time]],Upgrades[],MATCH("T"&amp;TimeRemaining[#Headers],Upgrades[#Headers],0),FALSE),0)*MAX(0,SUM('Construction Dashboard'!$G49:Q49)),0)</f>
        <v>0</v>
      </c>
      <c r="Q99" s="61">
        <f ca="1">IF(VALUE(TimeRemaining[#Headers])&lt;='Construction Dashboard'!$F49,IFERROR(VLOOKUP(TimeRemaining[[#This Row],[Time]],Upgrades[],MATCH("T"&amp;TimeRemaining[#Headers],Upgrades[#Headers],0),FALSE),0)*MAX(0,SUM('Construction Dashboard'!$G49:R49)),0)</f>
        <v>0</v>
      </c>
      <c r="R99" s="61">
        <f ca="1">IF(TimeRemaining[[#This Row],[MatchStr]]="IGNORE",0,SUM(TimeRemaining[[#This Row],[1]:[12]]))</f>
        <v>0</v>
      </c>
    </row>
    <row r="100" spans="1:18">
      <c r="A100" s="11" t="s">
        <v>28</v>
      </c>
      <c r="B100" s="11" t="str">
        <f>VLOOKUP(TimeRemaining[[#This Row],[Time]],Upgrades[],MATCH("Kind",Upgrades[#Headers],0),FALSE)</f>
        <v>Building</v>
      </c>
      <c r="C100" s="11" t="str">
        <f>VLOOKUP(TimeRemaining[[#This Row],[Time]],Upgrades[],MATCH("Resource",Upgrades[#Headers],0),FALSE)</f>
        <v>Gold</v>
      </c>
      <c r="D100" s="131" t="str">
        <f>IF(COUNTIF(Skips,TimeRemaining[[#This Row],[Time]])&gt;0,"IGNORE",TimeRemaining[Kind]&amp;"-"&amp;TimeRemaining[Resource])</f>
        <v>Building-Gold</v>
      </c>
      <c r="E100" s="54" t="str">
        <f ca="1">IFERROR(VLOOKUP(TimeRemaining[[#This Row],[Time]],Upgrades[],MATCH("T"&amp;MATCH(TRUE,INDEX(TimeRemaining[[#This Row],[1]:[12]]&lt;&gt;0,),0),Upgrades[#Headers],0),FALSE),"")</f>
        <v/>
      </c>
      <c r="F100" s="61">
        <f ca="1">IF(VALUE(TimeRemaining[#Headers])&lt;='Construction Dashboard'!$F50,IFERROR(VLOOKUP(TimeRemaining[[#This Row],[Time]],Upgrades[],MATCH("T"&amp;TimeRemaining[#Headers],Upgrades[#Headers],0),FALSE),0)*MAX(0,SUM('Construction Dashboard'!$G50:G50)),0)</f>
        <v>0</v>
      </c>
      <c r="G100" s="61">
        <f ca="1">IF(VALUE(TimeRemaining[#Headers])&lt;='Construction Dashboard'!$F50,IFERROR(VLOOKUP(TimeRemaining[[#This Row],[Time]],Upgrades[],MATCH("T"&amp;TimeRemaining[#Headers],Upgrades[#Headers],0),FALSE),0)*MAX(0,SUM('Construction Dashboard'!$G50:H50)),0)</f>
        <v>0</v>
      </c>
      <c r="H100" s="61">
        <f ca="1">IF(VALUE(TimeRemaining[#Headers])&lt;='Construction Dashboard'!$F50,IFERROR(VLOOKUP(TimeRemaining[[#This Row],[Time]],Upgrades[],MATCH("T"&amp;TimeRemaining[#Headers],Upgrades[#Headers],0),FALSE),0)*MAX(0,SUM('Construction Dashboard'!$G50:I50)),0)</f>
        <v>0</v>
      </c>
      <c r="I100" s="61">
        <f ca="1">IF(VALUE(TimeRemaining[#Headers])&lt;='Construction Dashboard'!$F50,IFERROR(VLOOKUP(TimeRemaining[[#This Row],[Time]],Upgrades[],MATCH("T"&amp;TimeRemaining[#Headers],Upgrades[#Headers],0),FALSE),0)*MAX(0,SUM('Construction Dashboard'!$G50:J50)),0)</f>
        <v>0</v>
      </c>
      <c r="J100" s="61">
        <f ca="1">IF(VALUE(TimeRemaining[#Headers])&lt;='Construction Dashboard'!$F50,IFERROR(VLOOKUP(TimeRemaining[[#This Row],[Time]],Upgrades[],MATCH("T"&amp;TimeRemaining[#Headers],Upgrades[#Headers],0),FALSE),0)*MAX(0,SUM('Construction Dashboard'!$G50:K50)),0)</f>
        <v>0</v>
      </c>
      <c r="K100" s="61">
        <f ca="1">IF(VALUE(TimeRemaining[#Headers])&lt;='Construction Dashboard'!$F50,IFERROR(VLOOKUP(TimeRemaining[[#This Row],[Time]],Upgrades[],MATCH("T"&amp;TimeRemaining[#Headers],Upgrades[#Headers],0),FALSE),0)*MAX(0,SUM('Construction Dashboard'!$G50:L50)),0)</f>
        <v>0</v>
      </c>
      <c r="L100" s="61">
        <f ca="1">IF(VALUE(TimeRemaining[#Headers])&lt;='Construction Dashboard'!$F50,IFERROR(VLOOKUP(TimeRemaining[[#This Row],[Time]],Upgrades[],MATCH("T"&amp;TimeRemaining[#Headers],Upgrades[#Headers],0),FALSE),0)*MAX(0,SUM('Construction Dashboard'!$G50:M50)),0)</f>
        <v>0</v>
      </c>
      <c r="M100" s="61">
        <f ca="1">IF(VALUE(TimeRemaining[#Headers])&lt;='Construction Dashboard'!$F50,IFERROR(VLOOKUP(TimeRemaining[[#This Row],[Time]],Upgrades[],MATCH("T"&amp;TimeRemaining[#Headers],Upgrades[#Headers],0),FALSE),0)*MAX(0,SUM('Construction Dashboard'!$G50:N50)),0)</f>
        <v>0</v>
      </c>
      <c r="N100" s="61">
        <f ca="1">IF(VALUE(TimeRemaining[#Headers])&lt;='Construction Dashboard'!$F50,IFERROR(VLOOKUP(TimeRemaining[[#This Row],[Time]],Upgrades[],MATCH("T"&amp;TimeRemaining[#Headers],Upgrades[#Headers],0),FALSE),0)*MAX(0,SUM('Construction Dashboard'!$G50:O50)),0)</f>
        <v>0</v>
      </c>
      <c r="O100" s="61">
        <f ca="1">IF(VALUE(TimeRemaining[#Headers])&lt;='Construction Dashboard'!$F50,IFERROR(VLOOKUP(TimeRemaining[[#This Row],[Time]],Upgrades[],MATCH("T"&amp;TimeRemaining[#Headers],Upgrades[#Headers],0),FALSE),0)*MAX(0,SUM('Construction Dashboard'!$G50:P50)),0)</f>
        <v>0</v>
      </c>
      <c r="P100" s="61">
        <f ca="1">IF(VALUE(TimeRemaining[#Headers])&lt;='Construction Dashboard'!$F50,IFERROR(VLOOKUP(TimeRemaining[[#This Row],[Time]],Upgrades[],MATCH("T"&amp;TimeRemaining[#Headers],Upgrades[#Headers],0),FALSE),0)*MAX(0,SUM('Construction Dashboard'!$G50:Q50)),0)</f>
        <v>0</v>
      </c>
      <c r="Q100" s="61">
        <f ca="1">IF(VALUE(TimeRemaining[#Headers])&lt;='Construction Dashboard'!$F50,IFERROR(VLOOKUP(TimeRemaining[[#This Row],[Time]],Upgrades[],MATCH("T"&amp;TimeRemaining[#Headers],Upgrades[#Headers],0),FALSE),0)*MAX(0,SUM('Construction Dashboard'!$G50:R50)),0)</f>
        <v>0</v>
      </c>
      <c r="R100" s="61">
        <f ca="1">IF(TimeRemaining[[#This Row],[MatchStr]]="IGNORE",0,SUM(TimeRemaining[[#This Row],[1]:[12]]))</f>
        <v>0</v>
      </c>
    </row>
    <row r="101" spans="1:18">
      <c r="A101" s="11" t="s">
        <v>105</v>
      </c>
      <c r="B101" s="56" t="str">
        <f>VLOOKUP(TimeRemaining[[#This Row],[Time]],Upgrades[],MATCH("Kind",Upgrades[#Headers],0),FALSE)</f>
        <v>Building</v>
      </c>
      <c r="C101" s="56" t="str">
        <f>VLOOKUP(TimeRemaining[[#This Row],[Time]],Upgrades[],MATCH("Resource",Upgrades[#Headers],0),FALSE)</f>
        <v>Dark Elixir</v>
      </c>
      <c r="D101" s="132" t="str">
        <f>IF(COUNTIF(Skips,TimeRemaining[[#This Row],[Time]])&gt;0,"IGNORE",TimeRemaining[Kind]&amp;"-"&amp;TimeRemaining[Resource])</f>
        <v>Building-Dark Elixir</v>
      </c>
      <c r="E101" s="54" t="str">
        <f ca="1">IFERROR(VLOOKUP(TimeRemaining[[#This Row],[Time]],Upgrades[],MATCH("T"&amp;MATCH(TRUE,INDEX(TimeRemaining[[#This Row],[1]:[12]]&lt;&gt;0,),0),Upgrades[#Headers],0),FALSE),"")</f>
        <v/>
      </c>
      <c r="F101" s="61">
        <f ca="1">IF(VALUE(TimeRemaining[#Headers])&lt;='Construction Dashboard'!$F51,IFERROR(VLOOKUP(TimeRemaining[[#This Row],[Time]],Upgrades[],MATCH("T"&amp;TimeRemaining[#Headers],Upgrades[#Headers],0),FALSE),0)*MAX(0,SUM('Construction Dashboard'!$G51:G51)),0)</f>
        <v>0</v>
      </c>
      <c r="G101" s="61">
        <f ca="1">IF(VALUE(TimeRemaining[#Headers])&lt;='Construction Dashboard'!$F51,IFERROR(VLOOKUP(TimeRemaining[[#This Row],[Time]],Upgrades[],MATCH("T"&amp;TimeRemaining[#Headers],Upgrades[#Headers],0),FALSE),0)*MAX(0,SUM('Construction Dashboard'!$G51:H51)),0)</f>
        <v>0</v>
      </c>
      <c r="H101" s="61">
        <f ca="1">IF(VALUE(TimeRemaining[#Headers])&lt;='Construction Dashboard'!$F51,IFERROR(VLOOKUP(TimeRemaining[[#This Row],[Time]],Upgrades[],MATCH("T"&amp;TimeRemaining[#Headers],Upgrades[#Headers],0),FALSE),0)*MAX(0,SUM('Construction Dashboard'!$G51:I51)),0)</f>
        <v>0</v>
      </c>
      <c r="I101" s="61">
        <f ca="1">IF(VALUE(TimeRemaining[#Headers])&lt;='Construction Dashboard'!$F51,IFERROR(VLOOKUP(TimeRemaining[[#This Row],[Time]],Upgrades[],MATCH("T"&amp;TimeRemaining[#Headers],Upgrades[#Headers],0),FALSE),0)*MAX(0,SUM('Construction Dashboard'!$G51:J51)),0)</f>
        <v>0</v>
      </c>
      <c r="J101" s="61">
        <f ca="1">IF(VALUE(TimeRemaining[#Headers])&lt;='Construction Dashboard'!$F51,IFERROR(VLOOKUP(TimeRemaining[[#This Row],[Time]],Upgrades[],MATCH("T"&amp;TimeRemaining[#Headers],Upgrades[#Headers],0),FALSE),0)*MAX(0,SUM('Construction Dashboard'!$G51:K51)),0)</f>
        <v>0</v>
      </c>
      <c r="K101" s="61">
        <f ca="1">IF(VALUE(TimeRemaining[#Headers])&lt;='Construction Dashboard'!$F51,IFERROR(VLOOKUP(TimeRemaining[[#This Row],[Time]],Upgrades[],MATCH("T"&amp;TimeRemaining[#Headers],Upgrades[#Headers],0),FALSE),0)*MAX(0,SUM('Construction Dashboard'!$G51:L51)),0)</f>
        <v>0</v>
      </c>
      <c r="L101" s="61">
        <f ca="1">IF(VALUE(TimeRemaining[#Headers])&lt;='Construction Dashboard'!$F51,IFERROR(VLOOKUP(TimeRemaining[[#This Row],[Time]],Upgrades[],MATCH("T"&amp;TimeRemaining[#Headers],Upgrades[#Headers],0),FALSE),0)*MAX(0,SUM('Construction Dashboard'!$G51:M51)),0)</f>
        <v>0</v>
      </c>
      <c r="M101" s="61">
        <f ca="1">IF(VALUE(TimeRemaining[#Headers])&lt;='Construction Dashboard'!$F51,IFERROR(VLOOKUP(TimeRemaining[[#This Row],[Time]],Upgrades[],MATCH("T"&amp;TimeRemaining[#Headers],Upgrades[#Headers],0),FALSE),0)*MAX(0,SUM('Construction Dashboard'!$G51:N51)),0)</f>
        <v>0</v>
      </c>
      <c r="N101" s="61">
        <f ca="1">IF(VALUE(TimeRemaining[#Headers])&lt;='Construction Dashboard'!$F51,IFERROR(VLOOKUP(TimeRemaining[[#This Row],[Time]],Upgrades[],MATCH("T"&amp;TimeRemaining[#Headers],Upgrades[#Headers],0),FALSE),0)*MAX(0,SUM('Construction Dashboard'!$G51:O51)),0)</f>
        <v>0</v>
      </c>
      <c r="O101" s="61">
        <f ca="1">IF(VALUE(TimeRemaining[#Headers])&lt;='Construction Dashboard'!$F51,IFERROR(VLOOKUP(TimeRemaining[[#This Row],[Time]],Upgrades[],MATCH("T"&amp;TimeRemaining[#Headers],Upgrades[#Headers],0),FALSE),0)*MAX(0,SUM('Construction Dashboard'!$G51:P51)),0)</f>
        <v>0</v>
      </c>
      <c r="P101" s="61">
        <f ca="1">IF(VALUE(TimeRemaining[#Headers])&lt;='Construction Dashboard'!$F51,IFERROR(VLOOKUP(TimeRemaining[[#This Row],[Time]],Upgrades[],MATCH("T"&amp;TimeRemaining[#Headers],Upgrades[#Headers],0),FALSE),0)*MAX(0,SUM('Construction Dashboard'!$G51:Q51)),0)</f>
        <v>0</v>
      </c>
      <c r="Q101" s="61">
        <f ca="1">IF(VALUE(TimeRemaining[#Headers])&lt;='Construction Dashboard'!$F51,IFERROR(VLOOKUP(TimeRemaining[[#This Row],[Time]],Upgrades[],MATCH("T"&amp;TimeRemaining[#Headers],Upgrades[#Headers],0),FALSE),0)*MAX(0,SUM('Construction Dashboard'!$G51:R51)),0)</f>
        <v>0</v>
      </c>
      <c r="R101" s="61">
        <f ca="1">IF(TimeRemaining[[#This Row],[MatchStr]]="IGNORE",0,SUM(TimeRemaining[[#This Row],[1]:[12]]))</f>
        <v>0</v>
      </c>
    </row>
    <row r="102" spans="1:18">
      <c r="A102" s="11" t="s">
        <v>106</v>
      </c>
      <c r="B102" s="56" t="str">
        <f>VLOOKUP(TimeRemaining[[#This Row],[Time]],Upgrades[],MATCH("Kind",Upgrades[#Headers],0),FALSE)</f>
        <v>Building</v>
      </c>
      <c r="C102" s="56" t="str">
        <f>VLOOKUP(TimeRemaining[[#This Row],[Time]],Upgrades[],MATCH("Resource",Upgrades[#Headers],0),FALSE)</f>
        <v>Dark Elixir</v>
      </c>
      <c r="D102" s="132" t="str">
        <f>IF(COUNTIF(Skips,TimeRemaining[[#This Row],[Time]])&gt;0,"IGNORE",TimeRemaining[Kind]&amp;"-"&amp;TimeRemaining[Resource])</f>
        <v>Building-Dark Elixir</v>
      </c>
      <c r="E102" s="54" t="str">
        <f ca="1">IFERROR(VLOOKUP(TimeRemaining[[#This Row],[Time]],Upgrades[],MATCH("T"&amp;MATCH(TRUE,INDEX(TimeRemaining[[#This Row],[1]:[12]]&lt;&gt;0,),0),Upgrades[#Headers],0),FALSE),"")</f>
        <v/>
      </c>
      <c r="F102" s="61">
        <f ca="1">IF(VALUE(TimeRemaining[#Headers])&lt;='Construction Dashboard'!$F52,IFERROR(VLOOKUP(TimeRemaining[[#This Row],[Time]],Upgrades[],MATCH("T"&amp;TimeRemaining[#Headers],Upgrades[#Headers],0),FALSE),0)*MAX(0,SUM('Construction Dashboard'!$G52:G52)),0)</f>
        <v>0</v>
      </c>
      <c r="G102" s="61">
        <f ca="1">IF(VALUE(TimeRemaining[#Headers])&lt;='Construction Dashboard'!$F52,IFERROR(VLOOKUP(TimeRemaining[[#This Row],[Time]],Upgrades[],MATCH("T"&amp;TimeRemaining[#Headers],Upgrades[#Headers],0),FALSE),0)*MAX(0,SUM('Construction Dashboard'!$G52:H52)),0)</f>
        <v>0</v>
      </c>
      <c r="H102" s="61">
        <f ca="1">IF(VALUE(TimeRemaining[#Headers])&lt;='Construction Dashboard'!$F52,IFERROR(VLOOKUP(TimeRemaining[[#This Row],[Time]],Upgrades[],MATCH("T"&amp;TimeRemaining[#Headers],Upgrades[#Headers],0),FALSE),0)*MAX(0,SUM('Construction Dashboard'!$G52:I52)),0)</f>
        <v>0</v>
      </c>
      <c r="I102" s="61">
        <f ca="1">IF(VALUE(TimeRemaining[#Headers])&lt;='Construction Dashboard'!$F52,IFERROR(VLOOKUP(TimeRemaining[[#This Row],[Time]],Upgrades[],MATCH("T"&amp;TimeRemaining[#Headers],Upgrades[#Headers],0),FALSE),0)*MAX(0,SUM('Construction Dashboard'!$G52:J52)),0)</f>
        <v>0</v>
      </c>
      <c r="J102" s="61">
        <f ca="1">IF(VALUE(TimeRemaining[#Headers])&lt;='Construction Dashboard'!$F52,IFERROR(VLOOKUP(TimeRemaining[[#This Row],[Time]],Upgrades[],MATCH("T"&amp;TimeRemaining[#Headers],Upgrades[#Headers],0),FALSE),0)*MAX(0,SUM('Construction Dashboard'!$G52:K52)),0)</f>
        <v>0</v>
      </c>
      <c r="K102" s="61">
        <f ca="1">IF(VALUE(TimeRemaining[#Headers])&lt;='Construction Dashboard'!$F52,IFERROR(VLOOKUP(TimeRemaining[[#This Row],[Time]],Upgrades[],MATCH("T"&amp;TimeRemaining[#Headers],Upgrades[#Headers],0),FALSE),0)*MAX(0,SUM('Construction Dashboard'!$G52:L52)),0)</f>
        <v>0</v>
      </c>
      <c r="L102" s="61">
        <f ca="1">IF(VALUE(TimeRemaining[#Headers])&lt;='Construction Dashboard'!$F52,IFERROR(VLOOKUP(TimeRemaining[[#This Row],[Time]],Upgrades[],MATCH("T"&amp;TimeRemaining[#Headers],Upgrades[#Headers],0),FALSE),0)*MAX(0,SUM('Construction Dashboard'!$G52:M52)),0)</f>
        <v>0</v>
      </c>
      <c r="M102" s="61">
        <f ca="1">IF(VALUE(TimeRemaining[#Headers])&lt;='Construction Dashboard'!$F52,IFERROR(VLOOKUP(TimeRemaining[[#This Row],[Time]],Upgrades[],MATCH("T"&amp;TimeRemaining[#Headers],Upgrades[#Headers],0),FALSE),0)*MAX(0,SUM('Construction Dashboard'!$G52:N52)),0)</f>
        <v>0</v>
      </c>
      <c r="N102" s="61">
        <f ca="1">IF(VALUE(TimeRemaining[#Headers])&lt;='Construction Dashboard'!$F52,IFERROR(VLOOKUP(TimeRemaining[[#This Row],[Time]],Upgrades[],MATCH("T"&amp;TimeRemaining[#Headers],Upgrades[#Headers],0),FALSE),0)*MAX(0,SUM('Construction Dashboard'!$G52:O52)),0)</f>
        <v>0</v>
      </c>
      <c r="O102" s="61">
        <f ca="1">IF(VALUE(TimeRemaining[#Headers])&lt;='Construction Dashboard'!$F52,IFERROR(VLOOKUP(TimeRemaining[[#This Row],[Time]],Upgrades[],MATCH("T"&amp;TimeRemaining[#Headers],Upgrades[#Headers],0),FALSE),0)*MAX(0,SUM('Construction Dashboard'!$G52:P52)),0)</f>
        <v>0</v>
      </c>
      <c r="P102" s="61">
        <f ca="1">IF(VALUE(TimeRemaining[#Headers])&lt;='Construction Dashboard'!$F52,IFERROR(VLOOKUP(TimeRemaining[[#This Row],[Time]],Upgrades[],MATCH("T"&amp;TimeRemaining[#Headers],Upgrades[#Headers],0),FALSE),0)*MAX(0,SUM('Construction Dashboard'!$G52:Q52)),0)</f>
        <v>0</v>
      </c>
      <c r="Q102" s="61">
        <f ca="1">IF(VALUE(TimeRemaining[#Headers])&lt;='Construction Dashboard'!$F52,IFERROR(VLOOKUP(TimeRemaining[[#This Row],[Time]],Upgrades[],MATCH("T"&amp;TimeRemaining[#Headers],Upgrades[#Headers],0),FALSE),0)*MAX(0,SUM('Construction Dashboard'!$G52:R52)),0)</f>
        <v>0</v>
      </c>
      <c r="R102" s="61">
        <f ca="1">IF(TimeRemaining[[#This Row],[MatchStr]]="IGNORE",0,SUM(TimeRemaining[[#This Row],[1]:[12]]))</f>
        <v>0</v>
      </c>
    </row>
    <row r="103" spans="1:18">
      <c r="A103" s="11" t="s">
        <v>82</v>
      </c>
      <c r="B103" s="56" t="str">
        <f>VLOOKUP(TimeRemaining[[#This Row],[Time]],Upgrades[],MATCH("Kind",Upgrades[#Headers],0),FALSE)</f>
        <v>Upgrade</v>
      </c>
      <c r="C103" s="56" t="str">
        <f>VLOOKUP(TimeRemaining[[#This Row],[Time]],Upgrades[],MATCH("Resource",Upgrades[#Headers],0),FALSE)</f>
        <v>Elixir</v>
      </c>
      <c r="D103" s="132" t="str">
        <f>IF(COUNTIF(Skips,TimeRemaining[[#This Row],[Time]])&gt;0,"IGNORE",TimeRemaining[Kind]&amp;"-"&amp;TimeRemaining[Resource])</f>
        <v>Upgrade-Elixir</v>
      </c>
      <c r="E103" s="54" t="str">
        <f ca="1">IFERROR(VLOOKUP(TimeRemaining[[#This Row],[Time]],Upgrades[],MATCH("T"&amp;MATCH(TRUE,INDEX(TimeRemaining[[#This Row],[1]:[12]]&lt;&gt;0,),0),Upgrades[#Headers],0),FALSE),"")</f>
        <v/>
      </c>
      <c r="F103" s="61">
        <f ca="1">IF(VALUE(TimeRemaining[#Headers])&lt;='Construction Dashboard'!$F53,IFERROR(VLOOKUP(TimeRemaining[[#This Row],[Time]],Upgrades[],MATCH("T"&amp;TimeRemaining[#Headers],Upgrades[#Headers],0),FALSE),0)*MAX(0,SUM('Construction Dashboard'!$G53:G53)),0)</f>
        <v>0</v>
      </c>
      <c r="G103" s="61">
        <f ca="1">IF(VALUE(TimeRemaining[#Headers])&lt;='Construction Dashboard'!$F53,IFERROR(VLOOKUP(TimeRemaining[[#This Row],[Time]],Upgrades[],MATCH("T"&amp;TimeRemaining[#Headers],Upgrades[#Headers],0),FALSE),0)*MAX(0,SUM('Construction Dashboard'!$G53:H53)),0)</f>
        <v>0</v>
      </c>
      <c r="H103" s="61">
        <f ca="1">IF(VALUE(TimeRemaining[#Headers])&lt;='Construction Dashboard'!$F53,IFERROR(VLOOKUP(TimeRemaining[[#This Row],[Time]],Upgrades[],MATCH("T"&amp;TimeRemaining[#Headers],Upgrades[#Headers],0),FALSE),0)*MAX(0,SUM('Construction Dashboard'!$G53:I53)),0)</f>
        <v>0</v>
      </c>
      <c r="I103" s="61">
        <f ca="1">IF(VALUE(TimeRemaining[#Headers])&lt;='Construction Dashboard'!$F53,IFERROR(VLOOKUP(TimeRemaining[[#This Row],[Time]],Upgrades[],MATCH("T"&amp;TimeRemaining[#Headers],Upgrades[#Headers],0),FALSE),0)*MAX(0,SUM('Construction Dashboard'!$G53:J53)),0)</f>
        <v>0</v>
      </c>
      <c r="J103" s="61">
        <f ca="1">IF(VALUE(TimeRemaining[#Headers])&lt;='Construction Dashboard'!$F53,IFERROR(VLOOKUP(TimeRemaining[[#This Row],[Time]],Upgrades[],MATCH("T"&amp;TimeRemaining[#Headers],Upgrades[#Headers],0),FALSE),0)*MAX(0,SUM('Construction Dashboard'!$G53:K53)),0)</f>
        <v>0</v>
      </c>
      <c r="K103" s="61">
        <f ca="1">IF(VALUE(TimeRemaining[#Headers])&lt;='Construction Dashboard'!$F53,IFERROR(VLOOKUP(TimeRemaining[[#This Row],[Time]],Upgrades[],MATCH("T"&amp;TimeRemaining[#Headers],Upgrades[#Headers],0),FALSE),0)*MAX(0,SUM('Construction Dashboard'!$G53:L53)),0)</f>
        <v>0</v>
      </c>
      <c r="L103" s="61">
        <f ca="1">IF(VALUE(TimeRemaining[#Headers])&lt;='Construction Dashboard'!$F53,IFERROR(VLOOKUP(TimeRemaining[[#This Row],[Time]],Upgrades[],MATCH("T"&amp;TimeRemaining[#Headers],Upgrades[#Headers],0),FALSE),0)*MAX(0,SUM('Construction Dashboard'!$G53:M53)),0)</f>
        <v>0</v>
      </c>
      <c r="M103" s="61">
        <f ca="1">IF(VALUE(TimeRemaining[#Headers])&lt;='Construction Dashboard'!$F53,IFERROR(VLOOKUP(TimeRemaining[[#This Row],[Time]],Upgrades[],MATCH("T"&amp;TimeRemaining[#Headers],Upgrades[#Headers],0),FALSE),0)*MAX(0,SUM('Construction Dashboard'!$G53:N53)),0)</f>
        <v>0</v>
      </c>
      <c r="N103" s="61">
        <f ca="1">IF(VALUE(TimeRemaining[#Headers])&lt;='Construction Dashboard'!$F53,IFERROR(VLOOKUP(TimeRemaining[[#This Row],[Time]],Upgrades[],MATCH("T"&amp;TimeRemaining[#Headers],Upgrades[#Headers],0),FALSE),0)*MAX(0,SUM('Construction Dashboard'!$G53:O53)),0)</f>
        <v>0</v>
      </c>
      <c r="O103" s="61">
        <f ca="1">IF(VALUE(TimeRemaining[#Headers])&lt;='Construction Dashboard'!$F53,IFERROR(VLOOKUP(TimeRemaining[[#This Row],[Time]],Upgrades[],MATCH("T"&amp;TimeRemaining[#Headers],Upgrades[#Headers],0),FALSE),0)*MAX(0,SUM('Construction Dashboard'!$G53:P53)),0)</f>
        <v>0</v>
      </c>
      <c r="P103" s="61">
        <f ca="1">IF(VALUE(TimeRemaining[#Headers])&lt;='Construction Dashboard'!$F53,IFERROR(VLOOKUP(TimeRemaining[[#This Row],[Time]],Upgrades[],MATCH("T"&amp;TimeRemaining[#Headers],Upgrades[#Headers],0),FALSE),0)*MAX(0,SUM('Construction Dashboard'!$G53:Q53)),0)</f>
        <v>0</v>
      </c>
      <c r="Q103" s="61">
        <f ca="1">IF(VALUE(TimeRemaining[#Headers])&lt;='Construction Dashboard'!$F53,IFERROR(VLOOKUP(TimeRemaining[[#This Row],[Time]],Upgrades[],MATCH("T"&amp;TimeRemaining[#Headers],Upgrades[#Headers],0),FALSE),0)*MAX(0,SUM('Construction Dashboard'!$G53:R53)),0)</f>
        <v>0</v>
      </c>
      <c r="R103" s="61">
        <f ca="1">IF(TimeRemaining[[#This Row],[MatchStr]]="IGNORE",0,SUM(TimeRemaining[[#This Row],[1]:[12]]))</f>
        <v>0</v>
      </c>
    </row>
    <row r="104" spans="1:18">
      <c r="A104" s="11" t="s">
        <v>83</v>
      </c>
      <c r="B104" s="56" t="str">
        <f>VLOOKUP(TimeRemaining[[#This Row],[Time]],Upgrades[],MATCH("Kind",Upgrades[#Headers],0),FALSE)</f>
        <v>Upgrade</v>
      </c>
      <c r="C104" s="56" t="str">
        <f>VLOOKUP(TimeRemaining[[#This Row],[Time]],Upgrades[],MATCH("Resource",Upgrades[#Headers],0),FALSE)</f>
        <v>Elixir</v>
      </c>
      <c r="D104" s="132" t="str">
        <f>IF(COUNTIF(Skips,TimeRemaining[[#This Row],[Time]])&gt;0,"IGNORE",TimeRemaining[Kind]&amp;"-"&amp;TimeRemaining[Resource])</f>
        <v>Upgrade-Elixir</v>
      </c>
      <c r="E104" s="54" t="str">
        <f ca="1">IFERROR(VLOOKUP(TimeRemaining[[#This Row],[Time]],Upgrades[],MATCH("T"&amp;MATCH(TRUE,INDEX(TimeRemaining[[#This Row],[1]:[12]]&lt;&gt;0,),0),Upgrades[#Headers],0),FALSE),"")</f>
        <v/>
      </c>
      <c r="F104" s="61">
        <f ca="1">IF(VALUE(TimeRemaining[#Headers])&lt;='Construction Dashboard'!$F54,IFERROR(VLOOKUP(TimeRemaining[[#This Row],[Time]],Upgrades[],MATCH("T"&amp;TimeRemaining[#Headers],Upgrades[#Headers],0),FALSE),0)*MAX(0,SUM('Construction Dashboard'!$G54:G54)),0)</f>
        <v>0</v>
      </c>
      <c r="G104" s="61">
        <f ca="1">IF(VALUE(TimeRemaining[#Headers])&lt;='Construction Dashboard'!$F54,IFERROR(VLOOKUP(TimeRemaining[[#This Row],[Time]],Upgrades[],MATCH("T"&amp;TimeRemaining[#Headers],Upgrades[#Headers],0),FALSE),0)*MAX(0,SUM('Construction Dashboard'!$G54:H54)),0)</f>
        <v>0</v>
      </c>
      <c r="H104" s="61">
        <f ca="1">IF(VALUE(TimeRemaining[#Headers])&lt;='Construction Dashboard'!$F54,IFERROR(VLOOKUP(TimeRemaining[[#This Row],[Time]],Upgrades[],MATCH("T"&amp;TimeRemaining[#Headers],Upgrades[#Headers],0),FALSE),0)*MAX(0,SUM('Construction Dashboard'!$G54:I54)),0)</f>
        <v>0</v>
      </c>
      <c r="I104" s="61">
        <f ca="1">IF(VALUE(TimeRemaining[#Headers])&lt;='Construction Dashboard'!$F54,IFERROR(VLOOKUP(TimeRemaining[[#This Row],[Time]],Upgrades[],MATCH("T"&amp;TimeRemaining[#Headers],Upgrades[#Headers],0),FALSE),0)*MAX(0,SUM('Construction Dashboard'!$G54:J54)),0)</f>
        <v>0</v>
      </c>
      <c r="J104" s="61">
        <f ca="1">IF(VALUE(TimeRemaining[#Headers])&lt;='Construction Dashboard'!$F54,IFERROR(VLOOKUP(TimeRemaining[[#This Row],[Time]],Upgrades[],MATCH("T"&amp;TimeRemaining[#Headers],Upgrades[#Headers],0),FALSE),0)*MAX(0,SUM('Construction Dashboard'!$G54:K54)),0)</f>
        <v>0</v>
      </c>
      <c r="K104" s="61">
        <f ca="1">IF(VALUE(TimeRemaining[#Headers])&lt;='Construction Dashboard'!$F54,IFERROR(VLOOKUP(TimeRemaining[[#This Row],[Time]],Upgrades[],MATCH("T"&amp;TimeRemaining[#Headers],Upgrades[#Headers],0),FALSE),0)*MAX(0,SUM('Construction Dashboard'!$G54:L54)),0)</f>
        <v>0</v>
      </c>
      <c r="L104" s="61">
        <f ca="1">IF(VALUE(TimeRemaining[#Headers])&lt;='Construction Dashboard'!$F54,IFERROR(VLOOKUP(TimeRemaining[[#This Row],[Time]],Upgrades[],MATCH("T"&amp;TimeRemaining[#Headers],Upgrades[#Headers],0),FALSE),0)*MAX(0,SUM('Construction Dashboard'!$G54:M54)),0)</f>
        <v>0</v>
      </c>
      <c r="M104" s="61">
        <f ca="1">IF(VALUE(TimeRemaining[#Headers])&lt;='Construction Dashboard'!$F54,IFERROR(VLOOKUP(TimeRemaining[[#This Row],[Time]],Upgrades[],MATCH("T"&amp;TimeRemaining[#Headers],Upgrades[#Headers],0),FALSE),0)*MAX(0,SUM('Construction Dashboard'!$G54:N54)),0)</f>
        <v>0</v>
      </c>
      <c r="N104" s="61">
        <f ca="1">IF(VALUE(TimeRemaining[#Headers])&lt;='Construction Dashboard'!$F54,IFERROR(VLOOKUP(TimeRemaining[[#This Row],[Time]],Upgrades[],MATCH("T"&amp;TimeRemaining[#Headers],Upgrades[#Headers],0),FALSE),0)*MAX(0,SUM('Construction Dashboard'!$G54:O54)),0)</f>
        <v>0</v>
      </c>
      <c r="O104" s="61">
        <f ca="1">IF(VALUE(TimeRemaining[#Headers])&lt;='Construction Dashboard'!$F54,IFERROR(VLOOKUP(TimeRemaining[[#This Row],[Time]],Upgrades[],MATCH("T"&amp;TimeRemaining[#Headers],Upgrades[#Headers],0),FALSE),0)*MAX(0,SUM('Construction Dashboard'!$G54:P54)),0)</f>
        <v>0</v>
      </c>
      <c r="P104" s="61">
        <f ca="1">IF(VALUE(TimeRemaining[#Headers])&lt;='Construction Dashboard'!$F54,IFERROR(VLOOKUP(TimeRemaining[[#This Row],[Time]],Upgrades[],MATCH("T"&amp;TimeRemaining[#Headers],Upgrades[#Headers],0),FALSE),0)*MAX(0,SUM('Construction Dashboard'!$G54:Q54)),0)</f>
        <v>0</v>
      </c>
      <c r="Q104" s="61">
        <f ca="1">IF(VALUE(TimeRemaining[#Headers])&lt;='Construction Dashboard'!$F54,IFERROR(VLOOKUP(TimeRemaining[[#This Row],[Time]],Upgrades[],MATCH("T"&amp;TimeRemaining[#Headers],Upgrades[#Headers],0),FALSE),0)*MAX(0,SUM('Construction Dashboard'!$G54:R54)),0)</f>
        <v>0</v>
      </c>
      <c r="R104" s="61">
        <f ca="1">IF(TimeRemaining[[#This Row],[MatchStr]]="IGNORE",0,SUM(TimeRemaining[[#This Row],[1]:[12]]))</f>
        <v>0</v>
      </c>
    </row>
    <row r="105" spans="1:18">
      <c r="A105" s="11" t="s">
        <v>84</v>
      </c>
      <c r="B105" s="56" t="str">
        <f>VLOOKUP(TimeRemaining[[#This Row],[Time]],Upgrades[],MATCH("Kind",Upgrades[#Headers],0),FALSE)</f>
        <v>Upgrade</v>
      </c>
      <c r="C105" s="56" t="str">
        <f>VLOOKUP(TimeRemaining[[#This Row],[Time]],Upgrades[],MATCH("Resource",Upgrades[#Headers],0),FALSE)</f>
        <v>Elixir</v>
      </c>
      <c r="D105" s="132" t="str">
        <f>IF(COUNTIF(Skips,TimeRemaining[[#This Row],[Time]])&gt;0,"IGNORE",TimeRemaining[Kind]&amp;"-"&amp;TimeRemaining[Resource])</f>
        <v>Upgrade-Elixir</v>
      </c>
      <c r="E105" s="54" t="str">
        <f ca="1">IFERROR(VLOOKUP(TimeRemaining[[#This Row],[Time]],Upgrades[],MATCH("T"&amp;MATCH(TRUE,INDEX(TimeRemaining[[#This Row],[1]:[12]]&lt;&gt;0,),0),Upgrades[#Headers],0),FALSE),"")</f>
        <v/>
      </c>
      <c r="F105" s="61">
        <f ca="1">IF(VALUE(TimeRemaining[#Headers])&lt;='Construction Dashboard'!$F55,IFERROR(VLOOKUP(TimeRemaining[[#This Row],[Time]],Upgrades[],MATCH("T"&amp;TimeRemaining[#Headers],Upgrades[#Headers],0),FALSE),0)*MAX(0,SUM('Construction Dashboard'!$G55:G55)),0)</f>
        <v>0</v>
      </c>
      <c r="G105" s="61">
        <f ca="1">IF(VALUE(TimeRemaining[#Headers])&lt;='Construction Dashboard'!$F55,IFERROR(VLOOKUP(TimeRemaining[[#This Row],[Time]],Upgrades[],MATCH("T"&amp;TimeRemaining[#Headers],Upgrades[#Headers],0),FALSE),0)*MAX(0,SUM('Construction Dashboard'!$G55:H55)),0)</f>
        <v>0</v>
      </c>
      <c r="H105" s="61">
        <f ca="1">IF(VALUE(TimeRemaining[#Headers])&lt;='Construction Dashboard'!$F55,IFERROR(VLOOKUP(TimeRemaining[[#This Row],[Time]],Upgrades[],MATCH("T"&amp;TimeRemaining[#Headers],Upgrades[#Headers],0),FALSE),0)*MAX(0,SUM('Construction Dashboard'!$G55:I55)),0)</f>
        <v>0</v>
      </c>
      <c r="I105" s="61">
        <f ca="1">IF(VALUE(TimeRemaining[#Headers])&lt;='Construction Dashboard'!$F55,IFERROR(VLOOKUP(TimeRemaining[[#This Row],[Time]],Upgrades[],MATCH("T"&amp;TimeRemaining[#Headers],Upgrades[#Headers],0),FALSE),0)*MAX(0,SUM('Construction Dashboard'!$G55:J55)),0)</f>
        <v>0</v>
      </c>
      <c r="J105" s="61">
        <f ca="1">IF(VALUE(TimeRemaining[#Headers])&lt;='Construction Dashboard'!$F55,IFERROR(VLOOKUP(TimeRemaining[[#This Row],[Time]],Upgrades[],MATCH("T"&amp;TimeRemaining[#Headers],Upgrades[#Headers],0),FALSE),0)*MAX(0,SUM('Construction Dashboard'!$G55:K55)),0)</f>
        <v>0</v>
      </c>
      <c r="K105" s="61">
        <f ca="1">IF(VALUE(TimeRemaining[#Headers])&lt;='Construction Dashboard'!$F55,IFERROR(VLOOKUP(TimeRemaining[[#This Row],[Time]],Upgrades[],MATCH("T"&amp;TimeRemaining[#Headers],Upgrades[#Headers],0),FALSE),0)*MAX(0,SUM('Construction Dashboard'!$G55:L55)),0)</f>
        <v>0</v>
      </c>
      <c r="L105" s="61">
        <f ca="1">IF(VALUE(TimeRemaining[#Headers])&lt;='Construction Dashboard'!$F55,IFERROR(VLOOKUP(TimeRemaining[[#This Row],[Time]],Upgrades[],MATCH("T"&amp;TimeRemaining[#Headers],Upgrades[#Headers],0),FALSE),0)*MAX(0,SUM('Construction Dashboard'!$G55:M55)),0)</f>
        <v>0</v>
      </c>
      <c r="M105" s="61">
        <f ca="1">IF(VALUE(TimeRemaining[#Headers])&lt;='Construction Dashboard'!$F55,IFERROR(VLOOKUP(TimeRemaining[[#This Row],[Time]],Upgrades[],MATCH("T"&amp;TimeRemaining[#Headers],Upgrades[#Headers],0),FALSE),0)*MAX(0,SUM('Construction Dashboard'!$G55:N55)),0)</f>
        <v>0</v>
      </c>
      <c r="N105" s="61">
        <f ca="1">IF(VALUE(TimeRemaining[#Headers])&lt;='Construction Dashboard'!$F55,IFERROR(VLOOKUP(TimeRemaining[[#This Row],[Time]],Upgrades[],MATCH("T"&amp;TimeRemaining[#Headers],Upgrades[#Headers],0),FALSE),0)*MAX(0,SUM('Construction Dashboard'!$G55:O55)),0)</f>
        <v>0</v>
      </c>
      <c r="O105" s="61">
        <f ca="1">IF(VALUE(TimeRemaining[#Headers])&lt;='Construction Dashboard'!$F55,IFERROR(VLOOKUP(TimeRemaining[[#This Row],[Time]],Upgrades[],MATCH("T"&amp;TimeRemaining[#Headers],Upgrades[#Headers],0),FALSE),0)*MAX(0,SUM('Construction Dashboard'!$G55:P55)),0)</f>
        <v>0</v>
      </c>
      <c r="P105" s="61">
        <f ca="1">IF(VALUE(TimeRemaining[#Headers])&lt;='Construction Dashboard'!$F55,IFERROR(VLOOKUP(TimeRemaining[[#This Row],[Time]],Upgrades[],MATCH("T"&amp;TimeRemaining[#Headers],Upgrades[#Headers],0),FALSE),0)*MAX(0,SUM('Construction Dashboard'!$G55:Q55)),0)</f>
        <v>0</v>
      </c>
      <c r="Q105" s="61">
        <f ca="1">IF(VALUE(TimeRemaining[#Headers])&lt;='Construction Dashboard'!$F55,IFERROR(VLOOKUP(TimeRemaining[[#This Row],[Time]],Upgrades[],MATCH("T"&amp;TimeRemaining[#Headers],Upgrades[#Headers],0),FALSE),0)*MAX(0,SUM('Construction Dashboard'!$G55:R55)),0)</f>
        <v>0</v>
      </c>
      <c r="R105" s="61">
        <f ca="1">IF(TimeRemaining[[#This Row],[MatchStr]]="IGNORE",0,SUM(TimeRemaining[[#This Row],[1]:[12]]))</f>
        <v>0</v>
      </c>
    </row>
    <row r="106" spans="1:18">
      <c r="A106" s="11" t="s">
        <v>85</v>
      </c>
      <c r="B106" s="56" t="str">
        <f>VLOOKUP(TimeRemaining[[#This Row],[Time]],Upgrades[],MATCH("Kind",Upgrades[#Headers],0),FALSE)</f>
        <v>Upgrade</v>
      </c>
      <c r="C106" s="56" t="str">
        <f>VLOOKUP(TimeRemaining[[#This Row],[Time]],Upgrades[],MATCH("Resource",Upgrades[#Headers],0),FALSE)</f>
        <v>Elixir</v>
      </c>
      <c r="D106" s="132" t="str">
        <f>IF(COUNTIF(Skips,TimeRemaining[[#This Row],[Time]])&gt;0,"IGNORE",TimeRemaining[Kind]&amp;"-"&amp;TimeRemaining[Resource])</f>
        <v>Upgrade-Elixir</v>
      </c>
      <c r="E106" s="54" t="str">
        <f ca="1">IFERROR(VLOOKUP(TimeRemaining[[#This Row],[Time]],Upgrades[],MATCH("T"&amp;MATCH(TRUE,INDEX(TimeRemaining[[#This Row],[1]:[12]]&lt;&gt;0,),0),Upgrades[#Headers],0),FALSE),"")</f>
        <v/>
      </c>
      <c r="F106" s="61">
        <f ca="1">IF(VALUE(TimeRemaining[#Headers])&lt;='Construction Dashboard'!$F56,IFERROR(VLOOKUP(TimeRemaining[[#This Row],[Time]],Upgrades[],MATCH("T"&amp;TimeRemaining[#Headers],Upgrades[#Headers],0),FALSE),0)*MAX(0,SUM('Construction Dashboard'!$G56:G56)),0)</f>
        <v>0</v>
      </c>
      <c r="G106" s="61">
        <f ca="1">IF(VALUE(TimeRemaining[#Headers])&lt;='Construction Dashboard'!$F56,IFERROR(VLOOKUP(TimeRemaining[[#This Row],[Time]],Upgrades[],MATCH("T"&amp;TimeRemaining[#Headers],Upgrades[#Headers],0),FALSE),0)*MAX(0,SUM('Construction Dashboard'!$G56:H56)),0)</f>
        <v>0</v>
      </c>
      <c r="H106" s="61">
        <f ca="1">IF(VALUE(TimeRemaining[#Headers])&lt;='Construction Dashboard'!$F56,IFERROR(VLOOKUP(TimeRemaining[[#This Row],[Time]],Upgrades[],MATCH("T"&amp;TimeRemaining[#Headers],Upgrades[#Headers],0),FALSE),0)*MAX(0,SUM('Construction Dashboard'!$G56:I56)),0)</f>
        <v>0</v>
      </c>
      <c r="I106" s="61">
        <f ca="1">IF(VALUE(TimeRemaining[#Headers])&lt;='Construction Dashboard'!$F56,IFERROR(VLOOKUP(TimeRemaining[[#This Row],[Time]],Upgrades[],MATCH("T"&amp;TimeRemaining[#Headers],Upgrades[#Headers],0),FALSE),0)*MAX(0,SUM('Construction Dashboard'!$G56:J56)),0)</f>
        <v>0</v>
      </c>
      <c r="J106" s="61">
        <f ca="1">IF(VALUE(TimeRemaining[#Headers])&lt;='Construction Dashboard'!$F56,IFERROR(VLOOKUP(TimeRemaining[[#This Row],[Time]],Upgrades[],MATCH("T"&amp;TimeRemaining[#Headers],Upgrades[#Headers],0),FALSE),0)*MAX(0,SUM('Construction Dashboard'!$G56:K56)),0)</f>
        <v>0</v>
      </c>
      <c r="K106" s="61">
        <f ca="1">IF(VALUE(TimeRemaining[#Headers])&lt;='Construction Dashboard'!$F56,IFERROR(VLOOKUP(TimeRemaining[[#This Row],[Time]],Upgrades[],MATCH("T"&amp;TimeRemaining[#Headers],Upgrades[#Headers],0),FALSE),0)*MAX(0,SUM('Construction Dashboard'!$G56:L56)),0)</f>
        <v>0</v>
      </c>
      <c r="L106" s="61">
        <f ca="1">IF(VALUE(TimeRemaining[#Headers])&lt;='Construction Dashboard'!$F56,IFERROR(VLOOKUP(TimeRemaining[[#This Row],[Time]],Upgrades[],MATCH("T"&amp;TimeRemaining[#Headers],Upgrades[#Headers],0),FALSE),0)*MAX(0,SUM('Construction Dashboard'!$G56:M56)),0)</f>
        <v>0</v>
      </c>
      <c r="M106" s="61">
        <f ca="1">IF(VALUE(TimeRemaining[#Headers])&lt;='Construction Dashboard'!$F56,IFERROR(VLOOKUP(TimeRemaining[[#This Row],[Time]],Upgrades[],MATCH("T"&amp;TimeRemaining[#Headers],Upgrades[#Headers],0),FALSE),0)*MAX(0,SUM('Construction Dashboard'!$G56:N56)),0)</f>
        <v>0</v>
      </c>
      <c r="N106" s="61">
        <f ca="1">IF(VALUE(TimeRemaining[#Headers])&lt;='Construction Dashboard'!$F56,IFERROR(VLOOKUP(TimeRemaining[[#This Row],[Time]],Upgrades[],MATCH("T"&amp;TimeRemaining[#Headers],Upgrades[#Headers],0),FALSE),0)*MAX(0,SUM('Construction Dashboard'!$G56:O56)),0)</f>
        <v>0</v>
      </c>
      <c r="O106" s="61">
        <f ca="1">IF(VALUE(TimeRemaining[#Headers])&lt;='Construction Dashboard'!$F56,IFERROR(VLOOKUP(TimeRemaining[[#This Row],[Time]],Upgrades[],MATCH("T"&amp;TimeRemaining[#Headers],Upgrades[#Headers],0),FALSE),0)*MAX(0,SUM('Construction Dashboard'!$G56:P56)),0)</f>
        <v>0</v>
      </c>
      <c r="P106" s="61">
        <f ca="1">IF(VALUE(TimeRemaining[#Headers])&lt;='Construction Dashboard'!$F56,IFERROR(VLOOKUP(TimeRemaining[[#This Row],[Time]],Upgrades[],MATCH("T"&amp;TimeRemaining[#Headers],Upgrades[#Headers],0),FALSE),0)*MAX(0,SUM('Construction Dashboard'!$G56:Q56)),0)</f>
        <v>0</v>
      </c>
      <c r="Q106" s="61">
        <f ca="1">IF(VALUE(TimeRemaining[#Headers])&lt;='Construction Dashboard'!$F56,IFERROR(VLOOKUP(TimeRemaining[[#This Row],[Time]],Upgrades[],MATCH("T"&amp;TimeRemaining[#Headers],Upgrades[#Headers],0),FALSE),0)*MAX(0,SUM('Construction Dashboard'!$G56:R56)),0)</f>
        <v>0</v>
      </c>
      <c r="R106" s="61">
        <f ca="1">IF(TimeRemaining[[#This Row],[MatchStr]]="IGNORE",0,SUM(TimeRemaining[[#This Row],[1]:[12]]))</f>
        <v>0</v>
      </c>
    </row>
    <row r="107" spans="1:18">
      <c r="A107" s="11" t="s">
        <v>86</v>
      </c>
      <c r="B107" s="56" t="str">
        <f>VLOOKUP(TimeRemaining[[#This Row],[Time]],Upgrades[],MATCH("Kind",Upgrades[#Headers],0),FALSE)</f>
        <v>Upgrade</v>
      </c>
      <c r="C107" s="56" t="str">
        <f>VLOOKUP(TimeRemaining[[#This Row],[Time]],Upgrades[],MATCH("Resource",Upgrades[#Headers],0),FALSE)</f>
        <v>Elixir</v>
      </c>
      <c r="D107" s="132" t="str">
        <f>IF(COUNTIF(Skips,TimeRemaining[[#This Row],[Time]])&gt;0,"IGNORE",TimeRemaining[Kind]&amp;"-"&amp;TimeRemaining[Resource])</f>
        <v>Upgrade-Elixir</v>
      </c>
      <c r="E107" s="54" t="str">
        <f ca="1">IFERROR(VLOOKUP(TimeRemaining[[#This Row],[Time]],Upgrades[],MATCH("T"&amp;MATCH(TRUE,INDEX(TimeRemaining[[#This Row],[1]:[12]]&lt;&gt;0,),0),Upgrades[#Headers],0),FALSE),"")</f>
        <v/>
      </c>
      <c r="F107" s="61">
        <f ca="1">IF(VALUE(TimeRemaining[#Headers])&lt;='Construction Dashboard'!$F57,IFERROR(VLOOKUP(TimeRemaining[[#This Row],[Time]],Upgrades[],MATCH("T"&amp;TimeRemaining[#Headers],Upgrades[#Headers],0),FALSE),0)*MAX(0,SUM('Construction Dashboard'!$G57:G57)),0)</f>
        <v>0</v>
      </c>
      <c r="G107" s="61">
        <f ca="1">IF(VALUE(TimeRemaining[#Headers])&lt;='Construction Dashboard'!$F57,IFERROR(VLOOKUP(TimeRemaining[[#This Row],[Time]],Upgrades[],MATCH("T"&amp;TimeRemaining[#Headers],Upgrades[#Headers],0),FALSE),0)*MAX(0,SUM('Construction Dashboard'!$G57:H57)),0)</f>
        <v>0</v>
      </c>
      <c r="H107" s="61">
        <f ca="1">IF(VALUE(TimeRemaining[#Headers])&lt;='Construction Dashboard'!$F57,IFERROR(VLOOKUP(TimeRemaining[[#This Row],[Time]],Upgrades[],MATCH("T"&amp;TimeRemaining[#Headers],Upgrades[#Headers],0),FALSE),0)*MAX(0,SUM('Construction Dashboard'!$G57:I57)),0)</f>
        <v>0</v>
      </c>
      <c r="I107" s="61">
        <f ca="1">IF(VALUE(TimeRemaining[#Headers])&lt;='Construction Dashboard'!$F57,IFERROR(VLOOKUP(TimeRemaining[[#This Row],[Time]],Upgrades[],MATCH("T"&amp;TimeRemaining[#Headers],Upgrades[#Headers],0),FALSE),0)*MAX(0,SUM('Construction Dashboard'!$G57:J57)),0)</f>
        <v>0</v>
      </c>
      <c r="J107" s="61">
        <f ca="1">IF(VALUE(TimeRemaining[#Headers])&lt;='Construction Dashboard'!$F57,IFERROR(VLOOKUP(TimeRemaining[[#This Row],[Time]],Upgrades[],MATCH("T"&amp;TimeRemaining[#Headers],Upgrades[#Headers],0),FALSE),0)*MAX(0,SUM('Construction Dashboard'!$G57:K57)),0)</f>
        <v>0</v>
      </c>
      <c r="K107" s="61">
        <f ca="1">IF(VALUE(TimeRemaining[#Headers])&lt;='Construction Dashboard'!$F57,IFERROR(VLOOKUP(TimeRemaining[[#This Row],[Time]],Upgrades[],MATCH("T"&amp;TimeRemaining[#Headers],Upgrades[#Headers],0),FALSE),0)*MAX(0,SUM('Construction Dashboard'!$G57:L57)),0)</f>
        <v>0</v>
      </c>
      <c r="L107" s="61">
        <f ca="1">IF(VALUE(TimeRemaining[#Headers])&lt;='Construction Dashboard'!$F57,IFERROR(VLOOKUP(TimeRemaining[[#This Row],[Time]],Upgrades[],MATCH("T"&amp;TimeRemaining[#Headers],Upgrades[#Headers],0),FALSE),0)*MAX(0,SUM('Construction Dashboard'!$G57:M57)),0)</f>
        <v>0</v>
      </c>
      <c r="M107" s="61">
        <f ca="1">IF(VALUE(TimeRemaining[#Headers])&lt;='Construction Dashboard'!$F57,IFERROR(VLOOKUP(TimeRemaining[[#This Row],[Time]],Upgrades[],MATCH("T"&amp;TimeRemaining[#Headers],Upgrades[#Headers],0),FALSE),0)*MAX(0,SUM('Construction Dashboard'!$G57:N57)),0)</f>
        <v>0</v>
      </c>
      <c r="N107" s="61">
        <f ca="1">IF(VALUE(TimeRemaining[#Headers])&lt;='Construction Dashboard'!$F57,IFERROR(VLOOKUP(TimeRemaining[[#This Row],[Time]],Upgrades[],MATCH("T"&amp;TimeRemaining[#Headers],Upgrades[#Headers],0),FALSE),0)*MAX(0,SUM('Construction Dashboard'!$G57:O57)),0)</f>
        <v>0</v>
      </c>
      <c r="O107" s="61">
        <f ca="1">IF(VALUE(TimeRemaining[#Headers])&lt;='Construction Dashboard'!$F57,IFERROR(VLOOKUP(TimeRemaining[[#This Row],[Time]],Upgrades[],MATCH("T"&amp;TimeRemaining[#Headers],Upgrades[#Headers],0),FALSE),0)*MAX(0,SUM('Construction Dashboard'!$G57:P57)),0)</f>
        <v>0</v>
      </c>
      <c r="P107" s="61">
        <f ca="1">IF(VALUE(TimeRemaining[#Headers])&lt;='Construction Dashboard'!$F57,IFERROR(VLOOKUP(TimeRemaining[[#This Row],[Time]],Upgrades[],MATCH("T"&amp;TimeRemaining[#Headers],Upgrades[#Headers],0),FALSE),0)*MAX(0,SUM('Construction Dashboard'!$G57:Q57)),0)</f>
        <v>0</v>
      </c>
      <c r="Q107" s="61">
        <f ca="1">IF(VALUE(TimeRemaining[#Headers])&lt;='Construction Dashboard'!$F57,IFERROR(VLOOKUP(TimeRemaining[[#This Row],[Time]],Upgrades[],MATCH("T"&amp;TimeRemaining[#Headers],Upgrades[#Headers],0),FALSE),0)*MAX(0,SUM('Construction Dashboard'!$G57:R57)),0)</f>
        <v>0</v>
      </c>
      <c r="R107" s="61">
        <f ca="1">IF(TimeRemaining[[#This Row],[MatchStr]]="IGNORE",0,SUM(TimeRemaining[[#This Row],[1]:[12]]))</f>
        <v>0</v>
      </c>
    </row>
    <row r="108" spans="1:18">
      <c r="A108" s="11" t="s">
        <v>87</v>
      </c>
      <c r="B108" s="56" t="str">
        <f>VLOOKUP(TimeRemaining[[#This Row],[Time]],Upgrades[],MATCH("Kind",Upgrades[#Headers],0),FALSE)</f>
        <v>Upgrade</v>
      </c>
      <c r="C108" s="56" t="str">
        <f>VLOOKUP(TimeRemaining[[#This Row],[Time]],Upgrades[],MATCH("Resource",Upgrades[#Headers],0),FALSE)</f>
        <v>Elixir</v>
      </c>
      <c r="D108" s="132" t="str">
        <f>IF(COUNTIF(Skips,TimeRemaining[[#This Row],[Time]])&gt;0,"IGNORE",TimeRemaining[Kind]&amp;"-"&amp;TimeRemaining[Resource])</f>
        <v>IGNORE</v>
      </c>
      <c r="E108" s="54">
        <f ca="1">IFERROR(VLOOKUP(TimeRemaining[[#This Row],[Time]],Upgrades[],MATCH("T"&amp;MATCH(TRUE,INDEX(TimeRemaining[[#This Row],[1]:[12]]&lt;&gt;0,),0),Upgrades[#Headers],0),FALSE),"")</f>
        <v>2</v>
      </c>
      <c r="F108" s="61">
        <f ca="1">IF(VALUE(TimeRemaining[#Headers])&lt;='Construction Dashboard'!$F58,IFERROR(VLOOKUP(TimeRemaining[[#This Row],[Time]],Upgrades[],MATCH("T"&amp;TimeRemaining[#Headers],Upgrades[#Headers],0),FALSE),0)*MAX(0,SUM('Construction Dashboard'!$G58:G58)),0)</f>
        <v>0</v>
      </c>
      <c r="G108" s="61">
        <f ca="1">IF(VALUE(TimeRemaining[#Headers])&lt;='Construction Dashboard'!$F58,IFERROR(VLOOKUP(TimeRemaining[[#This Row],[Time]],Upgrades[],MATCH("T"&amp;TimeRemaining[#Headers],Upgrades[#Headers],0),FALSE),0)*MAX(0,SUM('Construction Dashboard'!$G58:H58)),0)</f>
        <v>0</v>
      </c>
      <c r="H108" s="61">
        <f ca="1">IF(VALUE(TimeRemaining[#Headers])&lt;='Construction Dashboard'!$F58,IFERROR(VLOOKUP(TimeRemaining[[#This Row],[Time]],Upgrades[],MATCH("T"&amp;TimeRemaining[#Headers],Upgrades[#Headers],0),FALSE),0)*MAX(0,SUM('Construction Dashboard'!$G58:I58)),0)</f>
        <v>2</v>
      </c>
      <c r="I108" s="61">
        <f ca="1">IF(VALUE(TimeRemaining[#Headers])&lt;='Construction Dashboard'!$F58,IFERROR(VLOOKUP(TimeRemaining[[#This Row],[Time]],Upgrades[],MATCH("T"&amp;TimeRemaining[#Headers],Upgrades[#Headers],0),FALSE),0)*MAX(0,SUM('Construction Dashboard'!$G58:J58)),0)</f>
        <v>3</v>
      </c>
      <c r="J108" s="61">
        <f ca="1">IF(VALUE(TimeRemaining[#Headers])&lt;='Construction Dashboard'!$F58,IFERROR(VLOOKUP(TimeRemaining[[#This Row],[Time]],Upgrades[],MATCH("T"&amp;TimeRemaining[#Headers],Upgrades[#Headers],0),FALSE),0)*MAX(0,SUM('Construction Dashboard'!$G58:K58)),0)</f>
        <v>0</v>
      </c>
      <c r="K108" s="61">
        <f ca="1">IF(VALUE(TimeRemaining[#Headers])&lt;='Construction Dashboard'!$F58,IFERROR(VLOOKUP(TimeRemaining[[#This Row],[Time]],Upgrades[],MATCH("T"&amp;TimeRemaining[#Headers],Upgrades[#Headers],0),FALSE),0)*MAX(0,SUM('Construction Dashboard'!$G58:L58)),0)</f>
        <v>0</v>
      </c>
      <c r="L108" s="61">
        <f ca="1">IF(VALUE(TimeRemaining[#Headers])&lt;='Construction Dashboard'!$F58,IFERROR(VLOOKUP(TimeRemaining[[#This Row],[Time]],Upgrades[],MATCH("T"&amp;TimeRemaining[#Headers],Upgrades[#Headers],0),FALSE),0)*MAX(0,SUM('Construction Dashboard'!$G58:M58)),0)</f>
        <v>0</v>
      </c>
      <c r="M108" s="61">
        <f ca="1">IF(VALUE(TimeRemaining[#Headers])&lt;='Construction Dashboard'!$F58,IFERROR(VLOOKUP(TimeRemaining[[#This Row],[Time]],Upgrades[],MATCH("T"&amp;TimeRemaining[#Headers],Upgrades[#Headers],0),FALSE),0)*MAX(0,SUM('Construction Dashboard'!$G58:N58)),0)</f>
        <v>0</v>
      </c>
      <c r="N108" s="61">
        <f ca="1">IF(VALUE(TimeRemaining[#Headers])&lt;='Construction Dashboard'!$F58,IFERROR(VLOOKUP(TimeRemaining[[#This Row],[Time]],Upgrades[],MATCH("T"&amp;TimeRemaining[#Headers],Upgrades[#Headers],0),FALSE),0)*MAX(0,SUM('Construction Dashboard'!$G58:O58)),0)</f>
        <v>0</v>
      </c>
      <c r="O108" s="61">
        <f ca="1">IF(VALUE(TimeRemaining[#Headers])&lt;='Construction Dashboard'!$F58,IFERROR(VLOOKUP(TimeRemaining[[#This Row],[Time]],Upgrades[],MATCH("T"&amp;TimeRemaining[#Headers],Upgrades[#Headers],0),FALSE),0)*MAX(0,SUM('Construction Dashboard'!$G58:P58)),0)</f>
        <v>0</v>
      </c>
      <c r="P108" s="61">
        <f ca="1">IF(VALUE(TimeRemaining[#Headers])&lt;='Construction Dashboard'!$F58,IFERROR(VLOOKUP(TimeRemaining[[#This Row],[Time]],Upgrades[],MATCH("T"&amp;TimeRemaining[#Headers],Upgrades[#Headers],0),FALSE),0)*MAX(0,SUM('Construction Dashboard'!$G58:Q58)),0)</f>
        <v>0</v>
      </c>
      <c r="Q108" s="61">
        <f ca="1">IF(VALUE(TimeRemaining[#Headers])&lt;='Construction Dashboard'!$F58,IFERROR(VLOOKUP(TimeRemaining[[#This Row],[Time]],Upgrades[],MATCH("T"&amp;TimeRemaining[#Headers],Upgrades[#Headers],0),FALSE),0)*MAX(0,SUM('Construction Dashboard'!$G58:R58)),0)</f>
        <v>0</v>
      </c>
      <c r="R108" s="61">
        <f>IF(TimeRemaining[[#This Row],[MatchStr]]="IGNORE",0,SUM(TimeRemaining[[#This Row],[1]:[12]]))</f>
        <v>0</v>
      </c>
    </row>
    <row r="109" spans="1:18">
      <c r="A109" s="11" t="s">
        <v>88</v>
      </c>
      <c r="B109" s="56" t="str">
        <f>VLOOKUP(TimeRemaining[[#This Row],[Time]],Upgrades[],MATCH("Kind",Upgrades[#Headers],0),FALSE)</f>
        <v>Upgrade</v>
      </c>
      <c r="C109" s="56" t="str">
        <f>VLOOKUP(TimeRemaining[[#This Row],[Time]],Upgrades[],MATCH("Resource",Upgrades[#Headers],0),FALSE)</f>
        <v>Elixir</v>
      </c>
      <c r="D109" s="132" t="str">
        <f>IF(COUNTIF(Skips,TimeRemaining[[#This Row],[Time]])&gt;0,"IGNORE",TimeRemaining[Kind]&amp;"-"&amp;TimeRemaining[Resource])</f>
        <v>Upgrade-Elixir</v>
      </c>
      <c r="E109" s="54">
        <f ca="1">IFERROR(VLOOKUP(TimeRemaining[[#This Row],[Time]],Upgrades[],MATCH("T"&amp;MATCH(TRUE,INDEX(TimeRemaining[[#This Row],[1]:[12]]&lt;&gt;0,),0),Upgrades[#Headers],0),FALSE),"")</f>
        <v>3</v>
      </c>
      <c r="F109" s="61">
        <f ca="1">IF(VALUE(TimeRemaining[#Headers])&lt;='Construction Dashboard'!$F59,IFERROR(VLOOKUP(TimeRemaining[[#This Row],[Time]],Upgrades[],MATCH("T"&amp;TimeRemaining[#Headers],Upgrades[#Headers],0),FALSE),0)*MAX(0,SUM('Construction Dashboard'!$G59:G59)),0)</f>
        <v>0</v>
      </c>
      <c r="G109" s="61">
        <f ca="1">IF(VALUE(TimeRemaining[#Headers])&lt;='Construction Dashboard'!$F59,IFERROR(VLOOKUP(TimeRemaining[[#This Row],[Time]],Upgrades[],MATCH("T"&amp;TimeRemaining[#Headers],Upgrades[#Headers],0),FALSE),0)*MAX(0,SUM('Construction Dashboard'!$G59:H59)),0)</f>
        <v>0</v>
      </c>
      <c r="H109" s="61">
        <f ca="1">IF(VALUE(TimeRemaining[#Headers])&lt;='Construction Dashboard'!$F59,IFERROR(VLOOKUP(TimeRemaining[[#This Row],[Time]],Upgrades[],MATCH("T"&amp;TimeRemaining[#Headers],Upgrades[#Headers],0),FALSE),0)*MAX(0,SUM('Construction Dashboard'!$G59:I59)),0)</f>
        <v>0</v>
      </c>
      <c r="I109" s="61">
        <f ca="1">IF(VALUE(TimeRemaining[#Headers])&lt;='Construction Dashboard'!$F59,IFERROR(VLOOKUP(TimeRemaining[[#This Row],[Time]],Upgrades[],MATCH("T"&amp;TimeRemaining[#Headers],Upgrades[#Headers],0),FALSE),0)*MAX(0,SUM('Construction Dashboard'!$G59:J59)),0)</f>
        <v>3</v>
      </c>
      <c r="J109" s="61">
        <f ca="1">IF(VALUE(TimeRemaining[#Headers])&lt;='Construction Dashboard'!$F59,IFERROR(VLOOKUP(TimeRemaining[[#This Row],[Time]],Upgrades[],MATCH("T"&amp;TimeRemaining[#Headers],Upgrades[#Headers],0),FALSE),0)*MAX(0,SUM('Construction Dashboard'!$G59:K59)),0)</f>
        <v>0</v>
      </c>
      <c r="K109" s="61">
        <f ca="1">IF(VALUE(TimeRemaining[#Headers])&lt;='Construction Dashboard'!$F59,IFERROR(VLOOKUP(TimeRemaining[[#This Row],[Time]],Upgrades[],MATCH("T"&amp;TimeRemaining[#Headers],Upgrades[#Headers],0),FALSE),0)*MAX(0,SUM('Construction Dashboard'!$G59:L59)),0)</f>
        <v>0</v>
      </c>
      <c r="L109" s="61">
        <f ca="1">IF(VALUE(TimeRemaining[#Headers])&lt;='Construction Dashboard'!$F59,IFERROR(VLOOKUP(TimeRemaining[[#This Row],[Time]],Upgrades[],MATCH("T"&amp;TimeRemaining[#Headers],Upgrades[#Headers],0),FALSE),0)*MAX(0,SUM('Construction Dashboard'!$G59:M59)),0)</f>
        <v>0</v>
      </c>
      <c r="M109" s="61">
        <f ca="1">IF(VALUE(TimeRemaining[#Headers])&lt;='Construction Dashboard'!$F59,IFERROR(VLOOKUP(TimeRemaining[[#This Row],[Time]],Upgrades[],MATCH("T"&amp;TimeRemaining[#Headers],Upgrades[#Headers],0),FALSE),0)*MAX(0,SUM('Construction Dashboard'!$G59:N59)),0)</f>
        <v>0</v>
      </c>
      <c r="N109" s="61">
        <f ca="1">IF(VALUE(TimeRemaining[#Headers])&lt;='Construction Dashboard'!$F59,IFERROR(VLOOKUP(TimeRemaining[[#This Row],[Time]],Upgrades[],MATCH("T"&amp;TimeRemaining[#Headers],Upgrades[#Headers],0),FALSE),0)*MAX(0,SUM('Construction Dashboard'!$G59:O59)),0)</f>
        <v>0</v>
      </c>
      <c r="O109" s="61">
        <f ca="1">IF(VALUE(TimeRemaining[#Headers])&lt;='Construction Dashboard'!$F59,IFERROR(VLOOKUP(TimeRemaining[[#This Row],[Time]],Upgrades[],MATCH("T"&amp;TimeRemaining[#Headers],Upgrades[#Headers],0),FALSE),0)*MAX(0,SUM('Construction Dashboard'!$G59:P59)),0)</f>
        <v>0</v>
      </c>
      <c r="P109" s="61">
        <f ca="1">IF(VALUE(TimeRemaining[#Headers])&lt;='Construction Dashboard'!$F59,IFERROR(VLOOKUP(TimeRemaining[[#This Row],[Time]],Upgrades[],MATCH("T"&amp;TimeRemaining[#Headers],Upgrades[#Headers],0),FALSE),0)*MAX(0,SUM('Construction Dashboard'!$G59:Q59)),0)</f>
        <v>0</v>
      </c>
      <c r="Q109" s="61">
        <f ca="1">IF(VALUE(TimeRemaining[#Headers])&lt;='Construction Dashboard'!$F59,IFERROR(VLOOKUP(TimeRemaining[[#This Row],[Time]],Upgrades[],MATCH("T"&amp;TimeRemaining[#Headers],Upgrades[#Headers],0),FALSE),0)*MAX(0,SUM('Construction Dashboard'!$G59:R59)),0)</f>
        <v>0</v>
      </c>
      <c r="R109" s="61">
        <f ca="1">IF(TimeRemaining[[#This Row],[MatchStr]]="IGNORE",0,SUM(TimeRemaining[[#This Row],[1]:[12]]))</f>
        <v>3</v>
      </c>
    </row>
    <row r="110" spans="1:18">
      <c r="A110" s="11" t="s">
        <v>89</v>
      </c>
      <c r="B110" s="56" t="str">
        <f>VLOOKUP(TimeRemaining[[#This Row],[Time]],Upgrades[],MATCH("Kind",Upgrades[#Headers],0),FALSE)</f>
        <v>Upgrade</v>
      </c>
      <c r="C110" s="56" t="str">
        <f>VLOOKUP(TimeRemaining[[#This Row],[Time]],Upgrades[],MATCH("Resource",Upgrades[#Headers],0),FALSE)</f>
        <v>Elixir</v>
      </c>
      <c r="D110" s="132" t="str">
        <f>IF(COUNTIF(Skips,TimeRemaining[[#This Row],[Time]])&gt;0,"IGNORE",TimeRemaining[Kind]&amp;"-"&amp;TimeRemaining[Resource])</f>
        <v>Upgrade-Elixir</v>
      </c>
      <c r="E110" s="54" t="str">
        <f ca="1">IFERROR(VLOOKUP(TimeRemaining[[#This Row],[Time]],Upgrades[],MATCH("T"&amp;MATCH(TRUE,INDEX(TimeRemaining[[#This Row],[1]:[12]]&lt;&gt;0,),0),Upgrades[#Headers],0),FALSE),"")</f>
        <v/>
      </c>
      <c r="F110" s="61">
        <f ca="1">IF(VALUE(TimeRemaining[#Headers])&lt;='Construction Dashboard'!$F60,IFERROR(VLOOKUP(TimeRemaining[[#This Row],[Time]],Upgrades[],MATCH("T"&amp;TimeRemaining[#Headers],Upgrades[#Headers],0),FALSE),0)*MAX(0,SUM('Construction Dashboard'!$G60:G60)),0)</f>
        <v>0</v>
      </c>
      <c r="G110" s="61">
        <f ca="1">IF(VALUE(TimeRemaining[#Headers])&lt;='Construction Dashboard'!$F60,IFERROR(VLOOKUP(TimeRemaining[[#This Row],[Time]],Upgrades[],MATCH("T"&amp;TimeRemaining[#Headers],Upgrades[#Headers],0),FALSE),0)*MAX(0,SUM('Construction Dashboard'!$G60:H60)),0)</f>
        <v>0</v>
      </c>
      <c r="H110" s="61">
        <f ca="1">IF(VALUE(TimeRemaining[#Headers])&lt;='Construction Dashboard'!$F60,IFERROR(VLOOKUP(TimeRemaining[[#This Row],[Time]],Upgrades[],MATCH("T"&amp;TimeRemaining[#Headers],Upgrades[#Headers],0),FALSE),0)*MAX(0,SUM('Construction Dashboard'!$G60:I60)),0)</f>
        <v>0</v>
      </c>
      <c r="I110" s="61">
        <f ca="1">IF(VALUE(TimeRemaining[#Headers])&lt;='Construction Dashboard'!$F60,IFERROR(VLOOKUP(TimeRemaining[[#This Row],[Time]],Upgrades[],MATCH("T"&amp;TimeRemaining[#Headers],Upgrades[#Headers],0),FALSE),0)*MAX(0,SUM('Construction Dashboard'!$G60:J60)),0)</f>
        <v>0</v>
      </c>
      <c r="J110" s="61">
        <f ca="1">IF(VALUE(TimeRemaining[#Headers])&lt;='Construction Dashboard'!$F60,IFERROR(VLOOKUP(TimeRemaining[[#This Row],[Time]],Upgrades[],MATCH("T"&amp;TimeRemaining[#Headers],Upgrades[#Headers],0),FALSE),0)*MAX(0,SUM('Construction Dashboard'!$G60:K60)),0)</f>
        <v>0</v>
      </c>
      <c r="K110" s="61">
        <f ca="1">IF(VALUE(TimeRemaining[#Headers])&lt;='Construction Dashboard'!$F60,IFERROR(VLOOKUP(TimeRemaining[[#This Row],[Time]],Upgrades[],MATCH("T"&amp;TimeRemaining[#Headers],Upgrades[#Headers],0),FALSE),0)*MAX(0,SUM('Construction Dashboard'!$G60:L60)),0)</f>
        <v>0</v>
      </c>
      <c r="L110" s="61">
        <f ca="1">IF(VALUE(TimeRemaining[#Headers])&lt;='Construction Dashboard'!$F60,IFERROR(VLOOKUP(TimeRemaining[[#This Row],[Time]],Upgrades[],MATCH("T"&amp;TimeRemaining[#Headers],Upgrades[#Headers],0),FALSE),0)*MAX(0,SUM('Construction Dashboard'!$G60:M60)),0)</f>
        <v>0</v>
      </c>
      <c r="M110" s="61">
        <f ca="1">IF(VALUE(TimeRemaining[#Headers])&lt;='Construction Dashboard'!$F60,IFERROR(VLOOKUP(TimeRemaining[[#This Row],[Time]],Upgrades[],MATCH("T"&amp;TimeRemaining[#Headers],Upgrades[#Headers],0),FALSE),0)*MAX(0,SUM('Construction Dashboard'!$G60:N60)),0)</f>
        <v>0</v>
      </c>
      <c r="N110" s="61">
        <f ca="1">IF(VALUE(TimeRemaining[#Headers])&lt;='Construction Dashboard'!$F60,IFERROR(VLOOKUP(TimeRemaining[[#This Row],[Time]],Upgrades[],MATCH("T"&amp;TimeRemaining[#Headers],Upgrades[#Headers],0),FALSE),0)*MAX(0,SUM('Construction Dashboard'!$G60:O60)),0)</f>
        <v>0</v>
      </c>
      <c r="O110" s="61">
        <f ca="1">IF(VALUE(TimeRemaining[#Headers])&lt;='Construction Dashboard'!$F60,IFERROR(VLOOKUP(TimeRemaining[[#This Row],[Time]],Upgrades[],MATCH("T"&amp;TimeRemaining[#Headers],Upgrades[#Headers],0),FALSE),0)*MAX(0,SUM('Construction Dashboard'!$G60:P60)),0)</f>
        <v>0</v>
      </c>
      <c r="P110" s="61">
        <f ca="1">IF(VALUE(TimeRemaining[#Headers])&lt;='Construction Dashboard'!$F60,IFERROR(VLOOKUP(TimeRemaining[[#This Row],[Time]],Upgrades[],MATCH("T"&amp;TimeRemaining[#Headers],Upgrades[#Headers],0),FALSE),0)*MAX(0,SUM('Construction Dashboard'!$G60:Q60)),0)</f>
        <v>0</v>
      </c>
      <c r="Q110" s="61">
        <f ca="1">IF(VALUE(TimeRemaining[#Headers])&lt;='Construction Dashboard'!$F60,IFERROR(VLOOKUP(TimeRemaining[[#This Row],[Time]],Upgrades[],MATCH("T"&amp;TimeRemaining[#Headers],Upgrades[#Headers],0),FALSE),0)*MAX(0,SUM('Construction Dashboard'!$G60:R60)),0)</f>
        <v>0</v>
      </c>
      <c r="R110" s="61">
        <f ca="1">IF(TimeRemaining[[#This Row],[MatchStr]]="IGNORE",0,SUM(TimeRemaining[[#This Row],[1]:[12]]))</f>
        <v>0</v>
      </c>
    </row>
    <row r="111" spans="1:18">
      <c r="A111" s="11" t="s">
        <v>90</v>
      </c>
      <c r="B111" s="56" t="str">
        <f>VLOOKUP(TimeRemaining[[#This Row],[Time]],Upgrades[],MATCH("Kind",Upgrades[#Headers],0),FALSE)</f>
        <v>Upgrade</v>
      </c>
      <c r="C111" s="56" t="str">
        <f>VLOOKUP(TimeRemaining[[#This Row],[Time]],Upgrades[],MATCH("Resource",Upgrades[#Headers],0),FALSE)</f>
        <v>Elixir</v>
      </c>
      <c r="D111" s="132" t="str">
        <f>IF(COUNTIF(Skips,TimeRemaining[[#This Row],[Time]])&gt;0,"IGNORE",TimeRemaining[Kind]&amp;"-"&amp;TimeRemaining[Resource])</f>
        <v>Upgrade-Elixir</v>
      </c>
      <c r="E111" s="54">
        <f ca="1">IFERROR(VLOOKUP(TimeRemaining[[#This Row],[Time]],Upgrades[],MATCH("T"&amp;MATCH(TRUE,INDEX(TimeRemaining[[#This Row],[1]:[12]]&lt;&gt;0,),0),Upgrades[#Headers],0),FALSE),"")</f>
        <v>7</v>
      </c>
      <c r="F111" s="61">
        <f ca="1">IF(VALUE(TimeRemaining[#Headers])&lt;='Construction Dashboard'!$F61,IFERROR(VLOOKUP(TimeRemaining[[#This Row],[Time]],Upgrades[],MATCH("T"&amp;TimeRemaining[#Headers],Upgrades[#Headers],0),FALSE),0)*MAX(0,SUM('Construction Dashboard'!$G61:G61)),0)</f>
        <v>0</v>
      </c>
      <c r="G111" s="61">
        <f ca="1">IF(VALUE(TimeRemaining[#Headers])&lt;='Construction Dashboard'!$F61,IFERROR(VLOOKUP(TimeRemaining[[#This Row],[Time]],Upgrades[],MATCH("T"&amp;TimeRemaining[#Headers],Upgrades[#Headers],0),FALSE),0)*MAX(0,SUM('Construction Dashboard'!$G61:H61)),0)</f>
        <v>7</v>
      </c>
      <c r="H111" s="61">
        <f ca="1">IF(VALUE(TimeRemaining[#Headers])&lt;='Construction Dashboard'!$F61,IFERROR(VLOOKUP(TimeRemaining[[#This Row],[Time]],Upgrades[],MATCH("T"&amp;TimeRemaining[#Headers],Upgrades[#Headers],0),FALSE),0)*MAX(0,SUM('Construction Dashboard'!$G61:I61)),0)</f>
        <v>0</v>
      </c>
      <c r="I111" s="61">
        <f ca="1">IF(VALUE(TimeRemaining[#Headers])&lt;='Construction Dashboard'!$F61,IFERROR(VLOOKUP(TimeRemaining[[#This Row],[Time]],Upgrades[],MATCH("T"&amp;TimeRemaining[#Headers],Upgrades[#Headers],0),FALSE),0)*MAX(0,SUM('Construction Dashboard'!$G61:J61)),0)</f>
        <v>0</v>
      </c>
      <c r="J111" s="61">
        <f ca="1">IF(VALUE(TimeRemaining[#Headers])&lt;='Construction Dashboard'!$F61,IFERROR(VLOOKUP(TimeRemaining[[#This Row],[Time]],Upgrades[],MATCH("T"&amp;TimeRemaining[#Headers],Upgrades[#Headers],0),FALSE),0)*MAX(0,SUM('Construction Dashboard'!$G61:K61)),0)</f>
        <v>0</v>
      </c>
      <c r="K111" s="61">
        <f ca="1">IF(VALUE(TimeRemaining[#Headers])&lt;='Construction Dashboard'!$F61,IFERROR(VLOOKUP(TimeRemaining[[#This Row],[Time]],Upgrades[],MATCH("T"&amp;TimeRemaining[#Headers],Upgrades[#Headers],0),FALSE),0)*MAX(0,SUM('Construction Dashboard'!$G61:L61)),0)</f>
        <v>0</v>
      </c>
      <c r="L111" s="61">
        <f ca="1">IF(VALUE(TimeRemaining[#Headers])&lt;='Construction Dashboard'!$F61,IFERROR(VLOOKUP(TimeRemaining[[#This Row],[Time]],Upgrades[],MATCH("T"&amp;TimeRemaining[#Headers],Upgrades[#Headers],0),FALSE),0)*MAX(0,SUM('Construction Dashboard'!$G61:M61)),0)</f>
        <v>0</v>
      </c>
      <c r="M111" s="61">
        <f ca="1">IF(VALUE(TimeRemaining[#Headers])&lt;='Construction Dashboard'!$F61,IFERROR(VLOOKUP(TimeRemaining[[#This Row],[Time]],Upgrades[],MATCH("T"&amp;TimeRemaining[#Headers],Upgrades[#Headers],0),FALSE),0)*MAX(0,SUM('Construction Dashboard'!$G61:N61)),0)</f>
        <v>0</v>
      </c>
      <c r="N111" s="61">
        <f ca="1">IF(VALUE(TimeRemaining[#Headers])&lt;='Construction Dashboard'!$F61,IFERROR(VLOOKUP(TimeRemaining[[#This Row],[Time]],Upgrades[],MATCH("T"&amp;TimeRemaining[#Headers],Upgrades[#Headers],0),FALSE),0)*MAX(0,SUM('Construction Dashboard'!$G61:O61)),0)</f>
        <v>0</v>
      </c>
      <c r="O111" s="61">
        <f ca="1">IF(VALUE(TimeRemaining[#Headers])&lt;='Construction Dashboard'!$F61,IFERROR(VLOOKUP(TimeRemaining[[#This Row],[Time]],Upgrades[],MATCH("T"&amp;TimeRemaining[#Headers],Upgrades[#Headers],0),FALSE),0)*MAX(0,SUM('Construction Dashboard'!$G61:P61)),0)</f>
        <v>0</v>
      </c>
      <c r="P111" s="61">
        <f ca="1">IF(VALUE(TimeRemaining[#Headers])&lt;='Construction Dashboard'!$F61,IFERROR(VLOOKUP(TimeRemaining[[#This Row],[Time]],Upgrades[],MATCH("T"&amp;TimeRemaining[#Headers],Upgrades[#Headers],0),FALSE),0)*MAX(0,SUM('Construction Dashboard'!$G61:Q61)),0)</f>
        <v>0</v>
      </c>
      <c r="Q111" s="61">
        <f ca="1">IF(VALUE(TimeRemaining[#Headers])&lt;='Construction Dashboard'!$F61,IFERROR(VLOOKUP(TimeRemaining[[#This Row],[Time]],Upgrades[],MATCH("T"&amp;TimeRemaining[#Headers],Upgrades[#Headers],0),FALSE),0)*MAX(0,SUM('Construction Dashboard'!$G61:R61)),0)</f>
        <v>0</v>
      </c>
      <c r="R111" s="61">
        <f ca="1">IF(TimeRemaining[[#This Row],[MatchStr]]="IGNORE",0,SUM(TimeRemaining[[#This Row],[1]:[12]]))</f>
        <v>7</v>
      </c>
    </row>
    <row r="112" spans="1:18">
      <c r="A112" s="11" t="s">
        <v>91</v>
      </c>
      <c r="B112" s="56" t="str">
        <f>VLOOKUP(TimeRemaining[[#This Row],[Time]],Upgrades[],MATCH("Kind",Upgrades[#Headers],0),FALSE)</f>
        <v>Upgrade</v>
      </c>
      <c r="C112" s="56" t="str">
        <f>VLOOKUP(TimeRemaining[[#This Row],[Time]],Upgrades[],MATCH("Resource",Upgrades[#Headers],0),FALSE)</f>
        <v>Elixir</v>
      </c>
      <c r="D112" s="132" t="str">
        <f>IF(COUNTIF(Skips,TimeRemaining[[#This Row],[Time]])&gt;0,"IGNORE",TimeRemaining[Kind]&amp;"-"&amp;TimeRemaining[Resource])</f>
        <v>Upgrade-Elixir</v>
      </c>
      <c r="E112" s="54" t="str">
        <f ca="1">IFERROR(VLOOKUP(TimeRemaining[[#This Row],[Time]],Upgrades[],MATCH("T"&amp;MATCH(TRUE,INDEX(TimeRemaining[[#This Row],[1]:[12]]&lt;&gt;0,),0),Upgrades[#Headers],0),FALSE),"")</f>
        <v/>
      </c>
      <c r="F112" s="61">
        <f ca="1">IF(VALUE(TimeRemaining[#Headers])&lt;='Construction Dashboard'!$F62,IFERROR(VLOOKUP(TimeRemaining[[#This Row],[Time]],Upgrades[],MATCH("T"&amp;TimeRemaining[#Headers],Upgrades[#Headers],0),FALSE),0)*MAX(0,SUM('Construction Dashboard'!$G62:G62)),0)</f>
        <v>0</v>
      </c>
      <c r="G112" s="61">
        <f ca="1">IF(VALUE(TimeRemaining[#Headers])&lt;='Construction Dashboard'!$F62,IFERROR(VLOOKUP(TimeRemaining[[#This Row],[Time]],Upgrades[],MATCH("T"&amp;TimeRemaining[#Headers],Upgrades[#Headers],0),FALSE),0)*MAX(0,SUM('Construction Dashboard'!$G62:H62)),0)</f>
        <v>0</v>
      </c>
      <c r="H112" s="61">
        <f ca="1">IF(VALUE(TimeRemaining[#Headers])&lt;='Construction Dashboard'!$F62,IFERROR(VLOOKUP(TimeRemaining[[#This Row],[Time]],Upgrades[],MATCH("T"&amp;TimeRemaining[#Headers],Upgrades[#Headers],0),FALSE),0)*MAX(0,SUM('Construction Dashboard'!$G62:I62)),0)</f>
        <v>0</v>
      </c>
      <c r="I112" s="61">
        <f ca="1">IF(VALUE(TimeRemaining[#Headers])&lt;='Construction Dashboard'!$F62,IFERROR(VLOOKUP(TimeRemaining[[#This Row],[Time]],Upgrades[],MATCH("T"&amp;TimeRemaining[#Headers],Upgrades[#Headers],0),FALSE),0)*MAX(0,SUM('Construction Dashboard'!$G62:J62)),0)</f>
        <v>0</v>
      </c>
      <c r="J112" s="61">
        <f ca="1">IF(VALUE(TimeRemaining[#Headers])&lt;='Construction Dashboard'!$F62,IFERROR(VLOOKUP(TimeRemaining[[#This Row],[Time]],Upgrades[],MATCH("T"&amp;TimeRemaining[#Headers],Upgrades[#Headers],0),FALSE),0)*MAX(0,SUM('Construction Dashboard'!$G62:K62)),0)</f>
        <v>0</v>
      </c>
      <c r="K112" s="61">
        <f ca="1">IF(VALUE(TimeRemaining[#Headers])&lt;='Construction Dashboard'!$F62,IFERROR(VLOOKUP(TimeRemaining[[#This Row],[Time]],Upgrades[],MATCH("T"&amp;TimeRemaining[#Headers],Upgrades[#Headers],0),FALSE),0)*MAX(0,SUM('Construction Dashboard'!$G62:L62)),0)</f>
        <v>0</v>
      </c>
      <c r="L112" s="61">
        <f ca="1">IF(VALUE(TimeRemaining[#Headers])&lt;='Construction Dashboard'!$F62,IFERROR(VLOOKUP(TimeRemaining[[#This Row],[Time]],Upgrades[],MATCH("T"&amp;TimeRemaining[#Headers],Upgrades[#Headers],0),FALSE),0)*MAX(0,SUM('Construction Dashboard'!$G62:M62)),0)</f>
        <v>0</v>
      </c>
      <c r="M112" s="61">
        <f ca="1">IF(VALUE(TimeRemaining[#Headers])&lt;='Construction Dashboard'!$F62,IFERROR(VLOOKUP(TimeRemaining[[#This Row],[Time]],Upgrades[],MATCH("T"&amp;TimeRemaining[#Headers],Upgrades[#Headers],0),FALSE),0)*MAX(0,SUM('Construction Dashboard'!$G62:N62)),0)</f>
        <v>0</v>
      </c>
      <c r="N112" s="61">
        <f ca="1">IF(VALUE(TimeRemaining[#Headers])&lt;='Construction Dashboard'!$F62,IFERROR(VLOOKUP(TimeRemaining[[#This Row],[Time]],Upgrades[],MATCH("T"&amp;TimeRemaining[#Headers],Upgrades[#Headers],0),FALSE),0)*MAX(0,SUM('Construction Dashboard'!$G62:O62)),0)</f>
        <v>0</v>
      </c>
      <c r="O112" s="61">
        <f ca="1">IF(VALUE(TimeRemaining[#Headers])&lt;='Construction Dashboard'!$F62,IFERROR(VLOOKUP(TimeRemaining[[#This Row],[Time]],Upgrades[],MATCH("T"&amp;TimeRemaining[#Headers],Upgrades[#Headers],0),FALSE),0)*MAX(0,SUM('Construction Dashboard'!$G62:P62)),0)</f>
        <v>0</v>
      </c>
      <c r="P112" s="61">
        <f ca="1">IF(VALUE(TimeRemaining[#Headers])&lt;='Construction Dashboard'!$F62,IFERROR(VLOOKUP(TimeRemaining[[#This Row],[Time]],Upgrades[],MATCH("T"&amp;TimeRemaining[#Headers],Upgrades[#Headers],0),FALSE),0)*MAX(0,SUM('Construction Dashboard'!$G62:Q62)),0)</f>
        <v>0</v>
      </c>
      <c r="Q112" s="61">
        <f ca="1">IF(VALUE(TimeRemaining[#Headers])&lt;='Construction Dashboard'!$F62,IFERROR(VLOOKUP(TimeRemaining[[#This Row],[Time]],Upgrades[],MATCH("T"&amp;TimeRemaining[#Headers],Upgrades[#Headers],0),FALSE),0)*MAX(0,SUM('Construction Dashboard'!$G62:R62)),0)</f>
        <v>0</v>
      </c>
      <c r="R112" s="61">
        <f ca="1">IF(TimeRemaining[[#This Row],[MatchStr]]="IGNORE",0,SUM(TimeRemaining[[#This Row],[1]:[12]]))</f>
        <v>0</v>
      </c>
    </row>
    <row r="113" spans="1:18">
      <c r="A113" s="11" t="s">
        <v>92</v>
      </c>
      <c r="B113" s="56" t="str">
        <f>VLOOKUP(TimeRemaining[[#This Row],[Time]],Upgrades[],MATCH("Kind",Upgrades[#Headers],0),FALSE)</f>
        <v>Upgrade</v>
      </c>
      <c r="C113" s="56" t="str">
        <f>VLOOKUP(TimeRemaining[[#This Row],[Time]],Upgrades[],MATCH("Resource",Upgrades[#Headers],0),FALSE)</f>
        <v>Elixir</v>
      </c>
      <c r="D113" s="132" t="str">
        <f>IF(COUNTIF(Skips,TimeRemaining[[#This Row],[Time]])&gt;0,"IGNORE",TimeRemaining[Kind]&amp;"-"&amp;TimeRemaining[Resource])</f>
        <v>Upgrade-Elixir</v>
      </c>
      <c r="E113" s="54" t="str">
        <f ca="1">IFERROR(VLOOKUP(TimeRemaining[[#This Row],[Time]],Upgrades[],MATCH("T"&amp;MATCH(TRUE,INDEX(TimeRemaining[[#This Row],[1]:[12]]&lt;&gt;0,),0),Upgrades[#Headers],0),FALSE),"")</f>
        <v/>
      </c>
      <c r="F113" s="61">
        <f ca="1">IF(VALUE(TimeRemaining[#Headers])&lt;='Construction Dashboard'!$F63,IFERROR(VLOOKUP(TimeRemaining[[#This Row],[Time]],Upgrades[],MATCH("T"&amp;TimeRemaining[#Headers],Upgrades[#Headers],0),FALSE),0)*MAX(0,SUM('Construction Dashboard'!$G63:G63)),0)</f>
        <v>0</v>
      </c>
      <c r="G113" s="61">
        <f ca="1">IF(VALUE(TimeRemaining[#Headers])&lt;='Construction Dashboard'!$F63,IFERROR(VLOOKUP(TimeRemaining[[#This Row],[Time]],Upgrades[],MATCH("T"&amp;TimeRemaining[#Headers],Upgrades[#Headers],0),FALSE),0)*MAX(0,SUM('Construction Dashboard'!$G63:H63)),0)</f>
        <v>0</v>
      </c>
      <c r="H113" s="61">
        <f ca="1">IF(VALUE(TimeRemaining[#Headers])&lt;='Construction Dashboard'!$F63,IFERROR(VLOOKUP(TimeRemaining[[#This Row],[Time]],Upgrades[],MATCH("T"&amp;TimeRemaining[#Headers],Upgrades[#Headers],0),FALSE),0)*MAX(0,SUM('Construction Dashboard'!$G63:I63)),0)</f>
        <v>0</v>
      </c>
      <c r="I113" s="61">
        <f ca="1">IF(VALUE(TimeRemaining[#Headers])&lt;='Construction Dashboard'!$F63,IFERROR(VLOOKUP(TimeRemaining[[#This Row],[Time]],Upgrades[],MATCH("T"&amp;TimeRemaining[#Headers],Upgrades[#Headers],0),FALSE),0)*MAX(0,SUM('Construction Dashboard'!$G63:J63)),0)</f>
        <v>0</v>
      </c>
      <c r="J113" s="61">
        <f ca="1">IF(VALUE(TimeRemaining[#Headers])&lt;='Construction Dashboard'!$F63,IFERROR(VLOOKUP(TimeRemaining[[#This Row],[Time]],Upgrades[],MATCH("T"&amp;TimeRemaining[#Headers],Upgrades[#Headers],0),FALSE),0)*MAX(0,SUM('Construction Dashboard'!$G63:K63)),0)</f>
        <v>0</v>
      </c>
      <c r="K113" s="61">
        <f ca="1">IF(VALUE(TimeRemaining[#Headers])&lt;='Construction Dashboard'!$F63,IFERROR(VLOOKUP(TimeRemaining[[#This Row],[Time]],Upgrades[],MATCH("T"&amp;TimeRemaining[#Headers],Upgrades[#Headers],0),FALSE),0)*MAX(0,SUM('Construction Dashboard'!$G63:L63)),0)</f>
        <v>0</v>
      </c>
      <c r="L113" s="61">
        <f ca="1">IF(VALUE(TimeRemaining[#Headers])&lt;='Construction Dashboard'!$F63,IFERROR(VLOOKUP(TimeRemaining[[#This Row],[Time]],Upgrades[],MATCH("T"&amp;TimeRemaining[#Headers],Upgrades[#Headers],0),FALSE),0)*MAX(0,SUM('Construction Dashboard'!$G63:M63)),0)</f>
        <v>0</v>
      </c>
      <c r="M113" s="61">
        <f ca="1">IF(VALUE(TimeRemaining[#Headers])&lt;='Construction Dashboard'!$F63,IFERROR(VLOOKUP(TimeRemaining[[#This Row],[Time]],Upgrades[],MATCH("T"&amp;TimeRemaining[#Headers],Upgrades[#Headers],0),FALSE),0)*MAX(0,SUM('Construction Dashboard'!$G63:N63)),0)</f>
        <v>0</v>
      </c>
      <c r="N113" s="61">
        <f ca="1">IF(VALUE(TimeRemaining[#Headers])&lt;='Construction Dashboard'!$F63,IFERROR(VLOOKUP(TimeRemaining[[#This Row],[Time]],Upgrades[],MATCH("T"&amp;TimeRemaining[#Headers],Upgrades[#Headers],0),FALSE),0)*MAX(0,SUM('Construction Dashboard'!$G63:O63)),0)</f>
        <v>0</v>
      </c>
      <c r="O113" s="61">
        <f ca="1">IF(VALUE(TimeRemaining[#Headers])&lt;='Construction Dashboard'!$F63,IFERROR(VLOOKUP(TimeRemaining[[#This Row],[Time]],Upgrades[],MATCH("T"&amp;TimeRemaining[#Headers],Upgrades[#Headers],0),FALSE),0)*MAX(0,SUM('Construction Dashboard'!$G63:P63)),0)</f>
        <v>0</v>
      </c>
      <c r="P113" s="61">
        <f ca="1">IF(VALUE(TimeRemaining[#Headers])&lt;='Construction Dashboard'!$F63,IFERROR(VLOOKUP(TimeRemaining[[#This Row],[Time]],Upgrades[],MATCH("T"&amp;TimeRemaining[#Headers],Upgrades[#Headers],0),FALSE),0)*MAX(0,SUM('Construction Dashboard'!$G63:Q63)),0)</f>
        <v>0</v>
      </c>
      <c r="Q113" s="61">
        <f ca="1">IF(VALUE(TimeRemaining[#Headers])&lt;='Construction Dashboard'!$F63,IFERROR(VLOOKUP(TimeRemaining[[#This Row],[Time]],Upgrades[],MATCH("T"&amp;TimeRemaining[#Headers],Upgrades[#Headers],0),FALSE),0)*MAX(0,SUM('Construction Dashboard'!$G63:R63)),0)</f>
        <v>0</v>
      </c>
      <c r="R113" s="61">
        <f ca="1">IF(TimeRemaining[[#This Row],[MatchStr]]="IGNORE",0,SUM(TimeRemaining[[#This Row],[1]:[12]]))</f>
        <v>0</v>
      </c>
    </row>
    <row r="114" spans="1:18">
      <c r="A114" s="11" t="s">
        <v>93</v>
      </c>
      <c r="B114" s="56" t="str">
        <f>VLOOKUP(TimeRemaining[[#This Row],[Time]],Upgrades[],MATCH("Kind",Upgrades[#Headers],0),FALSE)</f>
        <v>Upgrade</v>
      </c>
      <c r="C114" s="56" t="str">
        <f>VLOOKUP(TimeRemaining[[#This Row],[Time]],Upgrades[],MATCH("Resource",Upgrades[#Headers],0),FALSE)</f>
        <v>Elixir</v>
      </c>
      <c r="D114" s="132" t="str">
        <f>IF(COUNTIF(Skips,TimeRemaining[[#This Row],[Time]])&gt;0,"IGNORE",TimeRemaining[Kind]&amp;"-"&amp;TimeRemaining[Resource])</f>
        <v>Upgrade-Elixir</v>
      </c>
      <c r="E114" s="54" t="str">
        <f ca="1">IFERROR(VLOOKUP(TimeRemaining[[#This Row],[Time]],Upgrades[],MATCH("T"&amp;MATCH(TRUE,INDEX(TimeRemaining[[#This Row],[1]:[12]]&lt;&gt;0,),0),Upgrades[#Headers],0),FALSE),"")</f>
        <v/>
      </c>
      <c r="F114" s="61">
        <f ca="1">IF(VALUE(TimeRemaining[#Headers])&lt;='Construction Dashboard'!$F64,IFERROR(VLOOKUP(TimeRemaining[[#This Row],[Time]],Upgrades[],MATCH("T"&amp;TimeRemaining[#Headers],Upgrades[#Headers],0),FALSE),0)*MAX(0,SUM('Construction Dashboard'!$G64:G64)),0)</f>
        <v>0</v>
      </c>
      <c r="G114" s="61">
        <f ca="1">IF(VALUE(TimeRemaining[#Headers])&lt;='Construction Dashboard'!$F64,IFERROR(VLOOKUP(TimeRemaining[[#This Row],[Time]],Upgrades[],MATCH("T"&amp;TimeRemaining[#Headers],Upgrades[#Headers],0),FALSE),0)*MAX(0,SUM('Construction Dashboard'!$G64:H64)),0)</f>
        <v>0</v>
      </c>
      <c r="H114" s="61">
        <f ca="1">IF(VALUE(TimeRemaining[#Headers])&lt;='Construction Dashboard'!$F64,IFERROR(VLOOKUP(TimeRemaining[[#This Row],[Time]],Upgrades[],MATCH("T"&amp;TimeRemaining[#Headers],Upgrades[#Headers],0),FALSE),0)*MAX(0,SUM('Construction Dashboard'!$G64:I64)),0)</f>
        <v>0</v>
      </c>
      <c r="I114" s="61">
        <f ca="1">IF(VALUE(TimeRemaining[#Headers])&lt;='Construction Dashboard'!$F64,IFERROR(VLOOKUP(TimeRemaining[[#This Row],[Time]],Upgrades[],MATCH("T"&amp;TimeRemaining[#Headers],Upgrades[#Headers],0),FALSE),0)*MAX(0,SUM('Construction Dashboard'!$G64:J64)),0)</f>
        <v>0</v>
      </c>
      <c r="J114" s="61">
        <f ca="1">IF(VALUE(TimeRemaining[#Headers])&lt;='Construction Dashboard'!$F64,IFERROR(VLOOKUP(TimeRemaining[[#This Row],[Time]],Upgrades[],MATCH("T"&amp;TimeRemaining[#Headers],Upgrades[#Headers],0),FALSE),0)*MAX(0,SUM('Construction Dashboard'!$G64:K64)),0)</f>
        <v>0</v>
      </c>
      <c r="K114" s="61">
        <f ca="1">IF(VALUE(TimeRemaining[#Headers])&lt;='Construction Dashboard'!$F64,IFERROR(VLOOKUP(TimeRemaining[[#This Row],[Time]],Upgrades[],MATCH("T"&amp;TimeRemaining[#Headers],Upgrades[#Headers],0),FALSE),0)*MAX(0,SUM('Construction Dashboard'!$G64:L64)),0)</f>
        <v>0</v>
      </c>
      <c r="L114" s="61">
        <f ca="1">IF(VALUE(TimeRemaining[#Headers])&lt;='Construction Dashboard'!$F64,IFERROR(VLOOKUP(TimeRemaining[[#This Row],[Time]],Upgrades[],MATCH("T"&amp;TimeRemaining[#Headers],Upgrades[#Headers],0),FALSE),0)*MAX(0,SUM('Construction Dashboard'!$G64:M64)),0)</f>
        <v>0</v>
      </c>
      <c r="M114" s="61">
        <f ca="1">IF(VALUE(TimeRemaining[#Headers])&lt;='Construction Dashboard'!$F64,IFERROR(VLOOKUP(TimeRemaining[[#This Row],[Time]],Upgrades[],MATCH("T"&amp;TimeRemaining[#Headers],Upgrades[#Headers],0),FALSE),0)*MAX(0,SUM('Construction Dashboard'!$G64:N64)),0)</f>
        <v>0</v>
      </c>
      <c r="N114" s="61">
        <f ca="1">IF(VALUE(TimeRemaining[#Headers])&lt;='Construction Dashboard'!$F64,IFERROR(VLOOKUP(TimeRemaining[[#This Row],[Time]],Upgrades[],MATCH("T"&amp;TimeRemaining[#Headers],Upgrades[#Headers],0),FALSE),0)*MAX(0,SUM('Construction Dashboard'!$G64:O64)),0)</f>
        <v>0</v>
      </c>
      <c r="O114" s="61">
        <f ca="1">IF(VALUE(TimeRemaining[#Headers])&lt;='Construction Dashboard'!$F64,IFERROR(VLOOKUP(TimeRemaining[[#This Row],[Time]],Upgrades[],MATCH("T"&amp;TimeRemaining[#Headers],Upgrades[#Headers],0),FALSE),0)*MAX(0,SUM('Construction Dashboard'!$G64:P64)),0)</f>
        <v>0</v>
      </c>
      <c r="P114" s="61">
        <f ca="1">IF(VALUE(TimeRemaining[#Headers])&lt;='Construction Dashboard'!$F64,IFERROR(VLOOKUP(TimeRemaining[[#This Row],[Time]],Upgrades[],MATCH("T"&amp;TimeRemaining[#Headers],Upgrades[#Headers],0),FALSE),0)*MAX(0,SUM('Construction Dashboard'!$G64:Q64)),0)</f>
        <v>0</v>
      </c>
      <c r="Q114" s="61">
        <f ca="1">IF(VALUE(TimeRemaining[#Headers])&lt;='Construction Dashboard'!$F64,IFERROR(VLOOKUP(TimeRemaining[[#This Row],[Time]],Upgrades[],MATCH("T"&amp;TimeRemaining[#Headers],Upgrades[#Headers],0),FALSE),0)*MAX(0,SUM('Construction Dashboard'!$G64:R64)),0)</f>
        <v>0</v>
      </c>
      <c r="R114" s="61">
        <f ca="1">IF(TimeRemaining[[#This Row],[MatchStr]]="IGNORE",0,SUM(TimeRemaining[[#This Row],[1]:[12]]))</f>
        <v>0</v>
      </c>
    </row>
    <row r="115" spans="1:18">
      <c r="A115" s="11" t="s">
        <v>94</v>
      </c>
      <c r="B115" s="56" t="str">
        <f>VLOOKUP(TimeRemaining[[#This Row],[Time]],Upgrades[],MATCH("Kind",Upgrades[#Headers],0),FALSE)</f>
        <v>Upgrade</v>
      </c>
      <c r="C115" s="56" t="str">
        <f>VLOOKUP(TimeRemaining[[#This Row],[Time]],Upgrades[],MATCH("Resource",Upgrades[#Headers],0),FALSE)</f>
        <v>Elixir</v>
      </c>
      <c r="D115" s="132" t="str">
        <f>IF(COUNTIF(Skips,TimeRemaining[[#This Row],[Time]])&gt;0,"IGNORE",TimeRemaining[Kind]&amp;"-"&amp;TimeRemaining[Resource])</f>
        <v>Upgrade-Elixir</v>
      </c>
      <c r="E115" s="54">
        <f ca="1">IFERROR(VLOOKUP(TimeRemaining[[#This Row],[Time]],Upgrades[],MATCH("T"&amp;MATCH(TRUE,INDEX(TimeRemaining[[#This Row],[1]:[12]]&lt;&gt;0,),0),Upgrades[#Headers],0),FALSE),"")</f>
        <v>3</v>
      </c>
      <c r="F115" s="61">
        <f ca="1">IF(VALUE(TimeRemaining[#Headers])&lt;='Construction Dashboard'!$F65,IFERROR(VLOOKUP(TimeRemaining[[#This Row],[Time]],Upgrades[],MATCH("T"&amp;TimeRemaining[#Headers],Upgrades[#Headers],0),FALSE),0)*MAX(0,SUM('Construction Dashboard'!$G65:G65)),0)</f>
        <v>0</v>
      </c>
      <c r="G115" s="61">
        <f ca="1">IF(VALUE(TimeRemaining[#Headers])&lt;='Construction Dashboard'!$F65,IFERROR(VLOOKUP(TimeRemaining[[#This Row],[Time]],Upgrades[],MATCH("T"&amp;TimeRemaining[#Headers],Upgrades[#Headers],0),FALSE),0)*MAX(0,SUM('Construction Dashboard'!$G65:H65)),0)</f>
        <v>0</v>
      </c>
      <c r="H115" s="61">
        <f ca="1">IF(VALUE(TimeRemaining[#Headers])&lt;='Construction Dashboard'!$F65,IFERROR(VLOOKUP(TimeRemaining[[#This Row],[Time]],Upgrades[],MATCH("T"&amp;TimeRemaining[#Headers],Upgrades[#Headers],0),FALSE),0)*MAX(0,SUM('Construction Dashboard'!$G65:I65)),0)</f>
        <v>3</v>
      </c>
      <c r="I115" s="61">
        <f ca="1">IF(VALUE(TimeRemaining[#Headers])&lt;='Construction Dashboard'!$F65,IFERROR(VLOOKUP(TimeRemaining[[#This Row],[Time]],Upgrades[],MATCH("T"&amp;TimeRemaining[#Headers],Upgrades[#Headers],0),FALSE),0)*MAX(0,SUM('Construction Dashboard'!$G65:J65)),0)</f>
        <v>5</v>
      </c>
      <c r="J115" s="61">
        <f ca="1">IF(VALUE(TimeRemaining[#Headers])&lt;='Construction Dashboard'!$F65,IFERROR(VLOOKUP(TimeRemaining[[#This Row],[Time]],Upgrades[],MATCH("T"&amp;TimeRemaining[#Headers],Upgrades[#Headers],0),FALSE),0)*MAX(0,SUM('Construction Dashboard'!$G65:K65)),0)</f>
        <v>0</v>
      </c>
      <c r="K115" s="61">
        <f ca="1">IF(VALUE(TimeRemaining[#Headers])&lt;='Construction Dashboard'!$F65,IFERROR(VLOOKUP(TimeRemaining[[#This Row],[Time]],Upgrades[],MATCH("T"&amp;TimeRemaining[#Headers],Upgrades[#Headers],0),FALSE),0)*MAX(0,SUM('Construction Dashboard'!$G65:L65)),0)</f>
        <v>0</v>
      </c>
      <c r="L115" s="61">
        <f ca="1">IF(VALUE(TimeRemaining[#Headers])&lt;='Construction Dashboard'!$F65,IFERROR(VLOOKUP(TimeRemaining[[#This Row],[Time]],Upgrades[],MATCH("T"&amp;TimeRemaining[#Headers],Upgrades[#Headers],0),FALSE),0)*MAX(0,SUM('Construction Dashboard'!$G65:M65)),0)</f>
        <v>0</v>
      </c>
      <c r="M115" s="61">
        <f ca="1">IF(VALUE(TimeRemaining[#Headers])&lt;='Construction Dashboard'!$F65,IFERROR(VLOOKUP(TimeRemaining[[#This Row],[Time]],Upgrades[],MATCH("T"&amp;TimeRemaining[#Headers],Upgrades[#Headers],0),FALSE),0)*MAX(0,SUM('Construction Dashboard'!$G65:N65)),0)</f>
        <v>0</v>
      </c>
      <c r="N115" s="61">
        <f ca="1">IF(VALUE(TimeRemaining[#Headers])&lt;='Construction Dashboard'!$F65,IFERROR(VLOOKUP(TimeRemaining[[#This Row],[Time]],Upgrades[],MATCH("T"&amp;TimeRemaining[#Headers],Upgrades[#Headers],0),FALSE),0)*MAX(0,SUM('Construction Dashboard'!$G65:O65)),0)</f>
        <v>0</v>
      </c>
      <c r="O115" s="61">
        <f ca="1">IF(VALUE(TimeRemaining[#Headers])&lt;='Construction Dashboard'!$F65,IFERROR(VLOOKUP(TimeRemaining[[#This Row],[Time]],Upgrades[],MATCH("T"&amp;TimeRemaining[#Headers],Upgrades[#Headers],0),FALSE),0)*MAX(0,SUM('Construction Dashboard'!$G65:P65)),0)</f>
        <v>0</v>
      </c>
      <c r="P115" s="61">
        <f ca="1">IF(VALUE(TimeRemaining[#Headers])&lt;='Construction Dashboard'!$F65,IFERROR(VLOOKUP(TimeRemaining[[#This Row],[Time]],Upgrades[],MATCH("T"&amp;TimeRemaining[#Headers],Upgrades[#Headers],0),FALSE),0)*MAX(0,SUM('Construction Dashboard'!$G65:Q65)),0)</f>
        <v>0</v>
      </c>
      <c r="Q115" s="61">
        <f ca="1">IF(VALUE(TimeRemaining[#Headers])&lt;='Construction Dashboard'!$F65,IFERROR(VLOOKUP(TimeRemaining[[#This Row],[Time]],Upgrades[],MATCH("T"&amp;TimeRemaining[#Headers],Upgrades[#Headers],0),FALSE),0)*MAX(0,SUM('Construction Dashboard'!$G65:R65)),0)</f>
        <v>0</v>
      </c>
      <c r="R115" s="61">
        <f ca="1">IF(TimeRemaining[[#This Row],[MatchStr]]="IGNORE",0,SUM(TimeRemaining[[#This Row],[1]:[12]]))</f>
        <v>8</v>
      </c>
    </row>
    <row r="116" spans="1:18">
      <c r="A116" s="11" t="s">
        <v>95</v>
      </c>
      <c r="B116" s="56" t="str">
        <f>VLOOKUP(TimeRemaining[[#This Row],[Time]],Upgrades[],MATCH("Kind",Upgrades[#Headers],0),FALSE)</f>
        <v>Upgrade</v>
      </c>
      <c r="C116" s="56" t="str">
        <f>VLOOKUP(TimeRemaining[[#This Row],[Time]],Upgrades[],MATCH("Resource",Upgrades[#Headers],0),FALSE)</f>
        <v>Elixir</v>
      </c>
      <c r="D116" s="132" t="str">
        <f>IF(COUNTIF(Skips,TimeRemaining[[#This Row],[Time]])&gt;0,"IGNORE",TimeRemaining[Kind]&amp;"-"&amp;TimeRemaining[Resource])</f>
        <v>Upgrade-Elixir</v>
      </c>
      <c r="E116" s="54" t="str">
        <f ca="1">IFERROR(VLOOKUP(TimeRemaining[[#This Row],[Time]],Upgrades[],MATCH("T"&amp;MATCH(TRUE,INDEX(TimeRemaining[[#This Row],[1]:[12]]&lt;&gt;0,),0),Upgrades[#Headers],0),FALSE),"")</f>
        <v/>
      </c>
      <c r="F116" s="61">
        <f ca="1">IF(VALUE(TimeRemaining[#Headers])&lt;='Construction Dashboard'!$F66,IFERROR(VLOOKUP(TimeRemaining[[#This Row],[Time]],Upgrades[],MATCH("T"&amp;TimeRemaining[#Headers],Upgrades[#Headers],0),FALSE),0)*MAX(0,SUM('Construction Dashboard'!$G66:G66)),0)</f>
        <v>0</v>
      </c>
      <c r="G116" s="61">
        <f ca="1">IF(VALUE(TimeRemaining[#Headers])&lt;='Construction Dashboard'!$F66,IFERROR(VLOOKUP(TimeRemaining[[#This Row],[Time]],Upgrades[],MATCH("T"&amp;TimeRemaining[#Headers],Upgrades[#Headers],0),FALSE),0)*MAX(0,SUM('Construction Dashboard'!$G66:H66)),0)</f>
        <v>0</v>
      </c>
      <c r="H116" s="61">
        <f ca="1">IF(VALUE(TimeRemaining[#Headers])&lt;='Construction Dashboard'!$F66,IFERROR(VLOOKUP(TimeRemaining[[#This Row],[Time]],Upgrades[],MATCH("T"&amp;TimeRemaining[#Headers],Upgrades[#Headers],0),FALSE),0)*MAX(0,SUM('Construction Dashboard'!$G66:I66)),0)</f>
        <v>0</v>
      </c>
      <c r="I116" s="61">
        <f ca="1">IF(VALUE(TimeRemaining[#Headers])&lt;='Construction Dashboard'!$F66,IFERROR(VLOOKUP(TimeRemaining[[#This Row],[Time]],Upgrades[],MATCH("T"&amp;TimeRemaining[#Headers],Upgrades[#Headers],0),FALSE),0)*MAX(0,SUM('Construction Dashboard'!$G66:J66)),0)</f>
        <v>0</v>
      </c>
      <c r="J116" s="61">
        <f ca="1">IF(VALUE(TimeRemaining[#Headers])&lt;='Construction Dashboard'!$F66,IFERROR(VLOOKUP(TimeRemaining[[#This Row],[Time]],Upgrades[],MATCH("T"&amp;TimeRemaining[#Headers],Upgrades[#Headers],0),FALSE),0)*MAX(0,SUM('Construction Dashboard'!$G66:K66)),0)</f>
        <v>0</v>
      </c>
      <c r="K116" s="61">
        <f ca="1">IF(VALUE(TimeRemaining[#Headers])&lt;='Construction Dashboard'!$F66,IFERROR(VLOOKUP(TimeRemaining[[#This Row],[Time]],Upgrades[],MATCH("T"&amp;TimeRemaining[#Headers],Upgrades[#Headers],0),FALSE),0)*MAX(0,SUM('Construction Dashboard'!$G66:L66)),0)</f>
        <v>0</v>
      </c>
      <c r="L116" s="61">
        <f ca="1">IF(VALUE(TimeRemaining[#Headers])&lt;='Construction Dashboard'!$F66,IFERROR(VLOOKUP(TimeRemaining[[#This Row],[Time]],Upgrades[],MATCH("T"&amp;TimeRemaining[#Headers],Upgrades[#Headers],0),FALSE),0)*MAX(0,SUM('Construction Dashboard'!$G66:M66)),0)</f>
        <v>0</v>
      </c>
      <c r="M116" s="61">
        <f ca="1">IF(VALUE(TimeRemaining[#Headers])&lt;='Construction Dashboard'!$F66,IFERROR(VLOOKUP(TimeRemaining[[#This Row],[Time]],Upgrades[],MATCH("T"&amp;TimeRemaining[#Headers],Upgrades[#Headers],0),FALSE),0)*MAX(0,SUM('Construction Dashboard'!$G66:N66)),0)</f>
        <v>0</v>
      </c>
      <c r="N116" s="61">
        <f ca="1">IF(VALUE(TimeRemaining[#Headers])&lt;='Construction Dashboard'!$F66,IFERROR(VLOOKUP(TimeRemaining[[#This Row],[Time]],Upgrades[],MATCH("T"&amp;TimeRemaining[#Headers],Upgrades[#Headers],0),FALSE),0)*MAX(0,SUM('Construction Dashboard'!$G66:O66)),0)</f>
        <v>0</v>
      </c>
      <c r="O116" s="61">
        <f ca="1">IF(VALUE(TimeRemaining[#Headers])&lt;='Construction Dashboard'!$F66,IFERROR(VLOOKUP(TimeRemaining[[#This Row],[Time]],Upgrades[],MATCH("T"&amp;TimeRemaining[#Headers],Upgrades[#Headers],0),FALSE),0)*MAX(0,SUM('Construction Dashboard'!$G66:P66)),0)</f>
        <v>0</v>
      </c>
      <c r="P116" s="61">
        <f ca="1">IF(VALUE(TimeRemaining[#Headers])&lt;='Construction Dashboard'!$F66,IFERROR(VLOOKUP(TimeRemaining[[#This Row],[Time]],Upgrades[],MATCH("T"&amp;TimeRemaining[#Headers],Upgrades[#Headers],0),FALSE),0)*MAX(0,SUM('Construction Dashboard'!$G66:Q66)),0)</f>
        <v>0</v>
      </c>
      <c r="Q116" s="61">
        <f ca="1">IF(VALUE(TimeRemaining[#Headers])&lt;='Construction Dashboard'!$F66,IFERROR(VLOOKUP(TimeRemaining[[#This Row],[Time]],Upgrades[],MATCH("T"&amp;TimeRemaining[#Headers],Upgrades[#Headers],0),FALSE),0)*MAX(0,SUM('Construction Dashboard'!$G66:R66)),0)</f>
        <v>0</v>
      </c>
      <c r="R116" s="61">
        <f ca="1">IF(TimeRemaining[[#This Row],[MatchStr]]="IGNORE",0,SUM(TimeRemaining[[#This Row],[1]:[12]]))</f>
        <v>0</v>
      </c>
    </row>
    <row r="117" spans="1:18">
      <c r="A117" s="11" t="s">
        <v>96</v>
      </c>
      <c r="B117" s="56" t="str">
        <f>VLOOKUP(TimeRemaining[[#This Row],[Time]],Upgrades[],MATCH("Kind",Upgrades[#Headers],0),FALSE)</f>
        <v>Upgrade</v>
      </c>
      <c r="C117" s="56" t="str">
        <f>VLOOKUP(TimeRemaining[[#This Row],[Time]],Upgrades[],MATCH("Resource",Upgrades[#Headers],0),FALSE)</f>
        <v>Elixir</v>
      </c>
      <c r="D117" s="132" t="str">
        <f>IF(COUNTIF(Skips,TimeRemaining[[#This Row],[Time]])&gt;0,"IGNORE",TimeRemaining[Kind]&amp;"-"&amp;TimeRemaining[Resource])</f>
        <v>Upgrade-Elixir</v>
      </c>
      <c r="E117" s="54" t="str">
        <f ca="1">IFERROR(VLOOKUP(TimeRemaining[[#This Row],[Time]],Upgrades[],MATCH("T"&amp;MATCH(TRUE,INDEX(TimeRemaining[[#This Row],[1]:[12]]&lt;&gt;0,),0),Upgrades[#Headers],0),FALSE),"")</f>
        <v/>
      </c>
      <c r="F117" s="61">
        <f ca="1">IF(VALUE(TimeRemaining[#Headers])&lt;='Construction Dashboard'!$F67,IFERROR(VLOOKUP(TimeRemaining[[#This Row],[Time]],Upgrades[],MATCH("T"&amp;TimeRemaining[#Headers],Upgrades[#Headers],0),FALSE),0)*MAX(0,SUM('Construction Dashboard'!$G67:G67)),0)</f>
        <v>0</v>
      </c>
      <c r="G117" s="61">
        <f ca="1">IF(VALUE(TimeRemaining[#Headers])&lt;='Construction Dashboard'!$F67,IFERROR(VLOOKUP(TimeRemaining[[#This Row],[Time]],Upgrades[],MATCH("T"&amp;TimeRemaining[#Headers],Upgrades[#Headers],0),FALSE),0)*MAX(0,SUM('Construction Dashboard'!$G67:H67)),0)</f>
        <v>0</v>
      </c>
      <c r="H117" s="61">
        <f ca="1">IF(VALUE(TimeRemaining[#Headers])&lt;='Construction Dashboard'!$F67,IFERROR(VLOOKUP(TimeRemaining[[#This Row],[Time]],Upgrades[],MATCH("T"&amp;TimeRemaining[#Headers],Upgrades[#Headers],0),FALSE),0)*MAX(0,SUM('Construction Dashboard'!$G67:I67)),0)</f>
        <v>0</v>
      </c>
      <c r="I117" s="61">
        <f ca="1">IF(VALUE(TimeRemaining[#Headers])&lt;='Construction Dashboard'!$F67,IFERROR(VLOOKUP(TimeRemaining[[#This Row],[Time]],Upgrades[],MATCH("T"&amp;TimeRemaining[#Headers],Upgrades[#Headers],0),FALSE),0)*MAX(0,SUM('Construction Dashboard'!$G67:J67)),0)</f>
        <v>0</v>
      </c>
      <c r="J117" s="61">
        <f ca="1">IF(VALUE(TimeRemaining[#Headers])&lt;='Construction Dashboard'!$F67,IFERROR(VLOOKUP(TimeRemaining[[#This Row],[Time]],Upgrades[],MATCH("T"&amp;TimeRemaining[#Headers],Upgrades[#Headers],0),FALSE),0)*MAX(0,SUM('Construction Dashboard'!$G67:K67)),0)</f>
        <v>0</v>
      </c>
      <c r="K117" s="61">
        <f ca="1">IF(VALUE(TimeRemaining[#Headers])&lt;='Construction Dashboard'!$F67,IFERROR(VLOOKUP(TimeRemaining[[#This Row],[Time]],Upgrades[],MATCH("T"&amp;TimeRemaining[#Headers],Upgrades[#Headers],0),FALSE),0)*MAX(0,SUM('Construction Dashboard'!$G67:L67)),0)</f>
        <v>0</v>
      </c>
      <c r="L117" s="61">
        <f ca="1">IF(VALUE(TimeRemaining[#Headers])&lt;='Construction Dashboard'!$F67,IFERROR(VLOOKUP(TimeRemaining[[#This Row],[Time]],Upgrades[],MATCH("T"&amp;TimeRemaining[#Headers],Upgrades[#Headers],0),FALSE),0)*MAX(0,SUM('Construction Dashboard'!$G67:M67)),0)</f>
        <v>0</v>
      </c>
      <c r="M117" s="61">
        <f ca="1">IF(VALUE(TimeRemaining[#Headers])&lt;='Construction Dashboard'!$F67,IFERROR(VLOOKUP(TimeRemaining[[#This Row],[Time]],Upgrades[],MATCH("T"&amp;TimeRemaining[#Headers],Upgrades[#Headers],0),FALSE),0)*MAX(0,SUM('Construction Dashboard'!$G67:N67)),0)</f>
        <v>0</v>
      </c>
      <c r="N117" s="61">
        <f ca="1">IF(VALUE(TimeRemaining[#Headers])&lt;='Construction Dashboard'!$F67,IFERROR(VLOOKUP(TimeRemaining[[#This Row],[Time]],Upgrades[],MATCH("T"&amp;TimeRemaining[#Headers],Upgrades[#Headers],0),FALSE),0)*MAX(0,SUM('Construction Dashboard'!$G67:O67)),0)</f>
        <v>0</v>
      </c>
      <c r="O117" s="61">
        <f ca="1">IF(VALUE(TimeRemaining[#Headers])&lt;='Construction Dashboard'!$F67,IFERROR(VLOOKUP(TimeRemaining[[#This Row],[Time]],Upgrades[],MATCH("T"&amp;TimeRemaining[#Headers],Upgrades[#Headers],0),FALSE),0)*MAX(0,SUM('Construction Dashboard'!$G67:P67)),0)</f>
        <v>0</v>
      </c>
      <c r="P117" s="61">
        <f ca="1">IF(VALUE(TimeRemaining[#Headers])&lt;='Construction Dashboard'!$F67,IFERROR(VLOOKUP(TimeRemaining[[#This Row],[Time]],Upgrades[],MATCH("T"&amp;TimeRemaining[#Headers],Upgrades[#Headers],0),FALSE),0)*MAX(0,SUM('Construction Dashboard'!$G67:Q67)),0)</f>
        <v>0</v>
      </c>
      <c r="Q117" s="61">
        <f ca="1">IF(VALUE(TimeRemaining[#Headers])&lt;='Construction Dashboard'!$F67,IFERROR(VLOOKUP(TimeRemaining[[#This Row],[Time]],Upgrades[],MATCH("T"&amp;TimeRemaining[#Headers],Upgrades[#Headers],0),FALSE),0)*MAX(0,SUM('Construction Dashboard'!$G67:R67)),0)</f>
        <v>0</v>
      </c>
      <c r="R117" s="61">
        <f ca="1">IF(TimeRemaining[[#This Row],[MatchStr]]="IGNORE",0,SUM(TimeRemaining[[#This Row],[1]:[12]]))</f>
        <v>0</v>
      </c>
    </row>
    <row r="118" spans="1:18">
      <c r="A118" s="11" t="s">
        <v>97</v>
      </c>
      <c r="B118" s="56" t="str">
        <f>VLOOKUP(TimeRemaining[[#This Row],[Time]],Upgrades[],MATCH("Kind",Upgrades[#Headers],0),FALSE)</f>
        <v>Upgrade</v>
      </c>
      <c r="C118" s="56" t="str">
        <f>VLOOKUP(TimeRemaining[[#This Row],[Time]],Upgrades[],MATCH("Resource",Upgrades[#Headers],0),FALSE)</f>
        <v>Dark Elixir</v>
      </c>
      <c r="D118" s="132" t="str">
        <f>IF(COUNTIF(Skips,TimeRemaining[[#This Row],[Time]])&gt;0,"IGNORE",TimeRemaining[Kind]&amp;"-"&amp;TimeRemaining[Resource])</f>
        <v>IGNORE</v>
      </c>
      <c r="E118" s="54">
        <f ca="1">IFERROR(VLOOKUP(TimeRemaining[[#This Row],[Time]],Upgrades[],MATCH("T"&amp;MATCH(TRUE,INDEX(TimeRemaining[[#This Row],[1]:[12]]&lt;&gt;0,),0),Upgrades[#Headers],0),FALSE),"")</f>
        <v>5</v>
      </c>
      <c r="F118" s="61">
        <f ca="1">IF(VALUE(TimeRemaining[#Headers])&lt;='Construction Dashboard'!$F68,IFERROR(VLOOKUP(TimeRemaining[[#This Row],[Time]],Upgrades[],MATCH("T"&amp;TimeRemaining[#Headers],Upgrades[#Headers],0),FALSE),0)*MAX(0,SUM('Construction Dashboard'!$G68:G68)),0)</f>
        <v>0</v>
      </c>
      <c r="G118" s="61">
        <f ca="1">IF(VALUE(TimeRemaining[#Headers])&lt;='Construction Dashboard'!$F68,IFERROR(VLOOKUP(TimeRemaining[[#This Row],[Time]],Upgrades[],MATCH("T"&amp;TimeRemaining[#Headers],Upgrades[#Headers],0),FALSE),0)*MAX(0,SUM('Construction Dashboard'!$G68:H68)),0)</f>
        <v>5</v>
      </c>
      <c r="H118" s="61">
        <f ca="1">IF(VALUE(TimeRemaining[#Headers])&lt;='Construction Dashboard'!$F68,IFERROR(VLOOKUP(TimeRemaining[[#This Row],[Time]],Upgrades[],MATCH("T"&amp;TimeRemaining[#Headers],Upgrades[#Headers],0),FALSE),0)*MAX(0,SUM('Construction Dashboard'!$G68:I68)),0)</f>
        <v>0</v>
      </c>
      <c r="I118" s="61">
        <f ca="1">IF(VALUE(TimeRemaining[#Headers])&lt;='Construction Dashboard'!$F68,IFERROR(VLOOKUP(TimeRemaining[[#This Row],[Time]],Upgrades[],MATCH("T"&amp;TimeRemaining[#Headers],Upgrades[#Headers],0),FALSE),0)*MAX(0,SUM('Construction Dashboard'!$G68:J68)),0)</f>
        <v>0</v>
      </c>
      <c r="J118" s="61">
        <f ca="1">IF(VALUE(TimeRemaining[#Headers])&lt;='Construction Dashboard'!$F68,IFERROR(VLOOKUP(TimeRemaining[[#This Row],[Time]],Upgrades[],MATCH("T"&amp;TimeRemaining[#Headers],Upgrades[#Headers],0),FALSE),0)*MAX(0,SUM('Construction Dashboard'!$G68:K68)),0)</f>
        <v>0</v>
      </c>
      <c r="K118" s="61">
        <f ca="1">IF(VALUE(TimeRemaining[#Headers])&lt;='Construction Dashboard'!$F68,IFERROR(VLOOKUP(TimeRemaining[[#This Row],[Time]],Upgrades[],MATCH("T"&amp;TimeRemaining[#Headers],Upgrades[#Headers],0),FALSE),0)*MAX(0,SUM('Construction Dashboard'!$G68:L68)),0)</f>
        <v>0</v>
      </c>
      <c r="L118" s="61">
        <f ca="1">IF(VALUE(TimeRemaining[#Headers])&lt;='Construction Dashboard'!$F68,IFERROR(VLOOKUP(TimeRemaining[[#This Row],[Time]],Upgrades[],MATCH("T"&amp;TimeRemaining[#Headers],Upgrades[#Headers],0),FALSE),0)*MAX(0,SUM('Construction Dashboard'!$G68:M68)),0)</f>
        <v>0</v>
      </c>
      <c r="M118" s="61">
        <f ca="1">IF(VALUE(TimeRemaining[#Headers])&lt;='Construction Dashboard'!$F68,IFERROR(VLOOKUP(TimeRemaining[[#This Row],[Time]],Upgrades[],MATCH("T"&amp;TimeRemaining[#Headers],Upgrades[#Headers],0),FALSE),0)*MAX(0,SUM('Construction Dashboard'!$G68:N68)),0)</f>
        <v>0</v>
      </c>
      <c r="N118" s="61">
        <f ca="1">IF(VALUE(TimeRemaining[#Headers])&lt;='Construction Dashboard'!$F68,IFERROR(VLOOKUP(TimeRemaining[[#This Row],[Time]],Upgrades[],MATCH("T"&amp;TimeRemaining[#Headers],Upgrades[#Headers],0),FALSE),0)*MAX(0,SUM('Construction Dashboard'!$G68:O68)),0)</f>
        <v>0</v>
      </c>
      <c r="O118" s="61">
        <f ca="1">IF(VALUE(TimeRemaining[#Headers])&lt;='Construction Dashboard'!$F68,IFERROR(VLOOKUP(TimeRemaining[[#This Row],[Time]],Upgrades[],MATCH("T"&amp;TimeRemaining[#Headers],Upgrades[#Headers],0),FALSE),0)*MAX(0,SUM('Construction Dashboard'!$G68:P68)),0)</f>
        <v>0</v>
      </c>
      <c r="P118" s="61">
        <f ca="1">IF(VALUE(TimeRemaining[#Headers])&lt;='Construction Dashboard'!$F68,IFERROR(VLOOKUP(TimeRemaining[[#This Row],[Time]],Upgrades[],MATCH("T"&amp;TimeRemaining[#Headers],Upgrades[#Headers],0),FALSE),0)*MAX(0,SUM('Construction Dashboard'!$G68:Q68)),0)</f>
        <v>0</v>
      </c>
      <c r="Q118" s="61">
        <f ca="1">IF(VALUE(TimeRemaining[#Headers])&lt;='Construction Dashboard'!$F68,IFERROR(VLOOKUP(TimeRemaining[[#This Row],[Time]],Upgrades[],MATCH("T"&amp;TimeRemaining[#Headers],Upgrades[#Headers],0),FALSE),0)*MAX(0,SUM('Construction Dashboard'!$G68:R68)),0)</f>
        <v>0</v>
      </c>
      <c r="R118" s="61">
        <f>IF(TimeRemaining[[#This Row],[MatchStr]]="IGNORE",0,SUM(TimeRemaining[[#This Row],[1]:[12]]))</f>
        <v>0</v>
      </c>
    </row>
    <row r="119" spans="1:18">
      <c r="A119" s="11" t="s">
        <v>98</v>
      </c>
      <c r="B119" s="56" t="str">
        <f>VLOOKUP(TimeRemaining[[#This Row],[Time]],Upgrades[],MATCH("Kind",Upgrades[#Headers],0),FALSE)</f>
        <v>Upgrade</v>
      </c>
      <c r="C119" s="56" t="str">
        <f>VLOOKUP(TimeRemaining[[#This Row],[Time]],Upgrades[],MATCH("Resource",Upgrades[#Headers],0),FALSE)</f>
        <v>Dark Elixir</v>
      </c>
      <c r="D119" s="132" t="str">
        <f>IF(COUNTIF(Skips,TimeRemaining[[#This Row],[Time]])&gt;0,"IGNORE",TimeRemaining[Kind]&amp;"-"&amp;TimeRemaining[Resource])</f>
        <v>Upgrade-Dark Elixir</v>
      </c>
      <c r="E119" s="54">
        <f ca="1">IFERROR(VLOOKUP(TimeRemaining[[#This Row],[Time]],Upgrades[],MATCH("T"&amp;MATCH(TRUE,INDEX(TimeRemaining[[#This Row],[1]:[12]]&lt;&gt;0,),0),Upgrades[#Headers],0),FALSE),"")</f>
        <v>8</v>
      </c>
      <c r="F119" s="61">
        <f ca="1">IF(VALUE(TimeRemaining[#Headers])&lt;='Construction Dashboard'!$F69,IFERROR(VLOOKUP(TimeRemaining[[#This Row],[Time]],Upgrades[],MATCH("T"&amp;TimeRemaining[#Headers],Upgrades[#Headers],0),FALSE),0)*MAX(0,SUM('Construction Dashboard'!$G69:G69)),0)</f>
        <v>0</v>
      </c>
      <c r="G119" s="61">
        <f ca="1">IF(VALUE(TimeRemaining[#Headers])&lt;='Construction Dashboard'!$F69,IFERROR(VLOOKUP(TimeRemaining[[#This Row],[Time]],Upgrades[],MATCH("T"&amp;TimeRemaining[#Headers],Upgrades[#Headers],0),FALSE),0)*MAX(0,SUM('Construction Dashboard'!$G69:H69)),0)</f>
        <v>8</v>
      </c>
      <c r="H119" s="61">
        <f ca="1">IF(VALUE(TimeRemaining[#Headers])&lt;='Construction Dashboard'!$F69,IFERROR(VLOOKUP(TimeRemaining[[#This Row],[Time]],Upgrades[],MATCH("T"&amp;TimeRemaining[#Headers],Upgrades[#Headers],0),FALSE),0)*MAX(0,SUM('Construction Dashboard'!$G69:I69)),0)</f>
        <v>0</v>
      </c>
      <c r="I119" s="61">
        <f ca="1">IF(VALUE(TimeRemaining[#Headers])&lt;='Construction Dashboard'!$F69,IFERROR(VLOOKUP(TimeRemaining[[#This Row],[Time]],Upgrades[],MATCH("T"&amp;TimeRemaining[#Headers],Upgrades[#Headers],0),FALSE),0)*MAX(0,SUM('Construction Dashboard'!$G69:J69)),0)</f>
        <v>0</v>
      </c>
      <c r="J119" s="61">
        <f ca="1">IF(VALUE(TimeRemaining[#Headers])&lt;='Construction Dashboard'!$F69,IFERROR(VLOOKUP(TimeRemaining[[#This Row],[Time]],Upgrades[],MATCH("T"&amp;TimeRemaining[#Headers],Upgrades[#Headers],0),FALSE),0)*MAX(0,SUM('Construction Dashboard'!$G69:K69)),0)</f>
        <v>0</v>
      </c>
      <c r="K119" s="61">
        <f ca="1">IF(VALUE(TimeRemaining[#Headers])&lt;='Construction Dashboard'!$F69,IFERROR(VLOOKUP(TimeRemaining[[#This Row],[Time]],Upgrades[],MATCH("T"&amp;TimeRemaining[#Headers],Upgrades[#Headers],0),FALSE),0)*MAX(0,SUM('Construction Dashboard'!$G69:L69)),0)</f>
        <v>0</v>
      </c>
      <c r="L119" s="61">
        <f ca="1">IF(VALUE(TimeRemaining[#Headers])&lt;='Construction Dashboard'!$F69,IFERROR(VLOOKUP(TimeRemaining[[#This Row],[Time]],Upgrades[],MATCH("T"&amp;TimeRemaining[#Headers],Upgrades[#Headers],0),FALSE),0)*MAX(0,SUM('Construction Dashboard'!$G69:M69)),0)</f>
        <v>0</v>
      </c>
      <c r="M119" s="61">
        <f ca="1">IF(VALUE(TimeRemaining[#Headers])&lt;='Construction Dashboard'!$F69,IFERROR(VLOOKUP(TimeRemaining[[#This Row],[Time]],Upgrades[],MATCH("T"&amp;TimeRemaining[#Headers],Upgrades[#Headers],0),FALSE),0)*MAX(0,SUM('Construction Dashboard'!$G69:N69)),0)</f>
        <v>0</v>
      </c>
      <c r="N119" s="61">
        <f ca="1">IF(VALUE(TimeRemaining[#Headers])&lt;='Construction Dashboard'!$F69,IFERROR(VLOOKUP(TimeRemaining[[#This Row],[Time]],Upgrades[],MATCH("T"&amp;TimeRemaining[#Headers],Upgrades[#Headers],0),FALSE),0)*MAX(0,SUM('Construction Dashboard'!$G69:O69)),0)</f>
        <v>0</v>
      </c>
      <c r="O119" s="61">
        <f ca="1">IF(VALUE(TimeRemaining[#Headers])&lt;='Construction Dashboard'!$F69,IFERROR(VLOOKUP(TimeRemaining[[#This Row],[Time]],Upgrades[],MATCH("T"&amp;TimeRemaining[#Headers],Upgrades[#Headers],0),FALSE),0)*MAX(0,SUM('Construction Dashboard'!$G69:P69)),0)</f>
        <v>0</v>
      </c>
      <c r="P119" s="61">
        <f ca="1">IF(VALUE(TimeRemaining[#Headers])&lt;='Construction Dashboard'!$F69,IFERROR(VLOOKUP(TimeRemaining[[#This Row],[Time]],Upgrades[],MATCH("T"&amp;TimeRemaining[#Headers],Upgrades[#Headers],0),FALSE),0)*MAX(0,SUM('Construction Dashboard'!$G69:Q69)),0)</f>
        <v>0</v>
      </c>
      <c r="Q119" s="61">
        <f ca="1">IF(VALUE(TimeRemaining[#Headers])&lt;='Construction Dashboard'!$F69,IFERROR(VLOOKUP(TimeRemaining[[#This Row],[Time]],Upgrades[],MATCH("T"&amp;TimeRemaining[#Headers],Upgrades[#Headers],0),FALSE),0)*MAX(0,SUM('Construction Dashboard'!$G69:R69)),0)</f>
        <v>0</v>
      </c>
      <c r="R119" s="61">
        <f ca="1">IF(TimeRemaining[[#This Row],[MatchStr]]="IGNORE",0,SUM(TimeRemaining[[#This Row],[1]:[12]]))</f>
        <v>8</v>
      </c>
    </row>
    <row r="120" spans="1:18">
      <c r="A120" s="11" t="s">
        <v>99</v>
      </c>
      <c r="B120" s="56" t="str">
        <f>VLOOKUP(TimeRemaining[[#This Row],[Time]],Upgrades[],MATCH("Kind",Upgrades[#Headers],0),FALSE)</f>
        <v>Upgrade</v>
      </c>
      <c r="C120" s="56" t="str">
        <f>VLOOKUP(TimeRemaining[[#This Row],[Time]],Upgrades[],MATCH("Resource",Upgrades[#Headers],0),FALSE)</f>
        <v>Dark Elixir</v>
      </c>
      <c r="D120" s="132" t="str">
        <f>IF(COUNTIF(Skips,TimeRemaining[[#This Row],[Time]])&gt;0,"IGNORE",TimeRemaining[Kind]&amp;"-"&amp;TimeRemaining[Resource])</f>
        <v>Upgrade-Dark Elixir</v>
      </c>
      <c r="E120" s="54" t="str">
        <f ca="1">IFERROR(VLOOKUP(TimeRemaining[[#This Row],[Time]],Upgrades[],MATCH("T"&amp;MATCH(TRUE,INDEX(TimeRemaining[[#This Row],[1]:[12]]&lt;&gt;0,),0),Upgrades[#Headers],0),FALSE),"")</f>
        <v/>
      </c>
      <c r="F120" s="61">
        <f ca="1">IF(VALUE(TimeRemaining[#Headers])&lt;='Construction Dashboard'!$F70,IFERROR(VLOOKUP(TimeRemaining[[#This Row],[Time]],Upgrades[],MATCH("T"&amp;TimeRemaining[#Headers],Upgrades[#Headers],0),FALSE),0)*MAX(0,SUM('Construction Dashboard'!$G70:G70)),0)</f>
        <v>0</v>
      </c>
      <c r="G120" s="61">
        <f ca="1">IF(VALUE(TimeRemaining[#Headers])&lt;='Construction Dashboard'!$F70,IFERROR(VLOOKUP(TimeRemaining[[#This Row],[Time]],Upgrades[],MATCH("T"&amp;TimeRemaining[#Headers],Upgrades[#Headers],0),FALSE),0)*MAX(0,SUM('Construction Dashboard'!$G70:H70)),0)</f>
        <v>0</v>
      </c>
      <c r="H120" s="61">
        <f ca="1">IF(VALUE(TimeRemaining[#Headers])&lt;='Construction Dashboard'!$F70,IFERROR(VLOOKUP(TimeRemaining[[#This Row],[Time]],Upgrades[],MATCH("T"&amp;TimeRemaining[#Headers],Upgrades[#Headers],0),FALSE),0)*MAX(0,SUM('Construction Dashboard'!$G70:I70)),0)</f>
        <v>0</v>
      </c>
      <c r="I120" s="61">
        <f ca="1">IF(VALUE(TimeRemaining[#Headers])&lt;='Construction Dashboard'!$F70,IFERROR(VLOOKUP(TimeRemaining[[#This Row],[Time]],Upgrades[],MATCH("T"&amp;TimeRemaining[#Headers],Upgrades[#Headers],0),FALSE),0)*MAX(0,SUM('Construction Dashboard'!$G70:J70)),0)</f>
        <v>0</v>
      </c>
      <c r="J120" s="61">
        <f ca="1">IF(VALUE(TimeRemaining[#Headers])&lt;='Construction Dashboard'!$F70,IFERROR(VLOOKUP(TimeRemaining[[#This Row],[Time]],Upgrades[],MATCH("T"&amp;TimeRemaining[#Headers],Upgrades[#Headers],0),FALSE),0)*MAX(0,SUM('Construction Dashboard'!$G70:K70)),0)</f>
        <v>0</v>
      </c>
      <c r="K120" s="61">
        <f ca="1">IF(VALUE(TimeRemaining[#Headers])&lt;='Construction Dashboard'!$F70,IFERROR(VLOOKUP(TimeRemaining[[#This Row],[Time]],Upgrades[],MATCH("T"&amp;TimeRemaining[#Headers],Upgrades[#Headers],0),FALSE),0)*MAX(0,SUM('Construction Dashboard'!$G70:L70)),0)</f>
        <v>0</v>
      </c>
      <c r="L120" s="61">
        <f ca="1">IF(VALUE(TimeRemaining[#Headers])&lt;='Construction Dashboard'!$F70,IFERROR(VLOOKUP(TimeRemaining[[#This Row],[Time]],Upgrades[],MATCH("T"&amp;TimeRemaining[#Headers],Upgrades[#Headers],0),FALSE),0)*MAX(0,SUM('Construction Dashboard'!$G70:M70)),0)</f>
        <v>0</v>
      </c>
      <c r="M120" s="61">
        <f ca="1">IF(VALUE(TimeRemaining[#Headers])&lt;='Construction Dashboard'!$F70,IFERROR(VLOOKUP(TimeRemaining[[#This Row],[Time]],Upgrades[],MATCH("T"&amp;TimeRemaining[#Headers],Upgrades[#Headers],0),FALSE),0)*MAX(0,SUM('Construction Dashboard'!$G70:N70)),0)</f>
        <v>0</v>
      </c>
      <c r="N120" s="61">
        <f ca="1">IF(VALUE(TimeRemaining[#Headers])&lt;='Construction Dashboard'!$F70,IFERROR(VLOOKUP(TimeRemaining[[#This Row],[Time]],Upgrades[],MATCH("T"&amp;TimeRemaining[#Headers],Upgrades[#Headers],0),FALSE),0)*MAX(0,SUM('Construction Dashboard'!$G70:O70)),0)</f>
        <v>0</v>
      </c>
      <c r="O120" s="61">
        <f ca="1">IF(VALUE(TimeRemaining[#Headers])&lt;='Construction Dashboard'!$F70,IFERROR(VLOOKUP(TimeRemaining[[#This Row],[Time]],Upgrades[],MATCH("T"&amp;TimeRemaining[#Headers],Upgrades[#Headers],0),FALSE),0)*MAX(0,SUM('Construction Dashboard'!$G70:P70)),0)</f>
        <v>0</v>
      </c>
      <c r="P120" s="61">
        <f ca="1">IF(VALUE(TimeRemaining[#Headers])&lt;='Construction Dashboard'!$F70,IFERROR(VLOOKUP(TimeRemaining[[#This Row],[Time]],Upgrades[],MATCH("T"&amp;TimeRemaining[#Headers],Upgrades[#Headers],0),FALSE),0)*MAX(0,SUM('Construction Dashboard'!$G70:Q70)),0)</f>
        <v>0</v>
      </c>
      <c r="Q120" s="61">
        <f ca="1">IF(VALUE(TimeRemaining[#Headers])&lt;='Construction Dashboard'!$F70,IFERROR(VLOOKUP(TimeRemaining[[#This Row],[Time]],Upgrades[],MATCH("T"&amp;TimeRemaining[#Headers],Upgrades[#Headers],0),FALSE),0)*MAX(0,SUM('Construction Dashboard'!$G70:R70)),0)</f>
        <v>0</v>
      </c>
      <c r="R120" s="61">
        <f ca="1">IF(TimeRemaining[[#This Row],[MatchStr]]="IGNORE",0,SUM(TimeRemaining[[#This Row],[1]:[12]]))</f>
        <v>0</v>
      </c>
    </row>
    <row r="121" spans="1:18">
      <c r="A121" s="11" t="s">
        <v>100</v>
      </c>
      <c r="B121" s="56" t="str">
        <f>VLOOKUP(TimeRemaining[[#This Row],[Time]],Upgrades[],MATCH("Kind",Upgrades[#Headers],0),FALSE)</f>
        <v>Upgrade</v>
      </c>
      <c r="C121" s="56" t="str">
        <f>VLOOKUP(TimeRemaining[[#This Row],[Time]],Upgrades[],MATCH("Resource",Upgrades[#Headers],0),FALSE)</f>
        <v>Dark Elixir</v>
      </c>
      <c r="D121" s="132" t="str">
        <f>IF(COUNTIF(Skips,TimeRemaining[[#This Row],[Time]])&gt;0,"IGNORE",TimeRemaining[Kind]&amp;"-"&amp;TimeRemaining[Resource])</f>
        <v>Upgrade-Dark Elixir</v>
      </c>
      <c r="E121" s="54" t="str">
        <f ca="1">IFERROR(VLOOKUP(TimeRemaining[[#This Row],[Time]],Upgrades[],MATCH("T"&amp;MATCH(TRUE,INDEX(TimeRemaining[[#This Row],[1]:[12]]&lt;&gt;0,),0),Upgrades[#Headers],0),FALSE),"")</f>
        <v/>
      </c>
      <c r="F121" s="61">
        <f ca="1">IF(VALUE(TimeRemaining[#Headers])&lt;='Construction Dashboard'!$F71,IFERROR(VLOOKUP(TimeRemaining[[#This Row],[Time]],Upgrades[],MATCH("T"&amp;TimeRemaining[#Headers],Upgrades[#Headers],0),FALSE),0)*MAX(0,SUM('Construction Dashboard'!$G71:G71)),0)</f>
        <v>0</v>
      </c>
      <c r="G121" s="61">
        <f ca="1">IF(VALUE(TimeRemaining[#Headers])&lt;='Construction Dashboard'!$F71,IFERROR(VLOOKUP(TimeRemaining[[#This Row],[Time]],Upgrades[],MATCH("T"&amp;TimeRemaining[#Headers],Upgrades[#Headers],0),FALSE),0)*MAX(0,SUM('Construction Dashboard'!$G71:H71)),0)</f>
        <v>0</v>
      </c>
      <c r="H121" s="61">
        <f ca="1">IF(VALUE(TimeRemaining[#Headers])&lt;='Construction Dashboard'!$F71,IFERROR(VLOOKUP(TimeRemaining[[#This Row],[Time]],Upgrades[],MATCH("T"&amp;TimeRemaining[#Headers],Upgrades[#Headers],0),FALSE),0)*MAX(0,SUM('Construction Dashboard'!$G71:I71)),0)</f>
        <v>0</v>
      </c>
      <c r="I121" s="61">
        <f ca="1">IF(VALUE(TimeRemaining[#Headers])&lt;='Construction Dashboard'!$F71,IFERROR(VLOOKUP(TimeRemaining[[#This Row],[Time]],Upgrades[],MATCH("T"&amp;TimeRemaining[#Headers],Upgrades[#Headers],0),FALSE),0)*MAX(0,SUM('Construction Dashboard'!$G71:J71)),0)</f>
        <v>0</v>
      </c>
      <c r="J121" s="61">
        <f ca="1">IF(VALUE(TimeRemaining[#Headers])&lt;='Construction Dashboard'!$F71,IFERROR(VLOOKUP(TimeRemaining[[#This Row],[Time]],Upgrades[],MATCH("T"&amp;TimeRemaining[#Headers],Upgrades[#Headers],0),FALSE),0)*MAX(0,SUM('Construction Dashboard'!$G71:K71)),0)</f>
        <v>0</v>
      </c>
      <c r="K121" s="61">
        <f ca="1">IF(VALUE(TimeRemaining[#Headers])&lt;='Construction Dashboard'!$F71,IFERROR(VLOOKUP(TimeRemaining[[#This Row],[Time]],Upgrades[],MATCH("T"&amp;TimeRemaining[#Headers],Upgrades[#Headers],0),FALSE),0)*MAX(0,SUM('Construction Dashboard'!$G71:L71)),0)</f>
        <v>0</v>
      </c>
      <c r="L121" s="61">
        <f ca="1">IF(VALUE(TimeRemaining[#Headers])&lt;='Construction Dashboard'!$F71,IFERROR(VLOOKUP(TimeRemaining[[#This Row],[Time]],Upgrades[],MATCH("T"&amp;TimeRemaining[#Headers],Upgrades[#Headers],0),FALSE),0)*MAX(0,SUM('Construction Dashboard'!$G71:M71)),0)</f>
        <v>0</v>
      </c>
      <c r="M121" s="61">
        <f ca="1">IF(VALUE(TimeRemaining[#Headers])&lt;='Construction Dashboard'!$F71,IFERROR(VLOOKUP(TimeRemaining[[#This Row],[Time]],Upgrades[],MATCH("T"&amp;TimeRemaining[#Headers],Upgrades[#Headers],0),FALSE),0)*MAX(0,SUM('Construction Dashboard'!$G71:N71)),0)</f>
        <v>0</v>
      </c>
      <c r="N121" s="61">
        <f ca="1">IF(VALUE(TimeRemaining[#Headers])&lt;='Construction Dashboard'!$F71,IFERROR(VLOOKUP(TimeRemaining[[#This Row],[Time]],Upgrades[],MATCH("T"&amp;TimeRemaining[#Headers],Upgrades[#Headers],0),FALSE),0)*MAX(0,SUM('Construction Dashboard'!$G71:O71)),0)</f>
        <v>0</v>
      </c>
      <c r="O121" s="61">
        <f ca="1">IF(VALUE(TimeRemaining[#Headers])&lt;='Construction Dashboard'!$F71,IFERROR(VLOOKUP(TimeRemaining[[#This Row],[Time]],Upgrades[],MATCH("T"&amp;TimeRemaining[#Headers],Upgrades[#Headers],0),FALSE),0)*MAX(0,SUM('Construction Dashboard'!$G71:P71)),0)</f>
        <v>0</v>
      </c>
      <c r="P121" s="61">
        <f ca="1">IF(VALUE(TimeRemaining[#Headers])&lt;='Construction Dashboard'!$F71,IFERROR(VLOOKUP(TimeRemaining[[#This Row],[Time]],Upgrades[],MATCH("T"&amp;TimeRemaining[#Headers],Upgrades[#Headers],0),FALSE),0)*MAX(0,SUM('Construction Dashboard'!$G71:Q71)),0)</f>
        <v>0</v>
      </c>
      <c r="Q121" s="61">
        <f ca="1">IF(VALUE(TimeRemaining[#Headers])&lt;='Construction Dashboard'!$F71,IFERROR(VLOOKUP(TimeRemaining[[#This Row],[Time]],Upgrades[],MATCH("T"&amp;TimeRemaining[#Headers],Upgrades[#Headers],0),FALSE),0)*MAX(0,SUM('Construction Dashboard'!$G71:R71)),0)</f>
        <v>0</v>
      </c>
      <c r="R121" s="61">
        <f ca="1">IF(TimeRemaining[[#This Row],[MatchStr]]="IGNORE",0,SUM(TimeRemaining[[#This Row],[1]:[12]]))</f>
        <v>0</v>
      </c>
    </row>
    <row r="122" spans="1:18">
      <c r="A122" s="57" t="s">
        <v>101</v>
      </c>
      <c r="B122" s="58" t="str">
        <f>VLOOKUP(TimeRemaining[[#This Row],[Time]],Upgrades[],MATCH("Kind",Upgrades[#Headers],0),FALSE)</f>
        <v>Upgrade</v>
      </c>
      <c r="C122" s="58" t="str">
        <f>VLOOKUP(TimeRemaining[[#This Row],[Time]],Upgrades[],MATCH("Resource",Upgrades[#Headers],0),FALSE)</f>
        <v>Dark Elixir</v>
      </c>
      <c r="D122" s="133" t="str">
        <f>IF(COUNTIF(Skips,TimeRemaining[[#This Row],[Time]])&gt;0,"IGNORE",TimeRemaining[Kind]&amp;"-"&amp;TimeRemaining[Resource])</f>
        <v>Upgrade-Dark Elixir</v>
      </c>
      <c r="E122" s="59" t="str">
        <f ca="1">IFERROR(VLOOKUP(TimeRemaining[[#This Row],[Time]],Upgrades[],MATCH("T"&amp;MATCH(TRUE,INDEX(TimeRemaining[[#This Row],[1]:[12]]&lt;&gt;0,),0),Upgrades[#Headers],0),FALSE),"")</f>
        <v/>
      </c>
      <c r="F122" s="63">
        <f ca="1">IF(VALUE(TimeRemaining[#Headers])&lt;='Construction Dashboard'!$F72,IFERROR(VLOOKUP(TimeRemaining[[#This Row],[Time]],Upgrades[],MATCH("T"&amp;TimeRemaining[#Headers],Upgrades[#Headers],0),FALSE),0)*MAX(0,SUM('Construction Dashboard'!$G72:G72)),0)</f>
        <v>0</v>
      </c>
      <c r="G122" s="63">
        <f ca="1">IF(VALUE(TimeRemaining[#Headers])&lt;='Construction Dashboard'!$F72,IFERROR(VLOOKUP(TimeRemaining[[#This Row],[Time]],Upgrades[],MATCH("T"&amp;TimeRemaining[#Headers],Upgrades[#Headers],0),FALSE),0)*MAX(0,SUM('Construction Dashboard'!$G72:H72)),0)</f>
        <v>0</v>
      </c>
      <c r="H122" s="63">
        <f ca="1">IF(VALUE(TimeRemaining[#Headers])&lt;='Construction Dashboard'!$F72,IFERROR(VLOOKUP(TimeRemaining[[#This Row],[Time]],Upgrades[],MATCH("T"&amp;TimeRemaining[#Headers],Upgrades[#Headers],0),FALSE),0)*MAX(0,SUM('Construction Dashboard'!$G72:I72)),0)</f>
        <v>0</v>
      </c>
      <c r="I122" s="63">
        <f ca="1">IF(VALUE(TimeRemaining[#Headers])&lt;='Construction Dashboard'!$F72,IFERROR(VLOOKUP(TimeRemaining[[#This Row],[Time]],Upgrades[],MATCH("T"&amp;TimeRemaining[#Headers],Upgrades[#Headers],0),FALSE),0)*MAX(0,SUM('Construction Dashboard'!$G72:J72)),0)</f>
        <v>0</v>
      </c>
      <c r="J122" s="63">
        <f ca="1">IF(VALUE(TimeRemaining[#Headers])&lt;='Construction Dashboard'!$F72,IFERROR(VLOOKUP(TimeRemaining[[#This Row],[Time]],Upgrades[],MATCH("T"&amp;TimeRemaining[#Headers],Upgrades[#Headers],0),FALSE),0)*MAX(0,SUM('Construction Dashboard'!$G72:K72)),0)</f>
        <v>0</v>
      </c>
      <c r="K122" s="63">
        <f ca="1">IF(VALUE(TimeRemaining[#Headers])&lt;='Construction Dashboard'!$F72,IFERROR(VLOOKUP(TimeRemaining[[#This Row],[Time]],Upgrades[],MATCH("T"&amp;TimeRemaining[#Headers],Upgrades[#Headers],0),FALSE),0)*MAX(0,SUM('Construction Dashboard'!$G72:L72)),0)</f>
        <v>0</v>
      </c>
      <c r="L122" s="63">
        <f ca="1">IF(VALUE(TimeRemaining[#Headers])&lt;='Construction Dashboard'!$F72,IFERROR(VLOOKUP(TimeRemaining[[#This Row],[Time]],Upgrades[],MATCH("T"&amp;TimeRemaining[#Headers],Upgrades[#Headers],0),FALSE),0)*MAX(0,SUM('Construction Dashboard'!$G72:M72)),0)</f>
        <v>0</v>
      </c>
      <c r="M122" s="63">
        <f ca="1">IF(VALUE(TimeRemaining[#Headers])&lt;='Construction Dashboard'!$F72,IFERROR(VLOOKUP(TimeRemaining[[#This Row],[Time]],Upgrades[],MATCH("T"&amp;TimeRemaining[#Headers],Upgrades[#Headers],0),FALSE),0)*MAX(0,SUM('Construction Dashboard'!$G72:N72)),0)</f>
        <v>0</v>
      </c>
      <c r="N122" s="63">
        <f ca="1">IF(VALUE(TimeRemaining[#Headers])&lt;='Construction Dashboard'!$F72,IFERROR(VLOOKUP(TimeRemaining[[#This Row],[Time]],Upgrades[],MATCH("T"&amp;TimeRemaining[#Headers],Upgrades[#Headers],0),FALSE),0)*MAX(0,SUM('Construction Dashboard'!$G72:O72)),0)</f>
        <v>0</v>
      </c>
      <c r="O122" s="63">
        <f ca="1">IF(VALUE(TimeRemaining[#Headers])&lt;='Construction Dashboard'!$F72,IFERROR(VLOOKUP(TimeRemaining[[#This Row],[Time]],Upgrades[],MATCH("T"&amp;TimeRemaining[#Headers],Upgrades[#Headers],0),FALSE),0)*MAX(0,SUM('Construction Dashboard'!$G72:P72)),0)</f>
        <v>0</v>
      </c>
      <c r="P122" s="63">
        <f ca="1">IF(VALUE(TimeRemaining[#Headers])&lt;='Construction Dashboard'!$F72,IFERROR(VLOOKUP(TimeRemaining[[#This Row],[Time]],Upgrades[],MATCH("T"&amp;TimeRemaining[#Headers],Upgrades[#Headers],0),FALSE),0)*MAX(0,SUM('Construction Dashboard'!$G72:Q72)),0)</f>
        <v>0</v>
      </c>
      <c r="Q122" s="63">
        <f ca="1">IF(VALUE(TimeRemaining[#Headers])&lt;='Construction Dashboard'!$F72,IFERROR(VLOOKUP(TimeRemaining[[#This Row],[Time]],Upgrades[],MATCH("T"&amp;TimeRemaining[#Headers],Upgrades[#Headers],0),FALSE),0)*MAX(0,SUM('Construction Dashboard'!$G72:R72)),0)</f>
        <v>0</v>
      </c>
      <c r="R122" s="63">
        <f ca="1">IF(TimeRemaining[[#This Row],[MatchStr]]="IGNORE",0,SUM(TimeRemaining[[#This Row],[1]:[12]]))</f>
        <v>0</v>
      </c>
    </row>
  </sheetData>
  <mergeCells count="4">
    <mergeCell ref="A71:AA71"/>
    <mergeCell ref="A17:AA17"/>
    <mergeCell ref="A11:AA11"/>
    <mergeCell ref="A1:AA1"/>
  </mergeCells>
  <conditionalFormatting sqref="A1:XFD1048576">
    <cfRule type="containsErrors" dxfId="49" priority="3">
      <formula>ISERROR(A1)</formula>
    </cfRule>
  </conditionalFormatting>
  <conditionalFormatting sqref="E20:E68">
    <cfRule type="colorScale" priority="4">
      <colorScale>
        <cfvo type="min"/>
        <cfvo type="max"/>
        <color theme="6" tint="0.79998168889431442"/>
        <color theme="6" tint="-0.249977111117893"/>
      </colorScale>
    </cfRule>
  </conditionalFormatting>
  <conditionalFormatting sqref="E74:E122">
    <cfRule type="colorScale" priority="2">
      <colorScale>
        <cfvo type="min"/>
        <cfvo type="max"/>
        <color theme="6" tint="0.79998168889431442"/>
        <color theme="6" tint="-0.249977111117893"/>
      </colorScale>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2014-07-12T16:28:46Z</dcterms:modified>
</cp:coreProperties>
</file>