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F457" lockStructure="1"/>
  <bookViews>
    <workbookView xWindow="33600" yWindow="0" windowWidth="38400" windowHeight="21080" tabRatio="669"/>
    <workbookView xWindow="0" yWindow="-20" windowWidth="33600" windowHeight="20620" tabRatio="500" activeTab="1"/>
  </bookViews>
  <sheets>
    <sheet name="Construction Dashboard" sheetId="4" r:id="rId1"/>
    <sheet name="Army Value" sheetId="7" r:id="rId2"/>
    <sheet name="Scratch" sheetId="5" r:id="rId3"/>
    <sheet name="About" sheetId="6" r:id="rId4"/>
    <sheet name="Statistics" sheetId="3" r:id="rId5"/>
  </sheets>
  <definedNames>
    <definedName name="CampCap">'Construction Dashboard'!$J$11</definedName>
    <definedName name="LabLevel">'Construction Dashboard'!$J$10</definedName>
    <definedName name="NumBarracks">'Construction Dashboard'!$L$10</definedName>
    <definedName name="NumBuilders">'Construction Dashboard'!$I$16</definedName>
    <definedName name="SetToMax">'Construction Dashboard'!$I$17</definedName>
    <definedName name="THL">'Construction Dashboard'!#REF!</definedName>
    <definedName name="THLevel">'Construction Dashboard'!$J$9</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5" i="7" l="1"/>
  <c r="D16" i="7"/>
  <c r="D20" i="7"/>
  <c r="F20" i="7"/>
  <c r="J20" i="7"/>
  <c r="D12" i="7"/>
  <c r="F12" i="7"/>
  <c r="J12" i="7"/>
  <c r="D13" i="7"/>
  <c r="F13" i="7"/>
  <c r="J13" i="7"/>
  <c r="D14" i="7"/>
  <c r="F14" i="7"/>
  <c r="J14" i="7"/>
  <c r="F15" i="7"/>
  <c r="J15" i="7"/>
  <c r="F16" i="7"/>
  <c r="J16" i="7"/>
  <c r="D17" i="7"/>
  <c r="F17" i="7"/>
  <c r="J17" i="7"/>
  <c r="D18" i="7"/>
  <c r="F18" i="7"/>
  <c r="J18" i="7"/>
  <c r="D19" i="7"/>
  <c r="F19" i="7"/>
  <c r="J19" i="7"/>
  <c r="D21" i="7"/>
  <c r="F21" i="7"/>
  <c r="J21" i="7"/>
  <c r="D22" i="7"/>
  <c r="F22" i="7"/>
  <c r="J22" i="7"/>
  <c r="D23" i="7"/>
  <c r="F23" i="7"/>
  <c r="J23" i="7"/>
  <c r="D24" i="7"/>
  <c r="F24" i="7"/>
  <c r="J24" i="7"/>
  <c r="D25" i="7"/>
  <c r="F25" i="7"/>
  <c r="J25" i="7"/>
  <c r="D26" i="7"/>
  <c r="F26" i="7"/>
  <c r="J26" i="7"/>
  <c r="D27" i="7"/>
  <c r="F27" i="7"/>
  <c r="J27" i="7"/>
  <c r="D28" i="7"/>
  <c r="F28" i="7"/>
  <c r="J28" i="7"/>
  <c r="D29" i="7"/>
  <c r="F29" i="7"/>
  <c r="J29" i="7"/>
  <c r="D30" i="7"/>
  <c r="F30" i="7"/>
  <c r="J30" i="7"/>
  <c r="D31" i="7"/>
  <c r="F31" i="7"/>
  <c r="J31" i="7"/>
  <c r="I38" i="7"/>
  <c r="I39" i="7"/>
  <c r="I40" i="7"/>
  <c r="J38" i="7"/>
  <c r="J39" i="7"/>
  <c r="J40" i="7"/>
  <c r="G27" i="7"/>
  <c r="K27" i="7"/>
  <c r="G20" i="7"/>
  <c r="K20" i="7"/>
  <c r="K12" i="7"/>
  <c r="K13" i="7"/>
  <c r="K14" i="7"/>
  <c r="K15" i="7"/>
  <c r="K16" i="7"/>
  <c r="K17" i="7"/>
  <c r="K18" i="7"/>
  <c r="K19" i="7"/>
  <c r="K21" i="7"/>
  <c r="K28" i="7"/>
  <c r="K38" i="7"/>
  <c r="G25" i="7"/>
  <c r="K25" i="7"/>
  <c r="K22" i="7"/>
  <c r="K24" i="7"/>
  <c r="K23" i="7"/>
  <c r="K39" i="7"/>
  <c r="K40" i="7"/>
  <c r="J11" i="4"/>
  <c r="L33" i="7"/>
  <c r="B134" i="4"/>
  <c r="C134" i="4"/>
  <c r="D134" i="4"/>
  <c r="B30" i="4"/>
  <c r="J10" i="4"/>
  <c r="J9" i="4"/>
  <c r="F30" i="4"/>
  <c r="E30" i="4"/>
  <c r="G30" i="4"/>
  <c r="F134" i="4"/>
  <c r="G134" i="4"/>
  <c r="H134" i="4"/>
  <c r="I134" i="4"/>
  <c r="J134" i="4"/>
  <c r="K134" i="4"/>
  <c r="L134" i="4"/>
  <c r="M134" i="4"/>
  <c r="N134" i="4"/>
  <c r="O134" i="4"/>
  <c r="P134" i="4"/>
  <c r="Q134" i="4"/>
  <c r="R134" i="4"/>
  <c r="B126" i="4"/>
  <c r="C126" i="4"/>
  <c r="D126" i="4"/>
  <c r="B22" i="4"/>
  <c r="F22" i="4"/>
  <c r="E22" i="4"/>
  <c r="G22" i="4"/>
  <c r="F126" i="4"/>
  <c r="G126" i="4"/>
  <c r="H126" i="4"/>
  <c r="I126" i="4"/>
  <c r="J126" i="4"/>
  <c r="K126" i="4"/>
  <c r="L126" i="4"/>
  <c r="M126" i="4"/>
  <c r="N126" i="4"/>
  <c r="O126" i="4"/>
  <c r="P126" i="4"/>
  <c r="Q126" i="4"/>
  <c r="R126" i="4"/>
  <c r="E126" i="4"/>
  <c r="B74" i="4"/>
  <c r="C74" i="4"/>
  <c r="D74" i="4"/>
  <c r="F74" i="4"/>
  <c r="G74" i="4"/>
  <c r="H74" i="4"/>
  <c r="I74" i="4"/>
  <c r="J74" i="4"/>
  <c r="K74" i="4"/>
  <c r="L74" i="4"/>
  <c r="M74" i="4"/>
  <c r="N74" i="4"/>
  <c r="O74" i="4"/>
  <c r="P74" i="4"/>
  <c r="Q74" i="4"/>
  <c r="R74" i="4"/>
  <c r="E74" i="4"/>
  <c r="C22" i="4"/>
  <c r="D22" i="4"/>
  <c r="L10" i="4"/>
  <c r="C71" i="4"/>
  <c r="C72" i="4"/>
  <c r="B72" i="4"/>
  <c r="D72" i="4"/>
  <c r="B20" i="4"/>
  <c r="F20" i="4"/>
  <c r="E20" i="4"/>
  <c r="G20" i="4"/>
  <c r="F72" i="4"/>
  <c r="G72" i="4"/>
  <c r="H72" i="4"/>
  <c r="I72" i="4"/>
  <c r="J72" i="4"/>
  <c r="K72" i="4"/>
  <c r="L72" i="4"/>
  <c r="M72" i="4"/>
  <c r="N72" i="4"/>
  <c r="O72" i="4"/>
  <c r="P72" i="4"/>
  <c r="Q72" i="4"/>
  <c r="R72" i="4"/>
  <c r="B71" i="4"/>
  <c r="D71" i="4"/>
  <c r="B19" i="4"/>
  <c r="F19" i="4"/>
  <c r="E19" i="4"/>
  <c r="G19" i="4"/>
  <c r="F71" i="4"/>
  <c r="G71" i="4"/>
  <c r="H71" i="4"/>
  <c r="I71" i="4"/>
  <c r="J71" i="4"/>
  <c r="K71" i="4"/>
  <c r="L71" i="4"/>
  <c r="M71" i="4"/>
  <c r="N71" i="4"/>
  <c r="O71" i="4"/>
  <c r="P71" i="4"/>
  <c r="Q71" i="4"/>
  <c r="R71" i="4"/>
  <c r="B73" i="4"/>
  <c r="C73" i="4"/>
  <c r="D73" i="4"/>
  <c r="B21" i="4"/>
  <c r="F21" i="4"/>
  <c r="E21" i="4"/>
  <c r="G21" i="4"/>
  <c r="F73" i="4"/>
  <c r="G73" i="4"/>
  <c r="H73" i="4"/>
  <c r="I73" i="4"/>
  <c r="J73" i="4"/>
  <c r="K73" i="4"/>
  <c r="L73" i="4"/>
  <c r="M73" i="4"/>
  <c r="N73" i="4"/>
  <c r="O73" i="4"/>
  <c r="P73" i="4"/>
  <c r="Q73" i="4"/>
  <c r="R73" i="4"/>
  <c r="B75" i="4"/>
  <c r="C75" i="4"/>
  <c r="D75" i="4"/>
  <c r="B23" i="4"/>
  <c r="F23" i="4"/>
  <c r="E23" i="4"/>
  <c r="G23" i="4"/>
  <c r="F75" i="4"/>
  <c r="G75" i="4"/>
  <c r="H75" i="4"/>
  <c r="I75" i="4"/>
  <c r="J75" i="4"/>
  <c r="K75" i="4"/>
  <c r="L75" i="4"/>
  <c r="M75" i="4"/>
  <c r="N75" i="4"/>
  <c r="O75" i="4"/>
  <c r="P75" i="4"/>
  <c r="Q75" i="4"/>
  <c r="R75" i="4"/>
  <c r="B76" i="4"/>
  <c r="C76" i="4"/>
  <c r="D76" i="4"/>
  <c r="B24" i="4"/>
  <c r="F24" i="4"/>
  <c r="E24" i="4"/>
  <c r="G24" i="4"/>
  <c r="F76" i="4"/>
  <c r="G76" i="4"/>
  <c r="H76" i="4"/>
  <c r="I76" i="4"/>
  <c r="J76" i="4"/>
  <c r="K76" i="4"/>
  <c r="L76" i="4"/>
  <c r="M76" i="4"/>
  <c r="N76" i="4"/>
  <c r="O76" i="4"/>
  <c r="P76" i="4"/>
  <c r="Q76" i="4"/>
  <c r="R76" i="4"/>
  <c r="B77" i="4"/>
  <c r="C77" i="4"/>
  <c r="D77" i="4"/>
  <c r="B25" i="4"/>
  <c r="F25" i="4"/>
  <c r="E25" i="4"/>
  <c r="G25" i="4"/>
  <c r="F77" i="4"/>
  <c r="G77" i="4"/>
  <c r="H77" i="4"/>
  <c r="I77" i="4"/>
  <c r="J77" i="4"/>
  <c r="K77" i="4"/>
  <c r="L77" i="4"/>
  <c r="M77" i="4"/>
  <c r="N77" i="4"/>
  <c r="O77" i="4"/>
  <c r="P77" i="4"/>
  <c r="Q77" i="4"/>
  <c r="R77" i="4"/>
  <c r="D78" i="4"/>
  <c r="R78" i="4"/>
  <c r="D79" i="4"/>
  <c r="R79" i="4"/>
  <c r="B80" i="4"/>
  <c r="C80" i="4"/>
  <c r="D80" i="4"/>
  <c r="B28" i="4"/>
  <c r="F28" i="4"/>
  <c r="E28" i="4"/>
  <c r="G28" i="4"/>
  <c r="F80" i="4"/>
  <c r="G80" i="4"/>
  <c r="H80" i="4"/>
  <c r="I80" i="4"/>
  <c r="J80" i="4"/>
  <c r="K80" i="4"/>
  <c r="L80" i="4"/>
  <c r="M80" i="4"/>
  <c r="N80" i="4"/>
  <c r="O80" i="4"/>
  <c r="P80" i="4"/>
  <c r="Q80" i="4"/>
  <c r="R80" i="4"/>
  <c r="B81" i="4"/>
  <c r="C81" i="4"/>
  <c r="D81" i="4"/>
  <c r="B29" i="4"/>
  <c r="F29" i="4"/>
  <c r="E29" i="4"/>
  <c r="G29" i="4"/>
  <c r="F81" i="4"/>
  <c r="G81" i="4"/>
  <c r="H81" i="4"/>
  <c r="I81" i="4"/>
  <c r="J81" i="4"/>
  <c r="K81" i="4"/>
  <c r="L81" i="4"/>
  <c r="M81" i="4"/>
  <c r="N81" i="4"/>
  <c r="O81" i="4"/>
  <c r="P81" i="4"/>
  <c r="Q81" i="4"/>
  <c r="R81" i="4"/>
  <c r="B82" i="4"/>
  <c r="C82" i="4"/>
  <c r="D82" i="4"/>
  <c r="F82" i="4"/>
  <c r="G82" i="4"/>
  <c r="H82" i="4"/>
  <c r="I82" i="4"/>
  <c r="J82" i="4"/>
  <c r="K82" i="4"/>
  <c r="L82" i="4"/>
  <c r="M82" i="4"/>
  <c r="N82" i="4"/>
  <c r="O82" i="4"/>
  <c r="P82" i="4"/>
  <c r="Q82" i="4"/>
  <c r="R82" i="4"/>
  <c r="B83" i="4"/>
  <c r="C83" i="4"/>
  <c r="D83" i="4"/>
  <c r="B31" i="4"/>
  <c r="F31" i="4"/>
  <c r="E31" i="4"/>
  <c r="G31" i="4"/>
  <c r="F83" i="4"/>
  <c r="G83" i="4"/>
  <c r="H83" i="4"/>
  <c r="I83" i="4"/>
  <c r="J83" i="4"/>
  <c r="K83" i="4"/>
  <c r="L83" i="4"/>
  <c r="M83" i="4"/>
  <c r="N83" i="4"/>
  <c r="O83" i="4"/>
  <c r="P83" i="4"/>
  <c r="Q83" i="4"/>
  <c r="R83" i="4"/>
  <c r="B84" i="4"/>
  <c r="C84" i="4"/>
  <c r="D84" i="4"/>
  <c r="B32" i="4"/>
  <c r="F32" i="4"/>
  <c r="E32" i="4"/>
  <c r="G32" i="4"/>
  <c r="F84" i="4"/>
  <c r="G84" i="4"/>
  <c r="H84" i="4"/>
  <c r="I84" i="4"/>
  <c r="J84" i="4"/>
  <c r="K84" i="4"/>
  <c r="L84" i="4"/>
  <c r="M84" i="4"/>
  <c r="N84" i="4"/>
  <c r="O84" i="4"/>
  <c r="P84" i="4"/>
  <c r="Q84" i="4"/>
  <c r="R84" i="4"/>
  <c r="B85" i="4"/>
  <c r="C85" i="4"/>
  <c r="D85" i="4"/>
  <c r="B33" i="4"/>
  <c r="F33" i="4"/>
  <c r="E33" i="4"/>
  <c r="G33" i="4"/>
  <c r="F85" i="4"/>
  <c r="G85" i="4"/>
  <c r="H85" i="4"/>
  <c r="I85" i="4"/>
  <c r="J85" i="4"/>
  <c r="K85" i="4"/>
  <c r="L85" i="4"/>
  <c r="M85" i="4"/>
  <c r="N85" i="4"/>
  <c r="O85" i="4"/>
  <c r="P85" i="4"/>
  <c r="Q85" i="4"/>
  <c r="R85" i="4"/>
  <c r="B86" i="4"/>
  <c r="C86" i="4"/>
  <c r="D86" i="4"/>
  <c r="B34" i="4"/>
  <c r="F34" i="4"/>
  <c r="E34" i="4"/>
  <c r="G34" i="4"/>
  <c r="F86" i="4"/>
  <c r="G86" i="4"/>
  <c r="H86" i="4"/>
  <c r="I86" i="4"/>
  <c r="J86" i="4"/>
  <c r="K86" i="4"/>
  <c r="L86" i="4"/>
  <c r="M86" i="4"/>
  <c r="N86" i="4"/>
  <c r="O86" i="4"/>
  <c r="P86" i="4"/>
  <c r="Q86" i="4"/>
  <c r="R86" i="4"/>
  <c r="B87" i="4"/>
  <c r="C87" i="4"/>
  <c r="D87" i="4"/>
  <c r="B35" i="4"/>
  <c r="F35" i="4"/>
  <c r="E35" i="4"/>
  <c r="G35" i="4"/>
  <c r="F87" i="4"/>
  <c r="G87" i="4"/>
  <c r="H87" i="4"/>
  <c r="I87" i="4"/>
  <c r="J87" i="4"/>
  <c r="K87" i="4"/>
  <c r="L87" i="4"/>
  <c r="M87" i="4"/>
  <c r="N87" i="4"/>
  <c r="O87" i="4"/>
  <c r="P87" i="4"/>
  <c r="Q87" i="4"/>
  <c r="R87" i="4"/>
  <c r="B88" i="4"/>
  <c r="C88" i="4"/>
  <c r="D88" i="4"/>
  <c r="B36" i="4"/>
  <c r="F36" i="4"/>
  <c r="E36" i="4"/>
  <c r="G36" i="4"/>
  <c r="F88" i="4"/>
  <c r="G88" i="4"/>
  <c r="H88" i="4"/>
  <c r="I88" i="4"/>
  <c r="J88" i="4"/>
  <c r="K88" i="4"/>
  <c r="L88" i="4"/>
  <c r="M88" i="4"/>
  <c r="N88" i="4"/>
  <c r="O88" i="4"/>
  <c r="P88" i="4"/>
  <c r="Q88" i="4"/>
  <c r="R88" i="4"/>
  <c r="B89" i="4"/>
  <c r="C89" i="4"/>
  <c r="D89" i="4"/>
  <c r="B37" i="4"/>
  <c r="F37" i="4"/>
  <c r="E37" i="4"/>
  <c r="G37" i="4"/>
  <c r="F89" i="4"/>
  <c r="G89" i="4"/>
  <c r="H89" i="4"/>
  <c r="I89" i="4"/>
  <c r="J89" i="4"/>
  <c r="K89" i="4"/>
  <c r="L89" i="4"/>
  <c r="M89" i="4"/>
  <c r="N89" i="4"/>
  <c r="O89" i="4"/>
  <c r="P89" i="4"/>
  <c r="Q89" i="4"/>
  <c r="R89" i="4"/>
  <c r="B90" i="4"/>
  <c r="C90" i="4"/>
  <c r="D90" i="4"/>
  <c r="B38" i="4"/>
  <c r="F38" i="4"/>
  <c r="E38" i="4"/>
  <c r="G38" i="4"/>
  <c r="F90" i="4"/>
  <c r="G90" i="4"/>
  <c r="H90" i="4"/>
  <c r="I90" i="4"/>
  <c r="J90" i="4"/>
  <c r="K90" i="4"/>
  <c r="L90" i="4"/>
  <c r="M90" i="4"/>
  <c r="N90" i="4"/>
  <c r="O90" i="4"/>
  <c r="P90" i="4"/>
  <c r="Q90" i="4"/>
  <c r="R90" i="4"/>
  <c r="B91" i="4"/>
  <c r="C91" i="4"/>
  <c r="D91" i="4"/>
  <c r="B39" i="4"/>
  <c r="F39" i="4"/>
  <c r="E39" i="4"/>
  <c r="G39" i="4"/>
  <c r="F91" i="4"/>
  <c r="G91" i="4"/>
  <c r="H91" i="4"/>
  <c r="I91" i="4"/>
  <c r="J91" i="4"/>
  <c r="K91" i="4"/>
  <c r="L91" i="4"/>
  <c r="M91" i="4"/>
  <c r="N91" i="4"/>
  <c r="O91" i="4"/>
  <c r="P91" i="4"/>
  <c r="Q91" i="4"/>
  <c r="R91" i="4"/>
  <c r="B92" i="4"/>
  <c r="C92" i="4"/>
  <c r="D92" i="4"/>
  <c r="B40" i="4"/>
  <c r="F40" i="4"/>
  <c r="E40" i="4"/>
  <c r="G40" i="4"/>
  <c r="F92" i="4"/>
  <c r="G92" i="4"/>
  <c r="H92" i="4"/>
  <c r="I92" i="4"/>
  <c r="J92" i="4"/>
  <c r="K92" i="4"/>
  <c r="L92" i="4"/>
  <c r="M92" i="4"/>
  <c r="N92" i="4"/>
  <c r="O92" i="4"/>
  <c r="P92" i="4"/>
  <c r="Q92" i="4"/>
  <c r="R92" i="4"/>
  <c r="B93" i="4"/>
  <c r="C93" i="4"/>
  <c r="D93" i="4"/>
  <c r="B41" i="4"/>
  <c r="F41" i="4"/>
  <c r="E41" i="4"/>
  <c r="G41" i="4"/>
  <c r="F93" i="4"/>
  <c r="G93" i="4"/>
  <c r="H93" i="4"/>
  <c r="I93" i="4"/>
  <c r="J93" i="4"/>
  <c r="K93" i="4"/>
  <c r="L93" i="4"/>
  <c r="M93" i="4"/>
  <c r="N93" i="4"/>
  <c r="O93" i="4"/>
  <c r="P93" i="4"/>
  <c r="Q93" i="4"/>
  <c r="R93" i="4"/>
  <c r="B94" i="4"/>
  <c r="C94" i="4"/>
  <c r="D94" i="4"/>
  <c r="B42" i="4"/>
  <c r="F42" i="4"/>
  <c r="E42" i="4"/>
  <c r="G42" i="4"/>
  <c r="F94" i="4"/>
  <c r="G94" i="4"/>
  <c r="H94" i="4"/>
  <c r="I94" i="4"/>
  <c r="J94" i="4"/>
  <c r="K94" i="4"/>
  <c r="L94" i="4"/>
  <c r="M94" i="4"/>
  <c r="N94" i="4"/>
  <c r="O94" i="4"/>
  <c r="P94" i="4"/>
  <c r="Q94" i="4"/>
  <c r="R94" i="4"/>
  <c r="B95" i="4"/>
  <c r="C95" i="4"/>
  <c r="D95" i="4"/>
  <c r="B43" i="4"/>
  <c r="F43" i="4"/>
  <c r="E43" i="4"/>
  <c r="G43" i="4"/>
  <c r="F95" i="4"/>
  <c r="G95" i="4"/>
  <c r="H95" i="4"/>
  <c r="I95" i="4"/>
  <c r="J95" i="4"/>
  <c r="K95" i="4"/>
  <c r="L95" i="4"/>
  <c r="M95" i="4"/>
  <c r="N95" i="4"/>
  <c r="O95" i="4"/>
  <c r="P95" i="4"/>
  <c r="Q95" i="4"/>
  <c r="R95" i="4"/>
  <c r="B96" i="4"/>
  <c r="C96" i="4"/>
  <c r="D96" i="4"/>
  <c r="B44" i="4"/>
  <c r="F44" i="4"/>
  <c r="E44" i="4"/>
  <c r="G44" i="4"/>
  <c r="F96" i="4"/>
  <c r="G96" i="4"/>
  <c r="H96" i="4"/>
  <c r="I96" i="4"/>
  <c r="J96" i="4"/>
  <c r="K96" i="4"/>
  <c r="L96" i="4"/>
  <c r="M96" i="4"/>
  <c r="N96" i="4"/>
  <c r="O96" i="4"/>
  <c r="P96" i="4"/>
  <c r="Q96" i="4"/>
  <c r="R96" i="4"/>
  <c r="B97" i="4"/>
  <c r="C97" i="4"/>
  <c r="D97" i="4"/>
  <c r="B45" i="4"/>
  <c r="F45" i="4"/>
  <c r="E45" i="4"/>
  <c r="G45" i="4"/>
  <c r="F97" i="4"/>
  <c r="G97" i="4"/>
  <c r="H97" i="4"/>
  <c r="I97" i="4"/>
  <c r="J97" i="4"/>
  <c r="K97" i="4"/>
  <c r="L97" i="4"/>
  <c r="M97" i="4"/>
  <c r="N97" i="4"/>
  <c r="O97" i="4"/>
  <c r="P97" i="4"/>
  <c r="Q97" i="4"/>
  <c r="R97" i="4"/>
  <c r="B98" i="4"/>
  <c r="C98" i="4"/>
  <c r="D98" i="4"/>
  <c r="B46" i="4"/>
  <c r="F46" i="4"/>
  <c r="E46" i="4"/>
  <c r="G46" i="4"/>
  <c r="F98" i="4"/>
  <c r="G98" i="4"/>
  <c r="H98" i="4"/>
  <c r="I98" i="4"/>
  <c r="J98" i="4"/>
  <c r="K98" i="4"/>
  <c r="L98" i="4"/>
  <c r="M98" i="4"/>
  <c r="N98" i="4"/>
  <c r="O98" i="4"/>
  <c r="P98" i="4"/>
  <c r="Q98" i="4"/>
  <c r="R98" i="4"/>
  <c r="B99" i="4"/>
  <c r="C99" i="4"/>
  <c r="D99" i="4"/>
  <c r="B47" i="4"/>
  <c r="F47" i="4"/>
  <c r="E47" i="4"/>
  <c r="G47" i="4"/>
  <c r="F99" i="4"/>
  <c r="G99" i="4"/>
  <c r="H99" i="4"/>
  <c r="I99" i="4"/>
  <c r="J99" i="4"/>
  <c r="K99" i="4"/>
  <c r="L99" i="4"/>
  <c r="M99" i="4"/>
  <c r="N99" i="4"/>
  <c r="O99" i="4"/>
  <c r="P99" i="4"/>
  <c r="Q99" i="4"/>
  <c r="R99" i="4"/>
  <c r="B100" i="4"/>
  <c r="C100" i="4"/>
  <c r="D100" i="4"/>
  <c r="B48" i="4"/>
  <c r="F48" i="4"/>
  <c r="E48" i="4"/>
  <c r="G48" i="4"/>
  <c r="F100" i="4"/>
  <c r="G100" i="4"/>
  <c r="H100" i="4"/>
  <c r="I100" i="4"/>
  <c r="J100" i="4"/>
  <c r="K100" i="4"/>
  <c r="L100" i="4"/>
  <c r="M100" i="4"/>
  <c r="N100" i="4"/>
  <c r="O100" i="4"/>
  <c r="P100" i="4"/>
  <c r="Q100" i="4"/>
  <c r="R100" i="4"/>
  <c r="B101" i="4"/>
  <c r="C101" i="4"/>
  <c r="D101" i="4"/>
  <c r="B49" i="4"/>
  <c r="F49" i="4"/>
  <c r="E49" i="4"/>
  <c r="G49" i="4"/>
  <c r="F101" i="4"/>
  <c r="G101" i="4"/>
  <c r="H101" i="4"/>
  <c r="I101" i="4"/>
  <c r="J101" i="4"/>
  <c r="K101" i="4"/>
  <c r="L101" i="4"/>
  <c r="M101" i="4"/>
  <c r="N101" i="4"/>
  <c r="O101" i="4"/>
  <c r="P101" i="4"/>
  <c r="Q101" i="4"/>
  <c r="R101" i="4"/>
  <c r="B102" i="4"/>
  <c r="C102" i="4"/>
  <c r="D102" i="4"/>
  <c r="B50" i="4"/>
  <c r="F50" i="4"/>
  <c r="E50" i="4"/>
  <c r="G50" i="4"/>
  <c r="F102" i="4"/>
  <c r="G102" i="4"/>
  <c r="H102" i="4"/>
  <c r="I102" i="4"/>
  <c r="J102" i="4"/>
  <c r="K102" i="4"/>
  <c r="L102" i="4"/>
  <c r="M102" i="4"/>
  <c r="N102" i="4"/>
  <c r="O102" i="4"/>
  <c r="P102" i="4"/>
  <c r="Q102" i="4"/>
  <c r="R102" i="4"/>
  <c r="B103" i="4"/>
  <c r="C103" i="4"/>
  <c r="D103" i="4"/>
  <c r="B51" i="4"/>
  <c r="F51" i="4"/>
  <c r="E51" i="4"/>
  <c r="G51" i="4"/>
  <c r="F103" i="4"/>
  <c r="G103" i="4"/>
  <c r="H103" i="4"/>
  <c r="I103" i="4"/>
  <c r="J103" i="4"/>
  <c r="K103" i="4"/>
  <c r="L103" i="4"/>
  <c r="M103" i="4"/>
  <c r="N103" i="4"/>
  <c r="O103" i="4"/>
  <c r="P103" i="4"/>
  <c r="Q103" i="4"/>
  <c r="R103" i="4"/>
  <c r="B104" i="4"/>
  <c r="C104" i="4"/>
  <c r="D104" i="4"/>
  <c r="B52" i="4"/>
  <c r="F52" i="4"/>
  <c r="E52" i="4"/>
  <c r="G52" i="4"/>
  <c r="F104" i="4"/>
  <c r="G104" i="4"/>
  <c r="H104" i="4"/>
  <c r="I104" i="4"/>
  <c r="J104" i="4"/>
  <c r="K104" i="4"/>
  <c r="L104" i="4"/>
  <c r="M104" i="4"/>
  <c r="N104" i="4"/>
  <c r="O104" i="4"/>
  <c r="P104" i="4"/>
  <c r="Q104" i="4"/>
  <c r="R104" i="4"/>
  <c r="D105" i="4"/>
  <c r="B53" i="4"/>
  <c r="E53" i="4"/>
  <c r="G53" i="4"/>
  <c r="F53" i="4"/>
  <c r="F105" i="4"/>
  <c r="G105" i="4"/>
  <c r="H105" i="4"/>
  <c r="I105" i="4"/>
  <c r="J105" i="4"/>
  <c r="K105" i="4"/>
  <c r="L105" i="4"/>
  <c r="M105" i="4"/>
  <c r="N105" i="4"/>
  <c r="O105" i="4"/>
  <c r="P105" i="4"/>
  <c r="Q105" i="4"/>
  <c r="R105" i="4"/>
  <c r="B106" i="4"/>
  <c r="C106" i="4"/>
  <c r="D106" i="4"/>
  <c r="B54" i="4"/>
  <c r="F54" i="4"/>
  <c r="E54" i="4"/>
  <c r="G54" i="4"/>
  <c r="F106" i="4"/>
  <c r="G106" i="4"/>
  <c r="H106" i="4"/>
  <c r="I106" i="4"/>
  <c r="J106" i="4"/>
  <c r="K106" i="4"/>
  <c r="L106" i="4"/>
  <c r="M106" i="4"/>
  <c r="N106" i="4"/>
  <c r="O106" i="4"/>
  <c r="P106" i="4"/>
  <c r="Q106" i="4"/>
  <c r="R106" i="4"/>
  <c r="B107" i="4"/>
  <c r="C107" i="4"/>
  <c r="D107" i="4"/>
  <c r="B55" i="4"/>
  <c r="F55" i="4"/>
  <c r="E55" i="4"/>
  <c r="G55" i="4"/>
  <c r="F107" i="4"/>
  <c r="G107" i="4"/>
  <c r="H107" i="4"/>
  <c r="I107" i="4"/>
  <c r="J107" i="4"/>
  <c r="K107" i="4"/>
  <c r="L107" i="4"/>
  <c r="M107" i="4"/>
  <c r="N107" i="4"/>
  <c r="O107" i="4"/>
  <c r="P107" i="4"/>
  <c r="Q107" i="4"/>
  <c r="R107" i="4"/>
  <c r="B108" i="4"/>
  <c r="C108" i="4"/>
  <c r="D108" i="4"/>
  <c r="B56" i="4"/>
  <c r="F56" i="4"/>
  <c r="E56" i="4"/>
  <c r="G56" i="4"/>
  <c r="F108" i="4"/>
  <c r="G108" i="4"/>
  <c r="H108" i="4"/>
  <c r="I108" i="4"/>
  <c r="J108" i="4"/>
  <c r="K108" i="4"/>
  <c r="L108" i="4"/>
  <c r="M108" i="4"/>
  <c r="N108" i="4"/>
  <c r="O108" i="4"/>
  <c r="P108" i="4"/>
  <c r="Q108" i="4"/>
  <c r="R108" i="4"/>
  <c r="B109" i="4"/>
  <c r="C109" i="4"/>
  <c r="D109" i="4"/>
  <c r="B57" i="4"/>
  <c r="F57" i="4"/>
  <c r="E57" i="4"/>
  <c r="G57" i="4"/>
  <c r="F109" i="4"/>
  <c r="G109" i="4"/>
  <c r="H109" i="4"/>
  <c r="I109" i="4"/>
  <c r="J109" i="4"/>
  <c r="K109" i="4"/>
  <c r="L109" i="4"/>
  <c r="M109" i="4"/>
  <c r="N109" i="4"/>
  <c r="O109" i="4"/>
  <c r="P109" i="4"/>
  <c r="Q109" i="4"/>
  <c r="R109" i="4"/>
  <c r="B110" i="4"/>
  <c r="C110" i="4"/>
  <c r="D110" i="4"/>
  <c r="B58" i="4"/>
  <c r="F58" i="4"/>
  <c r="E58" i="4"/>
  <c r="G58" i="4"/>
  <c r="F110" i="4"/>
  <c r="G110" i="4"/>
  <c r="H110" i="4"/>
  <c r="I110" i="4"/>
  <c r="J110" i="4"/>
  <c r="K110" i="4"/>
  <c r="L110" i="4"/>
  <c r="M110" i="4"/>
  <c r="N110" i="4"/>
  <c r="O110" i="4"/>
  <c r="P110" i="4"/>
  <c r="Q110" i="4"/>
  <c r="R110" i="4"/>
  <c r="B111" i="4"/>
  <c r="C111" i="4"/>
  <c r="D111" i="4"/>
  <c r="B59" i="4"/>
  <c r="F59" i="4"/>
  <c r="E59" i="4"/>
  <c r="G59" i="4"/>
  <c r="F111" i="4"/>
  <c r="G111" i="4"/>
  <c r="H111" i="4"/>
  <c r="I111" i="4"/>
  <c r="J111" i="4"/>
  <c r="K111" i="4"/>
  <c r="L111" i="4"/>
  <c r="M111" i="4"/>
  <c r="N111" i="4"/>
  <c r="O111" i="4"/>
  <c r="P111" i="4"/>
  <c r="Q111" i="4"/>
  <c r="R111" i="4"/>
  <c r="B112" i="4"/>
  <c r="C112" i="4"/>
  <c r="D112" i="4"/>
  <c r="B60" i="4"/>
  <c r="F60" i="4"/>
  <c r="E60" i="4"/>
  <c r="G60" i="4"/>
  <c r="F112" i="4"/>
  <c r="G112" i="4"/>
  <c r="H112" i="4"/>
  <c r="I112" i="4"/>
  <c r="J112" i="4"/>
  <c r="K112" i="4"/>
  <c r="L112" i="4"/>
  <c r="M112" i="4"/>
  <c r="N112" i="4"/>
  <c r="O112" i="4"/>
  <c r="P112" i="4"/>
  <c r="Q112" i="4"/>
  <c r="R112" i="4"/>
  <c r="B113" i="4"/>
  <c r="C113" i="4"/>
  <c r="D113" i="4"/>
  <c r="B61" i="4"/>
  <c r="F61" i="4"/>
  <c r="E61" i="4"/>
  <c r="G61" i="4"/>
  <c r="F113" i="4"/>
  <c r="G113" i="4"/>
  <c r="H113" i="4"/>
  <c r="I113" i="4"/>
  <c r="J113" i="4"/>
  <c r="K113" i="4"/>
  <c r="L113" i="4"/>
  <c r="M113" i="4"/>
  <c r="N113" i="4"/>
  <c r="O113" i="4"/>
  <c r="P113" i="4"/>
  <c r="Q113" i="4"/>
  <c r="R113" i="4"/>
  <c r="B114" i="4"/>
  <c r="C114" i="4"/>
  <c r="D114" i="4"/>
  <c r="B62" i="4"/>
  <c r="F62" i="4"/>
  <c r="E62" i="4"/>
  <c r="G62" i="4"/>
  <c r="F114" i="4"/>
  <c r="G114" i="4"/>
  <c r="H114" i="4"/>
  <c r="I114" i="4"/>
  <c r="J114" i="4"/>
  <c r="K114" i="4"/>
  <c r="L114" i="4"/>
  <c r="M114" i="4"/>
  <c r="N114" i="4"/>
  <c r="O114" i="4"/>
  <c r="P114" i="4"/>
  <c r="Q114" i="4"/>
  <c r="R114" i="4"/>
  <c r="B115" i="4"/>
  <c r="C115" i="4"/>
  <c r="D115" i="4"/>
  <c r="B63" i="4"/>
  <c r="F63" i="4"/>
  <c r="E63" i="4"/>
  <c r="G63" i="4"/>
  <c r="F115" i="4"/>
  <c r="G115" i="4"/>
  <c r="H115" i="4"/>
  <c r="I115" i="4"/>
  <c r="J115" i="4"/>
  <c r="K115" i="4"/>
  <c r="L115" i="4"/>
  <c r="M115" i="4"/>
  <c r="N115" i="4"/>
  <c r="O115" i="4"/>
  <c r="P115" i="4"/>
  <c r="Q115" i="4"/>
  <c r="R115" i="4"/>
  <c r="B116" i="4"/>
  <c r="C116" i="4"/>
  <c r="D116" i="4"/>
  <c r="B64" i="4"/>
  <c r="F64" i="4"/>
  <c r="E64" i="4"/>
  <c r="G64" i="4"/>
  <c r="F116" i="4"/>
  <c r="G116" i="4"/>
  <c r="H116" i="4"/>
  <c r="I116" i="4"/>
  <c r="J116" i="4"/>
  <c r="K116" i="4"/>
  <c r="L116" i="4"/>
  <c r="M116" i="4"/>
  <c r="N116" i="4"/>
  <c r="O116" i="4"/>
  <c r="P116" i="4"/>
  <c r="Q116" i="4"/>
  <c r="R116" i="4"/>
  <c r="B117" i="4"/>
  <c r="C117" i="4"/>
  <c r="D117" i="4"/>
  <c r="B65" i="4"/>
  <c r="F65" i="4"/>
  <c r="E65" i="4"/>
  <c r="G65" i="4"/>
  <c r="F117" i="4"/>
  <c r="G117" i="4"/>
  <c r="H117" i="4"/>
  <c r="I117" i="4"/>
  <c r="J117" i="4"/>
  <c r="K117" i="4"/>
  <c r="L117" i="4"/>
  <c r="M117" i="4"/>
  <c r="N117" i="4"/>
  <c r="O117" i="4"/>
  <c r="P117" i="4"/>
  <c r="Q117" i="4"/>
  <c r="R117" i="4"/>
  <c r="B118" i="4"/>
  <c r="C118" i="4"/>
  <c r="D118" i="4"/>
  <c r="B66" i="4"/>
  <c r="F66" i="4"/>
  <c r="E66" i="4"/>
  <c r="G66" i="4"/>
  <c r="F118" i="4"/>
  <c r="G118" i="4"/>
  <c r="H118" i="4"/>
  <c r="I118" i="4"/>
  <c r="J118" i="4"/>
  <c r="K118" i="4"/>
  <c r="L118" i="4"/>
  <c r="M118" i="4"/>
  <c r="N118" i="4"/>
  <c r="O118" i="4"/>
  <c r="P118" i="4"/>
  <c r="Q118" i="4"/>
  <c r="R118" i="4"/>
  <c r="B119" i="4"/>
  <c r="C119" i="4"/>
  <c r="D119" i="4"/>
  <c r="B67" i="4"/>
  <c r="F67" i="4"/>
  <c r="E67" i="4"/>
  <c r="G67" i="4"/>
  <c r="F119" i="4"/>
  <c r="G119" i="4"/>
  <c r="H119" i="4"/>
  <c r="I119" i="4"/>
  <c r="J119" i="4"/>
  <c r="K119" i="4"/>
  <c r="L119" i="4"/>
  <c r="M119" i="4"/>
  <c r="N119" i="4"/>
  <c r="O119" i="4"/>
  <c r="P119" i="4"/>
  <c r="Q119" i="4"/>
  <c r="R119" i="4"/>
  <c r="C78" i="4"/>
  <c r="C79" i="4"/>
  <c r="C105" i="4"/>
  <c r="B78" i="4"/>
  <c r="B79" i="4"/>
  <c r="B105" i="4"/>
  <c r="K3" i="4"/>
  <c r="K4" i="4"/>
  <c r="K5" i="4"/>
  <c r="K6" i="4"/>
  <c r="J3" i="4"/>
  <c r="J4" i="4"/>
  <c r="J5" i="4"/>
  <c r="J6" i="4"/>
  <c r="L11" i="4"/>
  <c r="H12" i="7"/>
  <c r="L12" i="7"/>
  <c r="H13" i="7"/>
  <c r="L13" i="7"/>
  <c r="H14" i="7"/>
  <c r="L14" i="7"/>
  <c r="H15" i="7"/>
  <c r="L15" i="7"/>
  <c r="H16" i="7"/>
  <c r="L16" i="7"/>
  <c r="H17" i="7"/>
  <c r="L17" i="7"/>
  <c r="H18" i="7"/>
  <c r="L18" i="7"/>
  <c r="H19" i="7"/>
  <c r="L19" i="7"/>
  <c r="H20" i="7"/>
  <c r="L20" i="7"/>
  <c r="H21" i="7"/>
  <c r="L21" i="7"/>
  <c r="H22" i="7"/>
  <c r="L22" i="7"/>
  <c r="H23" i="7"/>
  <c r="L23" i="7"/>
  <c r="H24" i="7"/>
  <c r="L24" i="7"/>
  <c r="H25" i="7"/>
  <c r="L25" i="7"/>
  <c r="H26" i="7"/>
  <c r="L26" i="7"/>
  <c r="H27" i="7"/>
  <c r="L27" i="7"/>
  <c r="H28" i="7"/>
  <c r="L28" i="7"/>
  <c r="H29" i="7"/>
  <c r="L29" i="7"/>
  <c r="H30" i="7"/>
  <c r="L30" i="7"/>
  <c r="H31" i="7"/>
  <c r="L31" i="7"/>
  <c r="L32" i="7"/>
  <c r="L34" i="7"/>
  <c r="G21" i="7"/>
  <c r="G29" i="7"/>
  <c r="K29" i="7"/>
  <c r="G19" i="7"/>
  <c r="G18" i="7"/>
  <c r="G17" i="7"/>
  <c r="G16" i="7"/>
  <c r="G15" i="7"/>
  <c r="G14" i="7"/>
  <c r="G13" i="7"/>
  <c r="G12" i="7"/>
  <c r="C12" i="7"/>
  <c r="C13" i="7"/>
  <c r="C14" i="7"/>
  <c r="C15" i="7"/>
  <c r="G22" i="7"/>
  <c r="G23" i="7"/>
  <c r="G24" i="7"/>
  <c r="G26" i="7"/>
  <c r="K26" i="7"/>
  <c r="G28" i="7"/>
  <c r="G30" i="7"/>
  <c r="K30" i="7"/>
  <c r="G31" i="7"/>
  <c r="K31" i="7"/>
  <c r="C16" i="7"/>
  <c r="C17" i="7"/>
  <c r="C18" i="7"/>
  <c r="C19" i="7"/>
  <c r="C20" i="7"/>
  <c r="C21" i="7"/>
  <c r="C22" i="7"/>
  <c r="C23" i="7"/>
  <c r="C24" i="7"/>
  <c r="C25" i="7"/>
  <c r="C26" i="7"/>
  <c r="C27" i="7"/>
  <c r="C28" i="7"/>
  <c r="C29" i="7"/>
  <c r="C30" i="7"/>
  <c r="C31" i="7"/>
  <c r="L38" i="7"/>
  <c r="E12" i="7"/>
  <c r="E13" i="7"/>
  <c r="E14" i="7"/>
  <c r="E15" i="7"/>
  <c r="E16" i="7"/>
  <c r="E17" i="7"/>
  <c r="E18" i="7"/>
  <c r="E19" i="7"/>
  <c r="E20" i="7"/>
  <c r="E21" i="7"/>
  <c r="E22" i="7"/>
  <c r="E23" i="7"/>
  <c r="E24" i="7"/>
  <c r="E25" i="7"/>
  <c r="E26" i="7"/>
  <c r="E27" i="7"/>
  <c r="E28" i="7"/>
  <c r="E29" i="7"/>
  <c r="E30" i="7"/>
  <c r="E31" i="7"/>
  <c r="I32" i="7"/>
  <c r="C19" i="4"/>
  <c r="D19" i="4"/>
  <c r="C20" i="4"/>
  <c r="D20" i="4"/>
  <c r="C21" i="4"/>
  <c r="D21" i="4"/>
  <c r="C23" i="4"/>
  <c r="D23" i="4"/>
  <c r="C24" i="4"/>
  <c r="D24" i="4"/>
  <c r="C25" i="4"/>
  <c r="D25" i="4"/>
  <c r="D26" i="4"/>
  <c r="D27" i="4"/>
  <c r="C28" i="4"/>
  <c r="D28" i="4"/>
  <c r="C29" i="4"/>
  <c r="D29" i="4"/>
  <c r="C30" i="4"/>
  <c r="D30" i="4"/>
  <c r="C31" i="4"/>
  <c r="D31" i="4"/>
  <c r="C32" i="4"/>
  <c r="D32" i="4"/>
  <c r="C33" i="4"/>
  <c r="D33" i="4"/>
  <c r="C34" i="4"/>
  <c r="D34" i="4"/>
  <c r="C35" i="4"/>
  <c r="D35" i="4"/>
  <c r="C36" i="4"/>
  <c r="D36" i="4"/>
  <c r="C37" i="4"/>
  <c r="D37" i="4"/>
  <c r="C38" i="4"/>
  <c r="D38" i="4"/>
  <c r="C39" i="4"/>
  <c r="D39" i="4"/>
  <c r="C40" i="4"/>
  <c r="D40" i="4"/>
  <c r="C41" i="4"/>
  <c r="D41" i="4"/>
  <c r="C42" i="4"/>
  <c r="D42" i="4"/>
  <c r="C43" i="4"/>
  <c r="D43" i="4"/>
  <c r="C44" i="4"/>
  <c r="D44" i="4"/>
  <c r="C45" i="4"/>
  <c r="D45" i="4"/>
  <c r="C46" i="4"/>
  <c r="D46" i="4"/>
  <c r="C47" i="4"/>
  <c r="D47" i="4"/>
  <c r="C48" i="4"/>
  <c r="D48" i="4"/>
  <c r="C49" i="4"/>
  <c r="D49" i="4"/>
  <c r="C50" i="4"/>
  <c r="D50" i="4"/>
  <c r="C51" i="4"/>
  <c r="D51" i="4"/>
  <c r="C52" i="4"/>
  <c r="D52"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26" i="4"/>
  <c r="C27" i="4"/>
  <c r="C53" i="4"/>
  <c r="B125" i="4"/>
  <c r="C125" i="4"/>
  <c r="D125" i="4"/>
  <c r="F125" i="4"/>
  <c r="G125" i="4"/>
  <c r="H125" i="4"/>
  <c r="I125" i="4"/>
  <c r="J125" i="4"/>
  <c r="K125" i="4"/>
  <c r="L125" i="4"/>
  <c r="M125" i="4"/>
  <c r="N125" i="4"/>
  <c r="O125" i="4"/>
  <c r="P125" i="4"/>
  <c r="Q125" i="4"/>
  <c r="R125" i="4"/>
  <c r="B171" i="4"/>
  <c r="C171" i="4"/>
  <c r="D171" i="4"/>
  <c r="Q171" i="4"/>
  <c r="F171" i="4"/>
  <c r="G171" i="4"/>
  <c r="H171" i="4"/>
  <c r="I171" i="4"/>
  <c r="J171" i="4"/>
  <c r="K171" i="4"/>
  <c r="L171" i="4"/>
  <c r="M171" i="4"/>
  <c r="N171" i="4"/>
  <c r="O171" i="4"/>
  <c r="P171" i="4"/>
  <c r="R171" i="4"/>
  <c r="B170" i="4"/>
  <c r="C170" i="4"/>
  <c r="D170" i="4"/>
  <c r="Q170" i="4"/>
  <c r="F170" i="4"/>
  <c r="G170" i="4"/>
  <c r="H170" i="4"/>
  <c r="I170" i="4"/>
  <c r="J170" i="4"/>
  <c r="K170" i="4"/>
  <c r="L170" i="4"/>
  <c r="M170" i="4"/>
  <c r="N170" i="4"/>
  <c r="O170" i="4"/>
  <c r="P170" i="4"/>
  <c r="R170" i="4"/>
  <c r="B169" i="4"/>
  <c r="C169" i="4"/>
  <c r="D169" i="4"/>
  <c r="Q169" i="4"/>
  <c r="F169" i="4"/>
  <c r="G169" i="4"/>
  <c r="H169" i="4"/>
  <c r="I169" i="4"/>
  <c r="J169" i="4"/>
  <c r="K169" i="4"/>
  <c r="L169" i="4"/>
  <c r="M169" i="4"/>
  <c r="N169" i="4"/>
  <c r="O169" i="4"/>
  <c r="P169" i="4"/>
  <c r="R169" i="4"/>
  <c r="B168" i="4"/>
  <c r="C168" i="4"/>
  <c r="D168" i="4"/>
  <c r="Q168" i="4"/>
  <c r="F168" i="4"/>
  <c r="G168" i="4"/>
  <c r="H168" i="4"/>
  <c r="I168" i="4"/>
  <c r="J168" i="4"/>
  <c r="K168" i="4"/>
  <c r="L168" i="4"/>
  <c r="M168" i="4"/>
  <c r="N168" i="4"/>
  <c r="O168" i="4"/>
  <c r="P168" i="4"/>
  <c r="R168" i="4"/>
  <c r="B167" i="4"/>
  <c r="C167" i="4"/>
  <c r="D167" i="4"/>
  <c r="Q167" i="4"/>
  <c r="F167" i="4"/>
  <c r="G167" i="4"/>
  <c r="H167" i="4"/>
  <c r="I167" i="4"/>
  <c r="J167" i="4"/>
  <c r="K167" i="4"/>
  <c r="L167" i="4"/>
  <c r="M167" i="4"/>
  <c r="N167" i="4"/>
  <c r="O167" i="4"/>
  <c r="P167" i="4"/>
  <c r="R167" i="4"/>
  <c r="B166" i="4"/>
  <c r="C166" i="4"/>
  <c r="D166" i="4"/>
  <c r="Q166" i="4"/>
  <c r="F166" i="4"/>
  <c r="G166" i="4"/>
  <c r="H166" i="4"/>
  <c r="I166" i="4"/>
  <c r="J166" i="4"/>
  <c r="K166" i="4"/>
  <c r="L166" i="4"/>
  <c r="M166" i="4"/>
  <c r="N166" i="4"/>
  <c r="O166" i="4"/>
  <c r="P166" i="4"/>
  <c r="R166" i="4"/>
  <c r="B165" i="4"/>
  <c r="C165" i="4"/>
  <c r="D165" i="4"/>
  <c r="Q165" i="4"/>
  <c r="F165" i="4"/>
  <c r="G165" i="4"/>
  <c r="H165" i="4"/>
  <c r="I165" i="4"/>
  <c r="J165" i="4"/>
  <c r="K165" i="4"/>
  <c r="L165" i="4"/>
  <c r="M165" i="4"/>
  <c r="N165" i="4"/>
  <c r="O165" i="4"/>
  <c r="P165" i="4"/>
  <c r="R165" i="4"/>
  <c r="B164" i="4"/>
  <c r="C164" i="4"/>
  <c r="D164" i="4"/>
  <c r="Q164" i="4"/>
  <c r="F164" i="4"/>
  <c r="G164" i="4"/>
  <c r="H164" i="4"/>
  <c r="I164" i="4"/>
  <c r="J164" i="4"/>
  <c r="K164" i="4"/>
  <c r="L164" i="4"/>
  <c r="M164" i="4"/>
  <c r="N164" i="4"/>
  <c r="O164" i="4"/>
  <c r="P164" i="4"/>
  <c r="R164" i="4"/>
  <c r="B163" i="4"/>
  <c r="C163" i="4"/>
  <c r="D163" i="4"/>
  <c r="Q163" i="4"/>
  <c r="F163" i="4"/>
  <c r="G163" i="4"/>
  <c r="H163" i="4"/>
  <c r="I163" i="4"/>
  <c r="J163" i="4"/>
  <c r="K163" i="4"/>
  <c r="L163" i="4"/>
  <c r="M163" i="4"/>
  <c r="N163" i="4"/>
  <c r="O163" i="4"/>
  <c r="P163" i="4"/>
  <c r="R163" i="4"/>
  <c r="B162" i="4"/>
  <c r="C162" i="4"/>
  <c r="D162" i="4"/>
  <c r="Q162" i="4"/>
  <c r="F162" i="4"/>
  <c r="G162" i="4"/>
  <c r="H162" i="4"/>
  <c r="I162" i="4"/>
  <c r="J162" i="4"/>
  <c r="K162" i="4"/>
  <c r="L162" i="4"/>
  <c r="M162" i="4"/>
  <c r="N162" i="4"/>
  <c r="O162" i="4"/>
  <c r="P162" i="4"/>
  <c r="R162" i="4"/>
  <c r="B161" i="4"/>
  <c r="C161" i="4"/>
  <c r="D161" i="4"/>
  <c r="Q161" i="4"/>
  <c r="F161" i="4"/>
  <c r="G161" i="4"/>
  <c r="H161" i="4"/>
  <c r="I161" i="4"/>
  <c r="J161" i="4"/>
  <c r="K161" i="4"/>
  <c r="L161" i="4"/>
  <c r="M161" i="4"/>
  <c r="N161" i="4"/>
  <c r="O161" i="4"/>
  <c r="P161" i="4"/>
  <c r="R161" i="4"/>
  <c r="B160" i="4"/>
  <c r="C160" i="4"/>
  <c r="D160" i="4"/>
  <c r="Q160" i="4"/>
  <c r="F160" i="4"/>
  <c r="G160" i="4"/>
  <c r="H160" i="4"/>
  <c r="I160" i="4"/>
  <c r="J160" i="4"/>
  <c r="K160" i="4"/>
  <c r="L160" i="4"/>
  <c r="M160" i="4"/>
  <c r="N160" i="4"/>
  <c r="O160" i="4"/>
  <c r="P160" i="4"/>
  <c r="R160" i="4"/>
  <c r="B159" i="4"/>
  <c r="C159" i="4"/>
  <c r="D159" i="4"/>
  <c r="Q159" i="4"/>
  <c r="F159" i="4"/>
  <c r="G159" i="4"/>
  <c r="H159" i="4"/>
  <c r="I159" i="4"/>
  <c r="J159" i="4"/>
  <c r="K159" i="4"/>
  <c r="L159" i="4"/>
  <c r="M159" i="4"/>
  <c r="N159" i="4"/>
  <c r="O159" i="4"/>
  <c r="P159" i="4"/>
  <c r="R159" i="4"/>
  <c r="B158" i="4"/>
  <c r="C158" i="4"/>
  <c r="D158" i="4"/>
  <c r="Q158" i="4"/>
  <c r="F158" i="4"/>
  <c r="G158" i="4"/>
  <c r="H158" i="4"/>
  <c r="I158" i="4"/>
  <c r="J158" i="4"/>
  <c r="K158" i="4"/>
  <c r="L158" i="4"/>
  <c r="M158" i="4"/>
  <c r="N158" i="4"/>
  <c r="O158" i="4"/>
  <c r="P158" i="4"/>
  <c r="R158" i="4"/>
  <c r="D157" i="4"/>
  <c r="Q157" i="4"/>
  <c r="F157" i="4"/>
  <c r="G157" i="4"/>
  <c r="H157" i="4"/>
  <c r="I157" i="4"/>
  <c r="J157" i="4"/>
  <c r="K157" i="4"/>
  <c r="L157" i="4"/>
  <c r="M157" i="4"/>
  <c r="N157" i="4"/>
  <c r="O157" i="4"/>
  <c r="P157" i="4"/>
  <c r="R157" i="4"/>
  <c r="B156" i="4"/>
  <c r="C156" i="4"/>
  <c r="D156" i="4"/>
  <c r="Q156" i="4"/>
  <c r="F156" i="4"/>
  <c r="G156" i="4"/>
  <c r="H156" i="4"/>
  <c r="I156" i="4"/>
  <c r="J156" i="4"/>
  <c r="K156" i="4"/>
  <c r="L156" i="4"/>
  <c r="M156" i="4"/>
  <c r="N156" i="4"/>
  <c r="O156" i="4"/>
  <c r="P156" i="4"/>
  <c r="R156" i="4"/>
  <c r="B155" i="4"/>
  <c r="C155" i="4"/>
  <c r="D155" i="4"/>
  <c r="Q155" i="4"/>
  <c r="F155" i="4"/>
  <c r="G155" i="4"/>
  <c r="H155" i="4"/>
  <c r="I155" i="4"/>
  <c r="J155" i="4"/>
  <c r="K155" i="4"/>
  <c r="L155" i="4"/>
  <c r="M155" i="4"/>
  <c r="N155" i="4"/>
  <c r="O155" i="4"/>
  <c r="P155" i="4"/>
  <c r="R155" i="4"/>
  <c r="B154" i="4"/>
  <c r="C154" i="4"/>
  <c r="D154" i="4"/>
  <c r="Q154" i="4"/>
  <c r="F154" i="4"/>
  <c r="G154" i="4"/>
  <c r="H154" i="4"/>
  <c r="I154" i="4"/>
  <c r="J154" i="4"/>
  <c r="K154" i="4"/>
  <c r="L154" i="4"/>
  <c r="M154" i="4"/>
  <c r="N154" i="4"/>
  <c r="O154" i="4"/>
  <c r="P154" i="4"/>
  <c r="R154" i="4"/>
  <c r="B153" i="4"/>
  <c r="C153" i="4"/>
  <c r="D153" i="4"/>
  <c r="Q153" i="4"/>
  <c r="F153" i="4"/>
  <c r="G153" i="4"/>
  <c r="H153" i="4"/>
  <c r="I153" i="4"/>
  <c r="J153" i="4"/>
  <c r="K153" i="4"/>
  <c r="L153" i="4"/>
  <c r="M153" i="4"/>
  <c r="N153" i="4"/>
  <c r="O153" i="4"/>
  <c r="P153" i="4"/>
  <c r="R153" i="4"/>
  <c r="B152" i="4"/>
  <c r="C152" i="4"/>
  <c r="D152" i="4"/>
  <c r="Q152" i="4"/>
  <c r="F152" i="4"/>
  <c r="G152" i="4"/>
  <c r="H152" i="4"/>
  <c r="I152" i="4"/>
  <c r="J152" i="4"/>
  <c r="K152" i="4"/>
  <c r="L152" i="4"/>
  <c r="M152" i="4"/>
  <c r="N152" i="4"/>
  <c r="O152" i="4"/>
  <c r="P152" i="4"/>
  <c r="R152" i="4"/>
  <c r="B151" i="4"/>
  <c r="C151" i="4"/>
  <c r="D151" i="4"/>
  <c r="Q151" i="4"/>
  <c r="F151" i="4"/>
  <c r="G151" i="4"/>
  <c r="H151" i="4"/>
  <c r="I151" i="4"/>
  <c r="J151" i="4"/>
  <c r="K151" i="4"/>
  <c r="L151" i="4"/>
  <c r="M151" i="4"/>
  <c r="N151" i="4"/>
  <c r="O151" i="4"/>
  <c r="P151" i="4"/>
  <c r="R151" i="4"/>
  <c r="B150" i="4"/>
  <c r="C150" i="4"/>
  <c r="D150" i="4"/>
  <c r="Q150" i="4"/>
  <c r="F150" i="4"/>
  <c r="G150" i="4"/>
  <c r="H150" i="4"/>
  <c r="I150" i="4"/>
  <c r="J150" i="4"/>
  <c r="K150" i="4"/>
  <c r="L150" i="4"/>
  <c r="M150" i="4"/>
  <c r="N150" i="4"/>
  <c r="O150" i="4"/>
  <c r="P150" i="4"/>
  <c r="R150" i="4"/>
  <c r="B149" i="4"/>
  <c r="C149" i="4"/>
  <c r="D149" i="4"/>
  <c r="Q149" i="4"/>
  <c r="F149" i="4"/>
  <c r="G149" i="4"/>
  <c r="H149" i="4"/>
  <c r="I149" i="4"/>
  <c r="J149" i="4"/>
  <c r="K149" i="4"/>
  <c r="L149" i="4"/>
  <c r="M149" i="4"/>
  <c r="N149" i="4"/>
  <c r="O149" i="4"/>
  <c r="P149" i="4"/>
  <c r="R149" i="4"/>
  <c r="B148" i="4"/>
  <c r="C148" i="4"/>
  <c r="D148" i="4"/>
  <c r="Q148" i="4"/>
  <c r="F148" i="4"/>
  <c r="G148" i="4"/>
  <c r="H148" i="4"/>
  <c r="I148" i="4"/>
  <c r="J148" i="4"/>
  <c r="K148" i="4"/>
  <c r="L148" i="4"/>
  <c r="M148" i="4"/>
  <c r="N148" i="4"/>
  <c r="O148" i="4"/>
  <c r="P148" i="4"/>
  <c r="R148" i="4"/>
  <c r="B147" i="4"/>
  <c r="C147" i="4"/>
  <c r="D147" i="4"/>
  <c r="Q147" i="4"/>
  <c r="F147" i="4"/>
  <c r="G147" i="4"/>
  <c r="H147" i="4"/>
  <c r="I147" i="4"/>
  <c r="J147" i="4"/>
  <c r="K147" i="4"/>
  <c r="L147" i="4"/>
  <c r="M147" i="4"/>
  <c r="N147" i="4"/>
  <c r="O147" i="4"/>
  <c r="P147" i="4"/>
  <c r="R147" i="4"/>
  <c r="B146" i="4"/>
  <c r="C146" i="4"/>
  <c r="D146" i="4"/>
  <c r="Q146" i="4"/>
  <c r="F146" i="4"/>
  <c r="G146" i="4"/>
  <c r="H146" i="4"/>
  <c r="I146" i="4"/>
  <c r="J146" i="4"/>
  <c r="K146" i="4"/>
  <c r="L146" i="4"/>
  <c r="M146" i="4"/>
  <c r="N146" i="4"/>
  <c r="O146" i="4"/>
  <c r="P146" i="4"/>
  <c r="R146" i="4"/>
  <c r="B145" i="4"/>
  <c r="C145" i="4"/>
  <c r="D145" i="4"/>
  <c r="Q145" i="4"/>
  <c r="F145" i="4"/>
  <c r="G145" i="4"/>
  <c r="H145" i="4"/>
  <c r="I145" i="4"/>
  <c r="J145" i="4"/>
  <c r="K145" i="4"/>
  <c r="L145" i="4"/>
  <c r="M145" i="4"/>
  <c r="N145" i="4"/>
  <c r="O145" i="4"/>
  <c r="P145" i="4"/>
  <c r="R145" i="4"/>
  <c r="B144" i="4"/>
  <c r="C144" i="4"/>
  <c r="D144" i="4"/>
  <c r="Q144" i="4"/>
  <c r="F144" i="4"/>
  <c r="G144" i="4"/>
  <c r="H144" i="4"/>
  <c r="I144" i="4"/>
  <c r="J144" i="4"/>
  <c r="K144" i="4"/>
  <c r="L144" i="4"/>
  <c r="M144" i="4"/>
  <c r="N144" i="4"/>
  <c r="O144" i="4"/>
  <c r="P144" i="4"/>
  <c r="R144" i="4"/>
  <c r="B143" i="4"/>
  <c r="C143" i="4"/>
  <c r="D143" i="4"/>
  <c r="Q143" i="4"/>
  <c r="F143" i="4"/>
  <c r="G143" i="4"/>
  <c r="H143" i="4"/>
  <c r="I143" i="4"/>
  <c r="J143" i="4"/>
  <c r="K143" i="4"/>
  <c r="L143" i="4"/>
  <c r="M143" i="4"/>
  <c r="N143" i="4"/>
  <c r="O143" i="4"/>
  <c r="P143" i="4"/>
  <c r="R143" i="4"/>
  <c r="B142" i="4"/>
  <c r="C142" i="4"/>
  <c r="D142" i="4"/>
  <c r="Q142" i="4"/>
  <c r="F142" i="4"/>
  <c r="G142" i="4"/>
  <c r="H142" i="4"/>
  <c r="I142" i="4"/>
  <c r="J142" i="4"/>
  <c r="K142" i="4"/>
  <c r="L142" i="4"/>
  <c r="M142" i="4"/>
  <c r="N142" i="4"/>
  <c r="O142" i="4"/>
  <c r="P142" i="4"/>
  <c r="R142" i="4"/>
  <c r="B141" i="4"/>
  <c r="C141" i="4"/>
  <c r="D141" i="4"/>
  <c r="Q141" i="4"/>
  <c r="F141" i="4"/>
  <c r="G141" i="4"/>
  <c r="H141" i="4"/>
  <c r="I141" i="4"/>
  <c r="J141" i="4"/>
  <c r="K141" i="4"/>
  <c r="L141" i="4"/>
  <c r="M141" i="4"/>
  <c r="N141" i="4"/>
  <c r="O141" i="4"/>
  <c r="P141" i="4"/>
  <c r="R141" i="4"/>
  <c r="B140" i="4"/>
  <c r="C140" i="4"/>
  <c r="D140" i="4"/>
  <c r="Q140" i="4"/>
  <c r="F140" i="4"/>
  <c r="G140" i="4"/>
  <c r="H140" i="4"/>
  <c r="I140" i="4"/>
  <c r="J140" i="4"/>
  <c r="K140" i="4"/>
  <c r="L140" i="4"/>
  <c r="M140" i="4"/>
  <c r="N140" i="4"/>
  <c r="O140" i="4"/>
  <c r="P140" i="4"/>
  <c r="R140" i="4"/>
  <c r="B139" i="4"/>
  <c r="C139" i="4"/>
  <c r="D139" i="4"/>
  <c r="Q139" i="4"/>
  <c r="F139" i="4"/>
  <c r="G139" i="4"/>
  <c r="H139" i="4"/>
  <c r="I139" i="4"/>
  <c r="J139" i="4"/>
  <c r="K139" i="4"/>
  <c r="L139" i="4"/>
  <c r="M139" i="4"/>
  <c r="N139" i="4"/>
  <c r="O139" i="4"/>
  <c r="P139" i="4"/>
  <c r="R139" i="4"/>
  <c r="B138" i="4"/>
  <c r="C138" i="4"/>
  <c r="D138" i="4"/>
  <c r="Q138" i="4"/>
  <c r="F138" i="4"/>
  <c r="G138" i="4"/>
  <c r="H138" i="4"/>
  <c r="I138" i="4"/>
  <c r="J138" i="4"/>
  <c r="K138" i="4"/>
  <c r="L138" i="4"/>
  <c r="M138" i="4"/>
  <c r="N138" i="4"/>
  <c r="O138" i="4"/>
  <c r="P138" i="4"/>
  <c r="R138" i="4"/>
  <c r="B137" i="4"/>
  <c r="C137" i="4"/>
  <c r="D137" i="4"/>
  <c r="Q137" i="4"/>
  <c r="F137" i="4"/>
  <c r="G137" i="4"/>
  <c r="H137" i="4"/>
  <c r="I137" i="4"/>
  <c r="J137" i="4"/>
  <c r="K137" i="4"/>
  <c r="L137" i="4"/>
  <c r="M137" i="4"/>
  <c r="N137" i="4"/>
  <c r="O137" i="4"/>
  <c r="P137" i="4"/>
  <c r="R137" i="4"/>
  <c r="B136" i="4"/>
  <c r="C136" i="4"/>
  <c r="D136" i="4"/>
  <c r="Q136" i="4"/>
  <c r="F136" i="4"/>
  <c r="G136" i="4"/>
  <c r="H136" i="4"/>
  <c r="I136" i="4"/>
  <c r="J136" i="4"/>
  <c r="K136" i="4"/>
  <c r="L136" i="4"/>
  <c r="M136" i="4"/>
  <c r="N136" i="4"/>
  <c r="O136" i="4"/>
  <c r="P136" i="4"/>
  <c r="R136" i="4"/>
  <c r="B135" i="4"/>
  <c r="C135" i="4"/>
  <c r="D135" i="4"/>
  <c r="Q135" i="4"/>
  <c r="F135" i="4"/>
  <c r="G135" i="4"/>
  <c r="H135" i="4"/>
  <c r="I135" i="4"/>
  <c r="J135" i="4"/>
  <c r="K135" i="4"/>
  <c r="L135" i="4"/>
  <c r="M135" i="4"/>
  <c r="N135" i="4"/>
  <c r="O135" i="4"/>
  <c r="P135" i="4"/>
  <c r="R135" i="4"/>
  <c r="B133" i="4"/>
  <c r="C133" i="4"/>
  <c r="D133" i="4"/>
  <c r="Q133" i="4"/>
  <c r="F133" i="4"/>
  <c r="G133" i="4"/>
  <c r="H133" i="4"/>
  <c r="I133" i="4"/>
  <c r="J133" i="4"/>
  <c r="K133" i="4"/>
  <c r="L133" i="4"/>
  <c r="M133" i="4"/>
  <c r="N133" i="4"/>
  <c r="O133" i="4"/>
  <c r="P133" i="4"/>
  <c r="R133" i="4"/>
  <c r="B132" i="4"/>
  <c r="C132" i="4"/>
  <c r="D132" i="4"/>
  <c r="Q132" i="4"/>
  <c r="F132" i="4"/>
  <c r="G132" i="4"/>
  <c r="H132" i="4"/>
  <c r="I132" i="4"/>
  <c r="J132" i="4"/>
  <c r="K132" i="4"/>
  <c r="L132" i="4"/>
  <c r="M132" i="4"/>
  <c r="N132" i="4"/>
  <c r="O132" i="4"/>
  <c r="P132" i="4"/>
  <c r="R132" i="4"/>
  <c r="D131" i="4"/>
  <c r="B27" i="4"/>
  <c r="F27" i="4"/>
  <c r="Q131" i="4"/>
  <c r="R131" i="4"/>
  <c r="D130" i="4"/>
  <c r="B26" i="4"/>
  <c r="F26" i="4"/>
  <c r="Q130" i="4"/>
  <c r="R130" i="4"/>
  <c r="B129" i="4"/>
  <c r="C129" i="4"/>
  <c r="D129" i="4"/>
  <c r="Q129" i="4"/>
  <c r="F129" i="4"/>
  <c r="G129" i="4"/>
  <c r="H129" i="4"/>
  <c r="I129" i="4"/>
  <c r="J129" i="4"/>
  <c r="K129" i="4"/>
  <c r="L129" i="4"/>
  <c r="M129" i="4"/>
  <c r="N129" i="4"/>
  <c r="O129" i="4"/>
  <c r="P129" i="4"/>
  <c r="R129" i="4"/>
  <c r="B128" i="4"/>
  <c r="C128" i="4"/>
  <c r="D128" i="4"/>
  <c r="Q128" i="4"/>
  <c r="F128" i="4"/>
  <c r="G128" i="4"/>
  <c r="H128" i="4"/>
  <c r="I128" i="4"/>
  <c r="J128" i="4"/>
  <c r="K128" i="4"/>
  <c r="L128" i="4"/>
  <c r="M128" i="4"/>
  <c r="N128" i="4"/>
  <c r="O128" i="4"/>
  <c r="P128" i="4"/>
  <c r="R128" i="4"/>
  <c r="B127" i="4"/>
  <c r="C127" i="4"/>
  <c r="D127" i="4"/>
  <c r="Q127" i="4"/>
  <c r="F127" i="4"/>
  <c r="G127" i="4"/>
  <c r="H127" i="4"/>
  <c r="I127" i="4"/>
  <c r="J127" i="4"/>
  <c r="K127" i="4"/>
  <c r="L127" i="4"/>
  <c r="M127" i="4"/>
  <c r="N127" i="4"/>
  <c r="O127" i="4"/>
  <c r="P127" i="4"/>
  <c r="R127" i="4"/>
  <c r="B124" i="4"/>
  <c r="C124" i="4"/>
  <c r="D124" i="4"/>
  <c r="Q124" i="4"/>
  <c r="F124" i="4"/>
  <c r="G124" i="4"/>
  <c r="H124" i="4"/>
  <c r="I124" i="4"/>
  <c r="J124" i="4"/>
  <c r="K124" i="4"/>
  <c r="L124" i="4"/>
  <c r="M124" i="4"/>
  <c r="N124" i="4"/>
  <c r="O124" i="4"/>
  <c r="P124" i="4"/>
  <c r="R124" i="4"/>
  <c r="B123" i="4"/>
  <c r="C123" i="4"/>
  <c r="D123" i="4"/>
  <c r="Q123" i="4"/>
  <c r="F123" i="4"/>
  <c r="G123" i="4"/>
  <c r="H123" i="4"/>
  <c r="I123" i="4"/>
  <c r="J123" i="4"/>
  <c r="K123" i="4"/>
  <c r="L123" i="4"/>
  <c r="M123" i="4"/>
  <c r="N123" i="4"/>
  <c r="O123" i="4"/>
  <c r="P123" i="4"/>
  <c r="R123" i="4"/>
  <c r="E116" i="4"/>
  <c r="E26" i="4"/>
  <c r="G26" i="4"/>
  <c r="F78" i="4"/>
  <c r="G78" i="4"/>
  <c r="H78" i="4"/>
  <c r="I78" i="4"/>
  <c r="J78" i="4"/>
  <c r="K78" i="4"/>
  <c r="L78" i="4"/>
  <c r="M78" i="4"/>
  <c r="N78" i="4"/>
  <c r="O78" i="4"/>
  <c r="P78" i="4"/>
  <c r="Q78" i="4"/>
  <c r="E27" i="4"/>
  <c r="G27" i="4"/>
  <c r="F79" i="4"/>
  <c r="G79" i="4"/>
  <c r="H79" i="4"/>
  <c r="I79" i="4"/>
  <c r="J79" i="4"/>
  <c r="K79" i="4"/>
  <c r="L79" i="4"/>
  <c r="M79" i="4"/>
  <c r="N79" i="4"/>
  <c r="O79" i="4"/>
  <c r="P79" i="4"/>
  <c r="Q79" i="4"/>
  <c r="L3" i="4"/>
  <c r="L4" i="4"/>
  <c r="L5" i="4"/>
  <c r="C14" i="6"/>
  <c r="C15" i="6"/>
  <c r="F130" i="4"/>
  <c r="F131" i="4"/>
  <c r="G131" i="4"/>
  <c r="H131" i="4"/>
  <c r="I131" i="4"/>
  <c r="J131" i="4"/>
  <c r="K131" i="4"/>
  <c r="L131" i="4"/>
  <c r="M131" i="4"/>
  <c r="N131" i="4"/>
  <c r="O131" i="4"/>
  <c r="P131" i="4"/>
  <c r="B130" i="4"/>
  <c r="B131" i="4"/>
  <c r="B157" i="4"/>
  <c r="G130" i="4"/>
  <c r="H130" i="4"/>
  <c r="I130" i="4"/>
  <c r="J130" i="4"/>
  <c r="K130" i="4"/>
  <c r="L130" i="4"/>
  <c r="M130" i="4"/>
  <c r="N130" i="4"/>
  <c r="O130" i="4"/>
  <c r="P130" i="4"/>
  <c r="M5" i="4"/>
  <c r="N5" i="4"/>
  <c r="E99" i="4"/>
  <c r="C157" i="4"/>
  <c r="C130" i="4"/>
  <c r="C131" i="4"/>
  <c r="E97" i="4"/>
  <c r="E96" i="4"/>
  <c r="E94" i="4"/>
  <c r="E93" i="4"/>
  <c r="E92" i="4"/>
  <c r="E90" i="4"/>
  <c r="E88" i="4"/>
  <c r="E83" i="4"/>
  <c r="E77" i="4"/>
  <c r="E76" i="4"/>
  <c r="E79" i="4"/>
  <c r="E80" i="4"/>
  <c r="E81" i="4"/>
  <c r="E84" i="4"/>
  <c r="E85" i="4"/>
  <c r="E117" i="4"/>
  <c r="E114" i="4"/>
  <c r="E109" i="4"/>
  <c r="E105" i="4"/>
  <c r="E103" i="4"/>
  <c r="E102" i="4"/>
  <c r="E101" i="4"/>
  <c r="E100" i="4"/>
  <c r="E98" i="4"/>
  <c r="E119" i="4"/>
  <c r="E108" i="4"/>
  <c r="E106" i="4"/>
  <c r="E107" i="4"/>
  <c r="E111" i="4"/>
  <c r="E91" i="4"/>
  <c r="E113" i="4"/>
  <c r="E72" i="4"/>
  <c r="M4" i="4"/>
  <c r="N4" i="4"/>
  <c r="L6" i="4"/>
  <c r="E87" i="4"/>
  <c r="E82" i="4"/>
  <c r="E86" i="4"/>
  <c r="E115" i="4"/>
  <c r="E112" i="4"/>
  <c r="E110" i="4"/>
  <c r="E104" i="4"/>
  <c r="E95" i="4"/>
  <c r="E78" i="4"/>
  <c r="E75" i="4"/>
  <c r="E118" i="4"/>
  <c r="M3" i="4"/>
  <c r="M6" i="4"/>
  <c r="N3" i="4"/>
  <c r="N6" i="4"/>
  <c r="E71" i="4"/>
  <c r="E150" i="4"/>
  <c r="E157" i="4"/>
  <c r="E167" i="4"/>
  <c r="E136" i="4"/>
  <c r="E127" i="4"/>
  <c r="E130" i="4"/>
  <c r="E131" i="4"/>
  <c r="E171" i="4"/>
  <c r="E170" i="4"/>
  <c r="E169" i="4"/>
  <c r="E168" i="4"/>
  <c r="E166" i="4"/>
  <c r="E165" i="4"/>
  <c r="E164" i="4"/>
  <c r="E163" i="4"/>
  <c r="E162" i="4"/>
  <c r="E161" i="4"/>
  <c r="E160" i="4"/>
  <c r="E159" i="4"/>
  <c r="E158" i="4"/>
  <c r="E156" i="4"/>
  <c r="E155" i="4"/>
  <c r="E154" i="4"/>
  <c r="E153" i="4"/>
  <c r="E152" i="4"/>
  <c r="E151" i="4"/>
  <c r="E149" i="4"/>
  <c r="E148" i="4"/>
  <c r="E147" i="4"/>
  <c r="E146" i="4"/>
  <c r="E145" i="4"/>
  <c r="E144" i="4"/>
  <c r="E143" i="4"/>
  <c r="E142" i="4"/>
  <c r="E141" i="4"/>
  <c r="E140" i="4"/>
  <c r="E139" i="4"/>
  <c r="E138" i="4"/>
  <c r="E137" i="4"/>
  <c r="E135" i="4"/>
  <c r="E133" i="4"/>
  <c r="E132" i="4"/>
  <c r="E129" i="4"/>
  <c r="E128" i="4"/>
  <c r="E124" i="4"/>
  <c r="E123" i="4"/>
  <c r="E89" i="4"/>
  <c r="E73" i="4"/>
  <c r="E125" i="4"/>
  <c r="L9" i="4" a="1"/>
  <c r="L9" i="4"/>
  <c r="R3" i="4" a="1"/>
  <c r="R3" i="4"/>
  <c r="Q3" i="4" a="1"/>
  <c r="Q3" i="4"/>
  <c r="S3" i="4"/>
  <c r="R5" i="4" a="1"/>
  <c r="R5" i="4"/>
  <c r="Q5" i="4" a="1"/>
  <c r="Q5" i="4"/>
  <c r="S5" i="4"/>
  <c r="R9" i="4" a="1"/>
  <c r="R9" i="4"/>
  <c r="Q9" i="4" a="1"/>
  <c r="Q9" i="4"/>
  <c r="S9" i="4"/>
  <c r="R10" i="4" a="1"/>
  <c r="R10" i="4"/>
  <c r="Q10" i="4" a="1"/>
  <c r="Q10" i="4"/>
  <c r="S10" i="4"/>
  <c r="R4" i="4" a="1"/>
  <c r="R4" i="4"/>
  <c r="Q4" i="4" a="1"/>
  <c r="Q4" i="4"/>
  <c r="S4" i="4"/>
  <c r="E134" i="4"/>
</calcChain>
</file>

<file path=xl/sharedStrings.xml><?xml version="1.0" encoding="utf-8"?>
<sst xmlns="http://schemas.openxmlformats.org/spreadsheetml/2006/main" count="699" uniqueCount="194">
  <si>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</si>
  <si>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</si>
  <si>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</si>
  <si>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</si>
  <si>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</si>
  <si>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</si>
  <si>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</si>
  <si>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</si>
  <si>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</si>
  <si>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</si>
  <si>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</si>
  <si>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</si>
  <si>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</si>
  <si>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</si>
  <si>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</si>
  <si>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</si>
  <si>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</si>
  <si>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</si>
  <si>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</si>
  <si>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</si>
  <si>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Army Camps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</si>
  <si>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</si>
  <si>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</si>
  <si>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</si>
  <si>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</si>
  <si>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</si>
  <si>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</si>
  <si>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</si>
  <si>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</si>
  <si>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</si>
  <si>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</si>
  <si>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</si>
  <si>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</si>
  <si>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</si>
  <si>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</si>
  <si>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</si>
  <si>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</si>
  <si>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</si>
  <si>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</si>
  <si>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</si>
  <si>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</si>
  <si>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</si>
  <si>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</si>
  <si>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</si>
  <si>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</si>
  <si>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</si>
  <si>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</si>
  <si>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</si>
  <si>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</si>
  <si>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</si>
  <si>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</si>
  <si>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</si>
  <si>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</si>
  <si>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</si>
  <si>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</si>
  <si>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</si>
  <si>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</si>
  <si>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</si>
  <si>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</si>
  <si>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</si>
  <si>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</si>
  <si>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</si>
  <si>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</si>
  <si>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</si>
  <si>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</si>
  <si>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</si>
  <si>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</si>
  <si>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</si>
  <si>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</si>
  <si>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</si>
  <si>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GoTo</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</si>
  <si>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</si>
  <si>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</si>
  <si>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</si>
  <si>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</si>
  <si>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</si>
  <si>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</si>
  <si>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</si>
  <si>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</si>
  <si>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</si>
  <si>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</si>
  <si>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</si>
  <si>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</si>
  <si>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</si>
  <si>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</si>
  <si>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</si>
  <si>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</si>
  <si>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</si>
  <si>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</si>
  <si>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</si>
  <si>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</si>
  <si>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</si>
  <si>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</si>
  <si>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</si>
  <si>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</si>
  <si>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</si>
  <si>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</si>
  <si>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</si>
  <si>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</si>
  <si>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</si>
  <si>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</si>
  <si>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</si>
  <si>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</si>
  <si>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</si>
  <si>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</si>
  <si>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</si>
  <si>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</si>
  <si>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</si>
  <si>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</si>
  <si>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</si>
  <si>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Remaining to Complete Level:</t>
  </si>
  <si>
    <t>TOTAL</t>
  </si>
  <si>
    <t>Builder Huts</t>
  </si>
  <si>
    <t>Available</t>
  </si>
  <si>
    <t>Error</t>
  </si>
  <si>
    <t>Upgradable</t>
  </si>
  <si>
    <t>Invalid Value</t>
  </si>
  <si>
    <t>Key / Legend</t>
  </si>
  <si>
    <t>Cheapest non-wall building action:</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</si>
  <si>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</si>
  <si>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</si>
  <si>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</si>
  <si>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</si>
  <si>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</si>
  <si>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</si>
  <si>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</si>
  <si>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</si>
  <si>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</si>
  <si>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</si>
  <si>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</si>
  <si>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 Only modify fields in this red box **</t>
  </si>
  <si>
    <t>"Max" Option</t>
  </si>
  <si>
    <t>Cheapest upgrade:</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</si>
  <si>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</si>
  <si>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</si>
  <si>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</si>
  <si>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</si>
  <si>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</si>
  <si>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</si>
  <si>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</si>
  <si>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</si>
  <si>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</si>
  <si>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</si>
  <si>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(insert your name here if you are creating a derivative)</t>
  </si>
  <si>
    <t>This version modified by: (without endorsement from the creator)</t>
  </si>
  <si>
    <t>Time/builder</t>
  </si>
  <si>
    <t>Total Buildings</t>
  </si>
  <si>
    <t>Needed Elixir/Gold</t>
  </si>
  <si>
    <t>MatchStr</t>
  </si>
  <si>
    <t>Configuration Options</t>
  </si>
  <si>
    <t>Type</t>
  </si>
  <si>
    <t>TODO</t>
  </si>
  <si>
    <t>Skip these buildings/upgrades in calculations</t>
  </si>
  <si>
    <t>&lt;-- set to the number of builder huts you currently have</t>
  </si>
  <si>
    <t>&lt;-- set TRUE to see amount left to max EVERYTHING out (excluding skipped items)</t>
  </si>
  <si>
    <t>Include Hero Levels</t>
  </si>
  <si>
    <t>Future Work</t>
  </si>
  <si>
    <t>Idea</t>
  </si>
  <si>
    <t>Quantity</t>
  </si>
  <si>
    <t>Total Cost</t>
  </si>
  <si>
    <t>Calculate Army damage and XP</t>
  </si>
  <si>
    <t>Unit</t>
  </si>
  <si>
    <t>Spell</t>
  </si>
  <si>
    <t>Level</t>
  </si>
  <si>
    <t>Name</t>
  </si>
  <si>
    <t>Implement availability check based on barracks level</t>
  </si>
  <si>
    <t>Number of Barracks</t>
  </si>
  <si>
    <t>Train Time</t>
  </si>
  <si>
    <t>Space</t>
  </si>
  <si>
    <t>Total Time</t>
  </si>
  <si>
    <t>Total Space</t>
  </si>
  <si>
    <t>Total</t>
  </si>
  <si>
    <t>Time (Each)</t>
  </si>
  <si>
    <t>Space (Each)</t>
  </si>
  <si>
    <t>Cost (Each)</t>
  </si>
  <si>
    <t>Time/barracks</t>
  </si>
  <si>
    <t>Space Available</t>
  </si>
  <si>
    <t>Space Left</t>
  </si>
  <si>
    <t>Army Cost</t>
  </si>
  <si>
    <t>Time (mins)</t>
  </si>
  <si>
    <t>Upgrades</t>
  </si>
  <si>
    <t>Army Costs</t>
  </si>
  <si>
    <t>Army Camp Capacity</t>
  </si>
  <si>
    <t>Town Hall Level</t>
  </si>
  <si>
    <t>Laboratory Level</t>
  </si>
  <si>
    <t>Capacity</t>
  </si>
  <si>
    <t>Not Available or Zero Calculated Value</t>
  </si>
  <si>
    <t>Possible uses for this space:
 - Raid stats/records
 - Grocery list
 - Love letters
 - Money spent on Clash of Clans (if applicable)
 - Build orders</t>
  </si>
  <si>
    <t>Other Statistics</t>
  </si>
  <si>
    <t>** NOTE: any version of this spreadsheet must include attribution to Matthwe Strax-Haber. If any changes were made, you must indicate that this is the case and may include your own credit as well.</t>
  </si>
  <si>
    <t>Raid log (resources gained, troops used, etc)</t>
  </si>
  <si>
    <t>Added "skip builds/upgrades" functionality; fixed formatting bug; created army value and build time calculator</t>
  </si>
  <si>
    <t>Time (days)</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</si>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</sst>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numFmt numFmtId="165" formatCode="yyyy\-mm\-dd"/>
    <numFmt numFmtId="166" formatCode="0.0%"/>
    <numFmt numFmtId="167" formatCode="#\ ??/6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b/>
      <sz val="12"/>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s>
  <fills count="13">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s>
  <borders count="69">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top style="thick">
        <color auto="1"/>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ck">
        <color rgb="FFFF0000"/>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right/>
      <top style="thick">
        <color auto="1"/>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style="thick">
        <color rgb="FFFF0000"/>
      </top>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rgb="FFFF0000"/>
      </left>
      <right/>
      <top style="thick">
        <color auto="1"/>
      </top>
      <bottom style="thin">
        <color auto="1"/>
      </bottom>
      <diagonal/>
    </border>
    <border>
      <left style="thick">
        <color rgb="FFFF0000"/>
      </left>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right/>
      <top style="thin">
        <color auto="1"/>
      </top>
      <bottom style="thin">
        <color auto="1"/>
      </bottom>
      <diagonal/>
    </border>
    <border>
      <left style="thin">
        <color auto="1"/>
      </left>
      <right/>
      <top/>
      <bottom style="thick">
        <color rgb="FFFF0000"/>
      </bottom>
      <diagonal/>
    </border>
    <border>
      <left/>
      <right style="thick">
        <color auto="1"/>
      </right>
      <top style="thin">
        <color auto="1"/>
      </top>
      <bottom style="thin">
        <color auto="1"/>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s>
  <cellStyleXfs count="9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4" fillId="11" borderId="5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00">
    <xf numFmtId="0" fontId="0" fillId="0" borderId="0" xfId="0"/>
    <xf numFmtId="0" fontId="0" fillId="0" borderId="0" xfId="0" applyNumberFormat="1"/>
    <xf numFmtId="0" fontId="0" fillId="0" borderId="0" xfId="0" applyNumberFormat="1" applyAlignment="1">
      <alignment wrapText="1"/>
    </xf>
    <xf numFmtId="0" fontId="0" fillId="0" borderId="18" xfId="0" applyNumberFormat="1" applyBorder="1"/>
    <xf numFmtId="0" fontId="0" fillId="0" borderId="2" xfId="0" applyNumberFormat="1" applyBorder="1"/>
    <xf numFmtId="0" fontId="0" fillId="0" borderId="39" xfId="0" applyBorder="1"/>
    <xf numFmtId="0" fontId="0" fillId="0" borderId="40" xfId="0" applyBorder="1"/>
    <xf numFmtId="0" fontId="0" fillId="0" borderId="41" xfId="0" applyBorder="1" applyAlignment="1">
      <alignment wrapText="1"/>
    </xf>
    <xf numFmtId="0" fontId="0" fillId="0" borderId="41" xfId="0" applyNumberFormat="1" applyBorder="1" applyAlignment="1">
      <alignment wrapText="1"/>
    </xf>
    <xf numFmtId="0" fontId="0" fillId="0" borderId="34" xfId="0" applyNumberFormat="1" applyBorder="1" applyAlignment="1">
      <alignment wrapText="1"/>
    </xf>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0" fontId="8" fillId="5" borderId="31" xfId="0" applyFont="1" applyFill="1" applyBorder="1" applyAlignment="1" applyProtection="1">
      <protection hidden="1"/>
    </xf>
    <xf numFmtId="0" fontId="8" fillId="5" borderId="33" xfId="0" applyFont="1" applyFill="1" applyBorder="1" applyAlignment="1" applyProtection="1">
      <protection hidden="1"/>
    </xf>
    <xf numFmtId="0" fontId="8" fillId="0" borderId="32" xfId="0" applyFont="1" applyBorder="1" applyAlignment="1" applyProtection="1">
      <alignment horizontal="center"/>
      <protection hidden="1"/>
    </xf>
    <xf numFmtId="0" fontId="8" fillId="0" borderId="34" xfId="0" applyFont="1" applyBorder="1" applyAlignment="1" applyProtection="1">
      <alignment horizontal="center"/>
      <protection hidden="1"/>
    </xf>
    <xf numFmtId="165" fontId="0" fillId="0" borderId="2" xfId="0" applyNumberFormat="1" applyBorder="1" applyAlignment="1">
      <alignment vertical="top"/>
    </xf>
    <xf numFmtId="165" fontId="0" fillId="0" borderId="18" xfId="0" applyNumberFormat="1" applyBorder="1" applyAlignment="1">
      <alignment vertical="top"/>
    </xf>
    <xf numFmtId="0" fontId="8" fillId="0" borderId="2" xfId="0" applyNumberFormat="1" applyFont="1" applyBorder="1" applyAlignment="1">
      <alignment wrapText="1"/>
    </xf>
    <xf numFmtId="0" fontId="0" fillId="0" borderId="48" xfId="0" applyNumberFormat="1" applyBorder="1"/>
    <xf numFmtId="0" fontId="1" fillId="0" borderId="34" xfId="702" applyNumberFormat="1" applyBorder="1" applyAlignment="1">
      <alignment horizontal="left" wrapText="1" indent="1"/>
    </xf>
    <xf numFmtId="0" fontId="0" fillId="0" borderId="48" xfId="0" applyNumberFormat="1" applyBorder="1" applyAlignment="1">
      <alignment wrapText="1"/>
    </xf>
    <xf numFmtId="0" fontId="1" fillId="0" borderId="41" xfId="702" applyNumberFormat="1" applyBorder="1" applyAlignment="1">
      <alignment horizontal="left" wrapText="1" indent="1"/>
    </xf>
    <xf numFmtId="0" fontId="0" fillId="0" borderId="41" xfId="0" applyNumberFormat="1" applyBorder="1" applyAlignment="1">
      <alignment horizontal="left" indent="1"/>
    </xf>
    <xf numFmtId="0" fontId="1" fillId="0" borderId="41" xfId="702" applyNumberFormat="1" applyBorder="1" applyAlignment="1">
      <alignment horizontal="left" indent="1"/>
    </xf>
    <xf numFmtId="0" fontId="0" fillId="0" borderId="41" xfId="0" applyBorder="1"/>
    <xf numFmtId="0" fontId="0" fillId="0" borderId="34" xfId="0" applyBorder="1" applyAlignment="1">
      <alignment wrapText="1"/>
    </xf>
    <xf numFmtId="0" fontId="13" fillId="10" borderId="50" xfId="0" applyFont="1" applyFill="1" applyBorder="1" applyProtection="1">
      <protection hidden="1"/>
    </xf>
    <xf numFmtId="0" fontId="13" fillId="0" borderId="3" xfId="0" applyFont="1" applyBorder="1" applyAlignment="1" applyProtection="1">
      <alignment horizontal="center"/>
      <protection hidden="1"/>
    </xf>
    <xf numFmtId="166" fontId="8" fillId="0" borderId="34" xfId="0" applyNumberFormat="1" applyFont="1" applyBorder="1" applyAlignment="1" applyProtection="1">
      <alignment horizontal="center"/>
      <protection hidden="1"/>
    </xf>
    <xf numFmtId="0" fontId="8" fillId="5" borderId="50" xfId="0" applyFont="1" applyFill="1" applyBorder="1" applyAlignment="1" applyProtection="1">
      <protection hidden="1"/>
    </xf>
    <xf numFmtId="0" fontId="8" fillId="0" borderId="41" xfId="0" applyFont="1" applyBorder="1" applyAlignment="1" applyProtection="1">
      <alignment horizontal="center"/>
      <protection hidden="1"/>
    </xf>
    <xf numFmtId="0" fontId="13" fillId="0" borderId="34" xfId="0" applyFont="1" applyBorder="1" applyAlignment="1" applyProtection="1">
      <alignment horizontal="center"/>
      <protection hidden="1"/>
    </xf>
    <xf numFmtId="0" fontId="14" fillId="11" borderId="51" xfId="786" applyFont="1" applyProtection="1">
      <protection locked="0"/>
    </xf>
    <xf numFmtId="0" fontId="0" fillId="3" borderId="61" xfId="0" applyFont="1" applyFill="1" applyBorder="1" applyAlignment="1" applyProtection="1">
      <alignment horizontal="left"/>
      <protection locked="0"/>
    </xf>
    <xf numFmtId="0" fontId="0" fillId="3" borderId="45" xfId="0" applyFont="1" applyFill="1" applyBorder="1" applyAlignment="1" applyProtection="1">
      <alignment horizontal="left"/>
      <protection locked="0"/>
    </xf>
    <xf numFmtId="0" fontId="0" fillId="3" borderId="46" xfId="0" applyFont="1" applyFill="1" applyBorder="1" applyAlignment="1" applyProtection="1">
      <alignment horizontal="left"/>
      <protection locked="0"/>
    </xf>
    <xf numFmtId="0" fontId="0" fillId="4" borderId="62" xfId="0" applyFont="1" applyFill="1" applyBorder="1" applyAlignment="1" applyProtection="1">
      <alignment horizontal="left"/>
      <protection locked="0"/>
    </xf>
    <xf numFmtId="0" fontId="0" fillId="4" borderId="57" xfId="0" applyFont="1" applyFill="1" applyBorder="1" applyAlignment="1" applyProtection="1">
      <alignment horizontal="left"/>
      <protection locked="0"/>
    </xf>
    <xf numFmtId="0" fontId="0" fillId="4" borderId="58" xfId="0" applyFont="1" applyFill="1" applyBorder="1" applyAlignment="1" applyProtection="1">
      <alignment horizontal="left"/>
      <protection locked="0"/>
    </xf>
    <xf numFmtId="0" fontId="0" fillId="0" borderId="0" xfId="0" applyProtection="1"/>
    <xf numFmtId="0" fontId="3" fillId="6" borderId="30" xfId="0" applyFont="1" applyFill="1" applyBorder="1" applyProtection="1"/>
    <xf numFmtId="0" fontId="3" fillId="5" borderId="29" xfId="0" applyFont="1" applyFill="1" applyBorder="1" applyProtection="1"/>
    <xf numFmtId="0" fontId="3" fillId="5" borderId="47" xfId="0" applyFont="1" applyFill="1" applyBorder="1" applyProtection="1"/>
    <xf numFmtId="0" fontId="3" fillId="5" borderId="38" xfId="0" applyFont="1" applyFill="1" applyBorder="1" applyProtection="1"/>
    <xf numFmtId="0" fontId="3" fillId="5" borderId="16" xfId="0" applyFont="1" applyFill="1" applyBorder="1" applyProtection="1"/>
    <xf numFmtId="0" fontId="3" fillId="5" borderId="17" xfId="0" applyFont="1" applyFill="1" applyBorder="1" applyProtection="1"/>
    <xf numFmtId="0" fontId="3" fillId="5" borderId="2"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164" fontId="0" fillId="0" borderId="36" xfId="0" applyNumberFormat="1" applyFont="1" applyBorder="1" applyAlignment="1" applyProtection="1">
      <alignment horizontal="right"/>
    </xf>
    <xf numFmtId="0" fontId="3" fillId="5" borderId="18" xfId="0" applyFont="1" applyFill="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164" fontId="0" fillId="5" borderId="28" xfId="0" applyNumberFormat="1" applyFont="1" applyFill="1" applyBorder="1" applyProtection="1"/>
    <xf numFmtId="164" fontId="0" fillId="5" borderId="35" xfId="0" applyNumberFormat="1" applyFont="1" applyFill="1" applyBorder="1" applyAlignment="1" applyProtection="1">
      <alignment horizontal="right"/>
    </xf>
    <xf numFmtId="0" fontId="0" fillId="7" borderId="0" xfId="0" applyFill="1" applyProtection="1"/>
    <xf numFmtId="0" fontId="0" fillId="0" borderId="0" xfId="0" applyBorder="1" applyAlignment="1" applyProtection="1">
      <alignment wrapText="1"/>
    </xf>
    <xf numFmtId="0" fontId="0" fillId="3" borderId="44" xfId="0" applyNumberFormat="1" applyFont="1" applyFill="1" applyBorder="1" applyAlignment="1" applyProtection="1">
      <alignment horizontal="center"/>
    </xf>
    <xf numFmtId="0" fontId="12" fillId="2" borderId="42" xfId="0" applyFont="1" applyFill="1" applyBorder="1" applyAlignment="1" applyProtection="1">
      <alignment horizontal="center"/>
    </xf>
    <xf numFmtId="0" fontId="0" fillId="8" borderId="42" xfId="0" applyFont="1" applyFill="1" applyBorder="1" applyAlignment="1" applyProtection="1">
      <alignment horizontal="center"/>
    </xf>
    <xf numFmtId="0" fontId="10" fillId="7" borderId="42" xfId="0" applyFont="1" applyFill="1" applyBorder="1" applyAlignment="1" applyProtection="1">
      <alignment horizontal="center"/>
    </xf>
    <xf numFmtId="0" fontId="6" fillId="0" borderId="55" xfId="0" quotePrefix="1" applyFont="1" applyBorder="1" applyProtection="1"/>
    <xf numFmtId="0" fontId="11" fillId="8" borderId="43" xfId="0" applyFont="1" applyFill="1" applyBorder="1" applyAlignment="1" applyProtection="1">
      <alignment horizontal="center"/>
    </xf>
    <xf numFmtId="0" fontId="8" fillId="3" borderId="59" xfId="0" applyFont="1" applyFill="1" applyBorder="1" applyAlignment="1" applyProtection="1">
      <alignment horizontal="center"/>
    </xf>
    <xf numFmtId="0" fontId="6" fillId="0" borderId="56" xfId="0" applyFont="1" applyBorder="1" applyProtection="1"/>
    <xf numFmtId="0" fontId="8" fillId="4" borderId="60" xfId="0" applyFont="1" applyFill="1" applyBorder="1" applyAlignment="1" applyProtection="1">
      <alignment horizontal="center"/>
    </xf>
    <xf numFmtId="0" fontId="8" fillId="0" borderId="0" xfId="0" applyFont="1" applyProtection="1"/>
    <xf numFmtId="0" fontId="8" fillId="7" borderId="0" xfId="0" applyFont="1" applyFill="1" applyProtection="1"/>
    <xf numFmtId="0" fontId="8" fillId="0" borderId="11" xfId="0" applyFont="1" applyBorder="1" applyProtection="1"/>
    <xf numFmtId="0" fontId="8" fillId="0" borderId="0" xfId="0" applyFont="1" applyBorder="1" applyProtection="1"/>
    <xf numFmtId="0" fontId="8"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5"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7" borderId="0" xfId="0" applyNumberFormat="1" applyFill="1" applyProtection="1"/>
    <xf numFmtId="0" fontId="0" fillId="0" borderId="0" xfId="0" applyBorder="1" applyProtection="1"/>
    <xf numFmtId="0" fontId="0" fillId="0" borderId="0" xfId="0" applyNumberFormat="1" applyBorder="1" applyProtection="1"/>
    <xf numFmtId="0" fontId="0" fillId="7" borderId="0" xfId="0" applyNumberFormat="1" applyFill="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52" xfId="0" applyFont="1" applyFill="1" applyBorder="1" applyAlignment="1" applyProtection="1">
      <alignment horizontal="center"/>
      <protection locked="0"/>
    </xf>
    <xf numFmtId="0" fontId="0" fillId="4" borderId="57" xfId="0" applyFont="1" applyFill="1" applyBorder="1" applyAlignment="1" applyProtection="1">
      <alignment horizontal="center"/>
      <protection locked="0"/>
    </xf>
    <xf numFmtId="0" fontId="0" fillId="0" borderId="0" xfId="0" applyFont="1" applyProtection="1"/>
    <xf numFmtId="167" fontId="0" fillId="0" borderId="0" xfId="0" applyNumberFormat="1" applyFont="1" applyProtection="1"/>
    <xf numFmtId="38" fontId="0" fillId="0" borderId="0" xfId="0" applyNumberFormat="1" applyFont="1" applyProtection="1"/>
    <xf numFmtId="38" fontId="0" fillId="5" borderId="65" xfId="0" applyNumberFormat="1" applyFont="1" applyFill="1" applyBorder="1" applyAlignment="1" applyProtection="1">
      <alignment horizontal="right"/>
    </xf>
    <xf numFmtId="38" fontId="0" fillId="5" borderId="35" xfId="0" applyNumberFormat="1" applyFont="1" applyFill="1" applyBorder="1" applyAlignment="1" applyProtection="1">
      <alignment horizontal="right"/>
    </xf>
    <xf numFmtId="0" fontId="8" fillId="6" borderId="30" xfId="0" applyFont="1" applyFill="1" applyBorder="1" applyProtection="1"/>
    <xf numFmtId="0" fontId="8" fillId="5" borderId="47" xfId="0" applyFont="1" applyFill="1" applyBorder="1" applyProtection="1"/>
    <xf numFmtId="0" fontId="8" fillId="5" borderId="38" xfId="0" applyFont="1" applyFill="1" applyBorder="1" applyProtection="1"/>
    <xf numFmtId="0" fontId="8" fillId="5" borderId="2" xfId="0" applyFont="1" applyFill="1" applyBorder="1" applyProtection="1"/>
    <xf numFmtId="167" fontId="0" fillId="0" borderId="6" xfId="0" applyNumberFormat="1" applyFont="1" applyBorder="1" applyProtection="1"/>
    <xf numFmtId="167" fontId="0" fillId="0" borderId="24" xfId="0" applyNumberFormat="1" applyFont="1" applyBorder="1" applyAlignment="1" applyProtection="1">
      <alignment horizontal="right"/>
    </xf>
    <xf numFmtId="0" fontId="8" fillId="6" borderId="26" xfId="0" applyFont="1" applyFill="1" applyBorder="1" applyProtection="1"/>
    <xf numFmtId="167" fontId="0" fillId="5" borderId="28" xfId="0" applyNumberFormat="1" applyFont="1" applyFill="1" applyBorder="1" applyProtection="1"/>
    <xf numFmtId="167" fontId="0" fillId="5" borderId="35" xfId="0" applyNumberFormat="1" applyFont="1" applyFill="1" applyBorder="1" applyAlignment="1" applyProtection="1">
      <alignment horizontal="right"/>
    </xf>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7" fillId="0" borderId="4" xfId="447" applyNumberFormat="1" applyFill="1" applyBorder="1" applyProtection="1"/>
    <xf numFmtId="164" fontId="7" fillId="0" borderId="0" xfId="447" applyNumberFormat="1" applyFill="1" applyProtection="1"/>
    <xf numFmtId="3" fontId="7" fillId="0" borderId="4" xfId="447" applyNumberFormat="1" applyFill="1" applyBorder="1" applyProtection="1"/>
    <xf numFmtId="167" fontId="0" fillId="0" borderId="0" xfId="0" applyNumberFormat="1" applyProtection="1"/>
    <xf numFmtId="0" fontId="0" fillId="0" borderId="1" xfId="0" applyBorder="1" applyProtection="1"/>
    <xf numFmtId="0" fontId="0" fillId="0" borderId="41" xfId="0" applyNumberFormat="1" applyBorder="1" applyAlignment="1" applyProtection="1">
      <alignment horizontal="left" wrapText="1" indent="1"/>
      <protection locked="0"/>
    </xf>
    <xf numFmtId="0" fontId="8" fillId="5" borderId="25" xfId="0" applyFont="1" applyFill="1" applyBorder="1" applyAlignment="1" applyProtection="1">
      <protection hidden="1"/>
    </xf>
    <xf numFmtId="0" fontId="0" fillId="0" borderId="19" xfId="0" applyBorder="1" applyAlignment="1" applyProtection="1"/>
    <xf numFmtId="0" fontId="0" fillId="0" borderId="20" xfId="0" applyBorder="1" applyAlignment="1" applyProtection="1"/>
    <xf numFmtId="0" fontId="8" fillId="5" borderId="29" xfId="0" applyFont="1" applyFill="1" applyBorder="1" applyAlignment="1" applyProtection="1">
      <protection hidden="1"/>
    </xf>
    <xf numFmtId="0" fontId="0" fillId="0" borderId="47" xfId="0" applyBorder="1" applyAlignment="1" applyProtection="1"/>
    <xf numFmtId="0" fontId="0" fillId="0" borderId="38"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22" xfId="0" applyBorder="1" applyAlignment="1" applyProtection="1"/>
    <xf numFmtId="0" fontId="0" fillId="0" borderId="49" xfId="0" applyBorder="1" applyAlignment="1" applyProtection="1"/>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4" fillId="0" borderId="64" xfId="0" applyFont="1" applyBorder="1" applyAlignment="1" applyProtection="1">
      <alignment horizontal="left" indent="1"/>
    </xf>
    <xf numFmtId="0" fontId="4" fillId="0" borderId="14" xfId="0" applyFont="1" applyBorder="1" applyAlignment="1" applyProtection="1">
      <alignment horizontal="left" indent="1"/>
    </xf>
    <xf numFmtId="0" fontId="4" fillId="0" borderId="15" xfId="0" applyFont="1" applyBorder="1" applyAlignment="1" applyProtection="1">
      <alignment horizontal="left" indent="1"/>
    </xf>
    <xf numFmtId="0" fontId="17" fillId="0" borderId="8" xfId="0" applyFont="1" applyBorder="1" applyAlignment="1" applyProtection="1">
      <alignment horizontal="left" vertical="top" wrapText="1" indent="1"/>
    </xf>
    <xf numFmtId="0" fontId="17" fillId="0" borderId="9" xfId="0" applyFont="1" applyBorder="1" applyAlignment="1" applyProtection="1">
      <alignment horizontal="left" vertical="top" wrapText="1" indent="1"/>
    </xf>
    <xf numFmtId="0" fontId="18" fillId="0" borderId="10" xfId="0" applyFont="1" applyBorder="1" applyAlignment="1" applyProtection="1">
      <alignment wrapText="1"/>
    </xf>
    <xf numFmtId="0" fontId="17" fillId="0" borderId="11" xfId="0" applyFont="1" applyBorder="1" applyAlignment="1" applyProtection="1">
      <alignment horizontal="left" vertical="top" wrapText="1" indent="1"/>
    </xf>
    <xf numFmtId="0" fontId="17" fillId="0" borderId="0" xfId="0" applyFont="1" applyBorder="1" applyAlignment="1" applyProtection="1">
      <alignment horizontal="left" vertical="top" wrapText="1" indent="1"/>
    </xf>
    <xf numFmtId="0" fontId="18" fillId="0" borderId="12" xfId="0" applyFont="1" applyBorder="1" applyAlignment="1" applyProtection="1">
      <alignment wrapText="1"/>
    </xf>
    <xf numFmtId="0" fontId="17" fillId="0" borderId="13" xfId="0" applyFont="1" applyBorder="1" applyAlignment="1" applyProtection="1">
      <alignment horizontal="left" vertical="top" wrapText="1" indent="1"/>
    </xf>
    <xf numFmtId="0" fontId="17" fillId="0" borderId="14" xfId="0" applyFont="1" applyBorder="1" applyAlignment="1" applyProtection="1">
      <alignment horizontal="left" vertical="top" wrapText="1" indent="1"/>
    </xf>
    <xf numFmtId="0" fontId="18" fillId="0" borderId="15" xfId="0" applyFont="1" applyBorder="1" applyAlignment="1" applyProtection="1">
      <alignment wrapText="1"/>
    </xf>
    <xf numFmtId="0" fontId="3" fillId="6" borderId="21" xfId="0" applyFont="1" applyFill="1" applyBorder="1" applyAlignment="1" applyProtection="1"/>
    <xf numFmtId="0" fontId="0" fillId="6" borderId="22" xfId="0" applyFill="1" applyBorder="1" applyAlignment="1" applyProtection="1"/>
    <xf numFmtId="0" fontId="0" fillId="6" borderId="54" xfId="0" applyFill="1" applyBorder="1" applyAlignment="1" applyProtection="1"/>
    <xf numFmtId="0" fontId="3" fillId="6" borderId="53" xfId="0" applyFont="1" applyFill="1" applyBorder="1" applyAlignment="1" applyProtection="1"/>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0" fillId="0" borderId="10" xfId="0" applyBorder="1" applyAlignment="1" applyProtection="1"/>
    <xf numFmtId="0" fontId="5" fillId="9" borderId="11" xfId="0" applyFont="1" applyFill="1" applyBorder="1" applyAlignment="1" applyProtection="1">
      <alignment horizontal="center"/>
    </xf>
    <xf numFmtId="0" fontId="5" fillId="9" borderId="0" xfId="0" applyFont="1" applyFill="1" applyBorder="1" applyAlignment="1" applyProtection="1">
      <alignment horizontal="center"/>
    </xf>
    <xf numFmtId="0" fontId="0" fillId="0" borderId="12" xfId="0" applyBorder="1" applyAlignment="1" applyProtection="1"/>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0" fillId="0" borderId="15" xfId="0" applyBorder="1" applyAlignment="1" applyProtection="1"/>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9" borderId="10" xfId="0" applyFont="1" applyFill="1" applyBorder="1" applyAlignment="1" applyProtection="1">
      <alignment horizontal="center"/>
    </xf>
    <xf numFmtId="0" fontId="5" fillId="9" borderId="15" xfId="0" applyFont="1" applyFill="1" applyBorder="1" applyAlignment="1" applyProtection="1">
      <alignment horizontal="center"/>
    </xf>
    <xf numFmtId="0" fontId="0" fillId="6" borderId="23" xfId="0" applyFill="1" applyBorder="1" applyAlignment="1" applyProtection="1"/>
    <xf numFmtId="0" fontId="8" fillId="6" borderId="21" xfId="0" applyFont="1" applyFill="1" applyBorder="1" applyAlignment="1" applyProtection="1"/>
    <xf numFmtId="0" fontId="0" fillId="6" borderId="22" xfId="0" applyFont="1" applyFill="1" applyBorder="1" applyAlignment="1" applyProtection="1"/>
    <xf numFmtId="0" fontId="0" fillId="6" borderId="23" xfId="0" applyFont="1" applyFill="1" applyBorder="1" applyAlignment="1" applyProtection="1"/>
    <xf numFmtId="0" fontId="8" fillId="6" borderId="26" xfId="0" applyFont="1" applyFill="1" applyBorder="1" applyProtection="1"/>
    <xf numFmtId="0" fontId="8" fillId="6" borderId="28" xfId="0" applyFont="1" applyFill="1" applyBorder="1" applyProtection="1"/>
    <xf numFmtId="0" fontId="8" fillId="6" borderId="39" xfId="0" applyFont="1" applyFill="1" applyBorder="1" applyProtection="1"/>
    <xf numFmtId="0" fontId="8" fillId="6" borderId="63" xfId="0" applyFont="1" applyFill="1" applyBorder="1" applyProtection="1"/>
    <xf numFmtId="0" fontId="0" fillId="0" borderId="0" xfId="0" applyAlignment="1" applyProtection="1">
      <alignment wrapText="1"/>
    </xf>
    <xf numFmtId="0" fontId="0" fillId="0" borderId="0" xfId="0" applyAlignment="1" applyProtection="1"/>
    <xf numFmtId="0" fontId="8" fillId="0" borderId="37" xfId="0" applyNumberFormat="1" applyFont="1" applyBorder="1" applyAlignment="1">
      <alignment wrapText="1"/>
    </xf>
    <xf numFmtId="0" fontId="8" fillId="0" borderId="38" xfId="0" applyNumberFormat="1" applyFont="1" applyBorder="1" applyAlignment="1">
      <alignment wrapText="1"/>
    </xf>
    <xf numFmtId="0" fontId="5" fillId="9" borderId="66" xfId="0" applyFont="1" applyFill="1" applyBorder="1" applyAlignment="1" applyProtection="1">
      <alignment horizontal="center"/>
    </xf>
    <xf numFmtId="0" fontId="0" fillId="0" borderId="67" xfId="0" applyBorder="1" applyAlignment="1" applyProtection="1"/>
    <xf numFmtId="0" fontId="0" fillId="0" borderId="68" xfId="0" applyBorder="1" applyAlignment="1" applyProtection="1"/>
    <xf numFmtId="0" fontId="16" fillId="12" borderId="66" xfId="0" applyFont="1" applyFill="1" applyBorder="1" applyAlignment="1" applyProtection="1">
      <alignment horizontal="center"/>
    </xf>
    <xf numFmtId="0" fontId="16" fillId="12" borderId="67" xfId="0" applyFont="1" applyFill="1" applyBorder="1" applyAlignment="1" applyProtection="1">
      <alignment horizontal="center"/>
    </xf>
    <xf numFmtId="0" fontId="16" fillId="12" borderId="68" xfId="0" applyFont="1" applyFill="1" applyBorder="1" applyAlignment="1" applyProtection="1">
      <alignment horizontal="center"/>
    </xf>
  </cellXfs>
  <cellStyles count="90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29">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0"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color theme="1" tint="0.34998626667073579"/>
      </font>
      <fill>
        <patternFill patternType="solid">
          <fgColor indexed="64"/>
          <bgColor theme="1" tint="0.34998626667073579"/>
        </patternFill>
      </fil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solid">
          <fgColor indexed="64"/>
          <bgColor rgb="FFFF0000"/>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solid">
          <fgColor indexed="64"/>
          <bgColor rgb="FFFF0000"/>
        </patternFill>
      </fill>
      <protection locked="1"/>
    </dxf>
    <dxf>
      <numFmt numFmtId="0" formatCode="General"/>
      <protection locked="1"/>
    </dxf>
    <dxf>
      <numFmt numFmtId="0" formatCode="General"/>
      <protection locked="1"/>
    </dxf>
    <dxf>
      <protection locked="1"/>
    </dxf>
    <dxf>
      <protection locked="1"/>
    </dxf>
    <dxf>
      <protection locked="1"/>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border diagonalUp="0" diagonalDown="0">
        <left style="thick">
          <color rgb="FFFF0000"/>
        </left>
        <right/>
        <top/>
        <bottom/>
      </border>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ill>
        <patternFill patternType="solid">
          <fgColor indexed="64"/>
          <bgColor rgb="FFFF0000"/>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urrentCnt" displayName="CurrentCnt" ref="A18:S67" totalsRowShown="0" headerRowDxfId="221" dataDxfId="220">
  <autoFilter ref="A18:S67"/>
  <tableColumns count="19">
    <tableColumn id="1" name="Building or Upgrade" dataDxfId="219"/>
    <tableColumn id="14" name="Kind" dataDxfId="218">
      <calculatedColumnFormula>VLOOKUP(CurrentCnt[[#This Row],[Building or Upgrade]],Upgrades[],2,FALSE)</calculatedColumnFormula>
    </tableColumn>
    <tableColumn id="15" name="Resource" dataDxfId="217">
      <calculatedColumnFormula>VLOOKUP(CurrentCnt[Building or Upgrade],Upgrades[],3,FALSE)</calculatedColumnFormula>
    </tableColumn>
    <tableColumn id="21" name="MatchStr" dataDxfId="216">
      <calculatedColumnFormula>IF((IFERROR(MATCH(CurrentCnt[[#This Row],[Building or Upgrade]],$O$16:$S$16,0),0)+IFERROR(MATCH(CurrentCnt[[#This Row],[Building or Upgrade]],$O$17:$S$17,0),0))&gt;0,"IGNORE",CurrentCnt[Kind]&amp;"-"&amp;CurrentCnt[Resource])</calculatedColumnFormula>
    </tableColumn>
    <tableColumn id="2" name="Available" dataDxfId="215">
      <calculatedColumnFormula>IF(AND(CurrentCnt[[#This Row],[Kind]]="Upgrade",LabLevel=0),0,VLOOKUP(CurrentCnt[Building or Upgrade],QuantAvail[],1+IF(CurrentCnt[[#This Row],[Kind]]="Upgrade",LabLevel,THLevel),FALSE))</calculatedColumnFormula>
    </tableColumn>
    <tableColumn id="3" name="Maximum Level" dataDxfId="214">
      <calculatedColumnFormula>IF(AND(CurrentCnt[[#This Row],[Kind]]="Upgrade",LabLevel=0),0,VLOOKUP(CurrentCnt[Building or Upgrade],MaxLevel[],1+IF(CurrentCnt[[#This Row],[Kind]]="Upgrade",LabLevel,THLevel),FALSE))</calculatedColumnFormula>
    </tableColumn>
    <tableColumn id="4" name="Not Built/Upgraded" dataDxfId="213">
      <calculatedColumnFormula>CurrentCnt[[#This Row],[Available]]-SUM(CurrentCnt[[#This Row],[1]:[12]])</calculatedColumnFormula>
    </tableColumn>
    <tableColumn id="5" name="1" dataDxfId="212"/>
    <tableColumn id="6" name="2" dataDxfId="211"/>
    <tableColumn id="7" name="3" dataDxfId="210"/>
    <tableColumn id="8" name="4" dataDxfId="209"/>
    <tableColumn id="9" name="5" dataDxfId="208"/>
    <tableColumn id="10" name="6" dataDxfId="207"/>
    <tableColumn id="11" name="7" dataDxfId="206"/>
    <tableColumn id="12" name="8" dataDxfId="205"/>
    <tableColumn id="13" name="9" dataDxfId="204"/>
    <tableColumn id="16" name="10" dataDxfId="203"/>
    <tableColumn id="17" name="11" dataDxfId="202"/>
    <tableColumn id="18" name="12" dataDxfId="201"/>
  </tableColumns>
  <tableStyleInfo name="TableStyleDark10" showFirstColumn="1" showLastColumn="0" showRowStripes="1" showColumnStripes="0"/>
</table>
</file>

<file path=xl/tables/table2.xml><?xml version="1.0" encoding="utf-8"?>
<table xmlns="http://schemas.openxmlformats.org/spreadsheetml/2006/main" id="8" name="CostRemaining" displayName="CostRemaining" ref="A70:R119" totalsRowShown="0" headerRowDxfId="200" dataDxfId="199">
  <autoFilter ref="A70:R119"/>
  <tableColumns count="18">
    <tableColumn id="1" name="Cost" dataDxfId="198"/>
    <tableColumn id="15" name="Kind" dataDxfId="197">
      <calculatedColumnFormula>VLOOKUP(CostRemaining[[#This Row],[Cost]],Upgrades[],2,FALSE)</calculatedColumnFormula>
    </tableColumn>
    <tableColumn id="2" name="Resource" dataDxfId="196">
      <calculatedColumnFormula>VLOOKUP(CostRemaining[[#This Row],[Cost]],Upgrades[],3,FALSE)</calculatedColumnFormula>
    </tableColumn>
    <tableColumn id="18" name="MatchStr" dataDxfId="195">
      <calculatedColumnFormula>IF((IFERROR(MATCH(CostRemaining[[#This Row],[Cost]],$O$16:$S$16,0),0)+IFERROR(MATCH(CostRemaining[[#This Row],[Cost]],$O$17:$S$17,0),0))&gt;0,"IGNORE",CostRemaining[Kind]&amp;"-"&amp;CostRemaining[Resource])</calculatedColumnFormula>
    </tableColumn>
    <tableColumn id="14" name="Next" dataDxfId="194">
      <calculatedColumnFormula>IFERROR(VLOOKUP(CostRemaining[[#This Row],[Cost]],Upgrades[],MATCH("C"&amp;MATCH(TRUE,INDEX(CostRemaining[[#This Row],[1]:[12]]&lt;&gt;0,),0),Upgrades[#Headers],0),FALSE),"")</calculatedColumnFormula>
    </tableColumn>
    <tableColumn id="3" name="1" dataDxfId="193">
      <calculatedColumnFormula>IF(VALUE(CostRemaining[#Headers])&lt;=$F19,IFERROR(VLOOKUP(CostRemaining[[#This Row],[Cost]],Upgrades[],MATCH("C"&amp;CostRemaining[#Headers],Upgrades[#Headers],0),FALSE),0)*MAX(0,SUM($G19:G19)),0)</calculatedColumnFormula>
    </tableColumn>
    <tableColumn id="4" name="2" dataDxfId="192">
      <calculatedColumnFormula>IF(VALUE(CostRemaining[#Headers])&lt;=$F19,IFERROR(VLOOKUP(CostRemaining[[#This Row],[Cost]],Upgrades[],MATCH("C"&amp;CostRemaining[#Headers],Upgrades[#Headers],0),FALSE),0)*MAX(0,SUM($G19:H19)),0)</calculatedColumnFormula>
    </tableColumn>
    <tableColumn id="5" name="3" dataDxfId="191">
      <calculatedColumnFormula>IF(VALUE(CostRemaining[#Headers])&lt;=$F19,IFERROR(VLOOKUP(CostRemaining[[#This Row],[Cost]],Upgrades[],MATCH("C"&amp;CostRemaining[#Headers],Upgrades[#Headers],0),FALSE),0)*MAX(0,SUM($G19:I19)),0)</calculatedColumnFormula>
    </tableColumn>
    <tableColumn id="6" name="4" dataDxfId="190">
      <calculatedColumnFormula>IF(VALUE(CostRemaining[#Headers])&lt;=$F19,IFERROR(VLOOKUP(CostRemaining[[#This Row],[Cost]],Upgrades[],MATCH("C"&amp;CostRemaining[#Headers],Upgrades[#Headers],0),FALSE),0)*MAX(0,SUM($G19:J19)),0)</calculatedColumnFormula>
    </tableColumn>
    <tableColumn id="7" name="5" dataDxfId="189">
      <calculatedColumnFormula>IF(VALUE(CostRemaining[#Headers])&lt;=$F19,IFERROR(VLOOKUP(CostRemaining[[#This Row],[Cost]],Upgrades[],MATCH("C"&amp;CostRemaining[#Headers],Upgrades[#Headers],0),FALSE),0)*MAX(0,SUM($G19:K19)),0)</calculatedColumnFormula>
    </tableColumn>
    <tableColumn id="8" name="6" dataDxfId="188">
      <calculatedColumnFormula>IF(VALUE(CostRemaining[#Headers])&lt;=$F19,IFERROR(VLOOKUP(CostRemaining[[#This Row],[Cost]],Upgrades[],MATCH("C"&amp;CostRemaining[#Headers],Upgrades[#Headers],0),FALSE),0)*MAX(0,SUM($G19:L19)),0)</calculatedColumnFormula>
    </tableColumn>
    <tableColumn id="9" name="7" dataDxfId="187">
      <calculatedColumnFormula>IF(VALUE(CostRemaining[#Headers])&lt;=$F19,IFERROR(VLOOKUP(CostRemaining[[#This Row],[Cost]],Upgrades[],MATCH("C"&amp;CostRemaining[#Headers],Upgrades[#Headers],0),FALSE),0)*MAX(0,SUM($G19:M19)),0)</calculatedColumnFormula>
    </tableColumn>
    <tableColumn id="10" name="8" dataDxfId="186">
      <calculatedColumnFormula>IF(VALUE(CostRemaining[#Headers])&lt;=$F19,IFERROR(VLOOKUP(CostRemaining[[#This Row],[Cost]],Upgrades[],MATCH("C"&amp;CostRemaining[#Headers],Upgrades[#Headers],0),FALSE),0)*MAX(0,SUM($G19:N19)),0)</calculatedColumnFormula>
    </tableColumn>
    <tableColumn id="11" name="9" dataDxfId="185">
      <calculatedColumnFormula>IF(VALUE(CostRemaining[#Headers])&lt;=$F19,IFERROR(VLOOKUP(CostRemaining[[#This Row],[Cost]],Upgrades[],MATCH("C"&amp;CostRemaining[#Headers],Upgrades[#Headers],0),FALSE),0)*MAX(0,SUM($G19:O19)),0)</calculatedColumnFormula>
    </tableColumn>
    <tableColumn id="12" name="10" dataDxfId="184">
      <calculatedColumnFormula>IF(VALUE(CostRemaining[#Headers])&lt;=$F19,IFERROR(VLOOKUP(CostRemaining[[#This Row],[Cost]],Upgrades[],MATCH("C"&amp;CostRemaining[#Headers],Upgrades[#Headers],0),FALSE),0)*MAX(0,SUM($G19:P19)),0)</calculatedColumnFormula>
    </tableColumn>
    <tableColumn id="13" name="11" dataDxfId="183">
      <calculatedColumnFormula>IF(VALUE(CostRemaining[#Headers])&lt;=$F19,IFERROR(VLOOKUP(CostRemaining[[#This Row],[Cost]],Upgrades[],MATCH("C"&amp;CostRemaining[#Headers],Upgrades[#Headers],0),FALSE),0)*MAX(0,SUM($G19:Q19)),0)</calculatedColumnFormula>
    </tableColumn>
    <tableColumn id="16" name="12" dataDxfId="182">
      <calculatedColumnFormula>IF(VALUE(CostRemaining[#Headers])&lt;=$F19,IFERROR(VLOOKUP(CostRemaining[[#This Row],[Cost]],Upgrades[],MATCH("C"&amp;CostRemaining[#Headers],Upgrades[#Headers],0),FALSE),0)*MAX(0,SUM($G19:R19)),0)</calculatedColumnFormula>
    </tableColumn>
    <tableColumn id="17" name="Sum" dataDxfId="181">
      <calculatedColumnFormula>IF(CostRemaining[[#This Row],[MatchStr]]="IGNORE",0,SUM(CostRemaining[[#This Row],[1]:[12]]))</calculatedColumnFormula>
    </tableColumn>
  </tableColumns>
  <tableStyleInfo name="TableStyleMedium9" showFirstColumn="0" showLastColumn="1" showRowStripes="1" showColumnStripes="0"/>
</table>
</file>

<file path=xl/tables/table3.xml><?xml version="1.0" encoding="utf-8"?>
<table xmlns="http://schemas.openxmlformats.org/spreadsheetml/2006/main" id="9" name="TimeRemaining" displayName="TimeRemaining" ref="A122:R171" totalsRowShown="0" headerRowDxfId="180" dataDxfId="179">
  <autoFilter ref="A122:R171"/>
  <tableColumns count="18">
    <tableColumn id="1" name="Time" dataDxfId="178"/>
    <tableColumn id="15" name="Kind" dataDxfId="177">
      <calculatedColumnFormula>VLOOKUP(TimeRemaining[[#This Row],[Time]],Upgrades[],2,FALSE)</calculatedColumnFormula>
    </tableColumn>
    <tableColumn id="2" name="Resource" dataDxfId="176">
      <calculatedColumnFormula>VLOOKUP(TimeRemaining[[#This Row],[Time]],Upgrades[],3,FALSE)</calculatedColumnFormula>
    </tableColumn>
    <tableColumn id="18" name="MatchStr" dataDxfId="175">
      <calculatedColumnFormula>IF((IFERROR(MATCH(TimeRemaining[[#This Row],[Time]],$O$16:$S$16,0),0)+IFERROR(MATCH(TimeRemaining[[#This Row],[Time]],$O$17:$S$17,0),0))&gt;0,"IGNORE",TimeRemaining[Kind]&amp;"-"&amp;TimeRemaining[Resource])</calculatedColumnFormula>
    </tableColumn>
    <tableColumn id="14" name="Next" dataDxfId="174">
      <calculatedColumnFormula>IFERROR(VLOOKUP(TimeRemaining[[#This Row],[Time]],Upgrades[],MATCH("T"&amp;MATCH(TRUE,INDEX(TimeRemaining[[#This Row],[1]:[12]]&lt;&gt;0,),0),Upgrades[#Headers],0),FALSE),"")</calculatedColumnFormula>
    </tableColumn>
    <tableColumn id="3" name="1" dataDxfId="173">
      <calculatedColumnFormula>IF(VALUE(TimeRemaining[#Headers])&lt;=$F19,IFERROR(VLOOKUP(TimeRemaining[[#This Row],[Time]],Upgrades[],MATCH("T"&amp;TimeRemaining[#Headers],Upgrades[#Headers],0),FALSE),0)*MAX(0,SUM($G19:G19)),0)</calculatedColumnFormula>
    </tableColumn>
    <tableColumn id="4" name="2" dataDxfId="172">
      <calculatedColumnFormula>IF(VALUE(TimeRemaining[#Headers])&lt;=$F19,IFERROR(VLOOKUP(TimeRemaining[[#This Row],[Time]],Upgrades[],MATCH("T"&amp;TimeRemaining[#Headers],Upgrades[#Headers],0),FALSE),0)*MAX(0,SUM($G19:H19)),0)</calculatedColumnFormula>
    </tableColumn>
    <tableColumn id="5" name="3" dataDxfId="171">
      <calculatedColumnFormula>IF(VALUE(TimeRemaining[#Headers])&lt;=$F19,IFERROR(VLOOKUP(TimeRemaining[[#This Row],[Time]],Upgrades[],MATCH("T"&amp;TimeRemaining[#Headers],Upgrades[#Headers],0),FALSE),0)*MAX(0,SUM($G19:I19)),0)</calculatedColumnFormula>
    </tableColumn>
    <tableColumn id="6" name="4" dataDxfId="170">
      <calculatedColumnFormula>IF(VALUE(TimeRemaining[#Headers])&lt;=$F19,IFERROR(VLOOKUP(TimeRemaining[[#This Row],[Time]],Upgrades[],MATCH("T"&amp;TimeRemaining[#Headers],Upgrades[#Headers],0),FALSE),0)*MAX(0,SUM($G19:J19)),0)</calculatedColumnFormula>
    </tableColumn>
    <tableColumn id="7" name="5" dataDxfId="169">
      <calculatedColumnFormula>IF(VALUE(TimeRemaining[#Headers])&lt;=$F19,IFERROR(VLOOKUP(TimeRemaining[[#This Row],[Time]],Upgrades[],MATCH("T"&amp;TimeRemaining[#Headers],Upgrades[#Headers],0),FALSE),0)*MAX(0,SUM($G19:K19)),0)</calculatedColumnFormula>
    </tableColumn>
    <tableColumn id="8" name="6" dataDxfId="168">
      <calculatedColumnFormula>IF(VALUE(TimeRemaining[#Headers])&lt;=$F19,IFERROR(VLOOKUP(TimeRemaining[[#This Row],[Time]],Upgrades[],MATCH("T"&amp;TimeRemaining[#Headers],Upgrades[#Headers],0),FALSE),0)*MAX(0,SUM($G19:L19)),0)</calculatedColumnFormula>
    </tableColumn>
    <tableColumn id="9" name="7" dataDxfId="167">
      <calculatedColumnFormula>IF(VALUE(TimeRemaining[#Headers])&lt;=$F19,IFERROR(VLOOKUP(TimeRemaining[[#This Row],[Time]],Upgrades[],MATCH("T"&amp;TimeRemaining[#Headers],Upgrades[#Headers],0),FALSE),0)*MAX(0,SUM($G19:M19)),0)</calculatedColumnFormula>
    </tableColumn>
    <tableColumn id="10" name="8" dataDxfId="166">
      <calculatedColumnFormula>IF(VALUE(TimeRemaining[#Headers])&lt;=$F19,IFERROR(VLOOKUP(TimeRemaining[[#This Row],[Time]],Upgrades[],MATCH("T"&amp;TimeRemaining[#Headers],Upgrades[#Headers],0),FALSE),0)*MAX(0,SUM($G19:N19)),0)</calculatedColumnFormula>
    </tableColumn>
    <tableColumn id="11" name="9" dataDxfId="165">
      <calculatedColumnFormula>IF(VALUE(TimeRemaining[#Headers])&lt;=$F19,IFERROR(VLOOKUP(TimeRemaining[[#This Row],[Time]],Upgrades[],MATCH("T"&amp;TimeRemaining[#Headers],Upgrades[#Headers],0),FALSE),0)*MAX(0,SUM($G19:O19)),0)</calculatedColumnFormula>
    </tableColumn>
    <tableColumn id="12" name="10" dataDxfId="164">
      <calculatedColumnFormula>IF(VALUE(TimeRemaining[#Headers])&lt;=$F19,IFERROR(VLOOKUP(TimeRemaining[[#This Row],[Time]],Upgrades[],MATCH("T"&amp;TimeRemaining[#Headers],Upgrades[#Headers],0),FALSE),0)*MAX(0,SUM($G19:P19)),0)</calculatedColumnFormula>
    </tableColumn>
    <tableColumn id="13" name="11" dataDxfId="163">
      <calculatedColumnFormula>IF(VALUE(TimeRemaining[#Headers])&lt;=$F19,IFERROR(VLOOKUP(TimeRemaining[[#This Row],[Time]],Upgrades[],MATCH("T"&amp;TimeRemaining[#Headers],Upgrades[#Headers],0),FALSE),0)*MAX(0,SUM($G19:Q19)),0)</calculatedColumnFormula>
    </tableColumn>
    <tableColumn id="16" name="12" dataDxfId="162">
      <calculatedColumnFormula>IF(VALUE(TimeRemaining[#Headers])&lt;=$F19,IFERROR(VLOOKUP(TimeRemaining[[#This Row],[Time]],Upgrades[],MATCH("T"&amp;TimeRemaining[#Headers],Upgrades[#Headers],0),FALSE),0)*MAX(0,SUM($G19:R19)),0)</calculatedColumnFormula>
    </tableColumn>
    <tableColumn id="17" name="Sum" dataDxfId="161">
      <calculatedColumnFormula>IF(TimeRemaining[[#This Row],[MatchStr]]="IGNORE",0,SUM(TimeRemaining[[#This Row],[1]:[12]]))</calculatedColumnFormula>
    </tableColumn>
  </tableColumns>
  <tableStyleInfo name="TableStyleMedium9" showFirstColumn="0" showLastColumn="1" showRowStripes="1" showColumnStripes="0"/>
</table>
</file>

<file path=xl/tables/table4.xml><?xml version="1.0" encoding="utf-8"?>
<table xmlns="http://schemas.openxmlformats.org/spreadsheetml/2006/main" id="1" name="ArmyValue" displayName="ArmyValue" ref="B11:L32" totalsRowCount="1" headerRowDxfId="159" dataDxfId="158" totalsRowDxfId="157">
  <tableColumns count="11">
    <tableColumn id="1" name="Name" totalsRowLabel="Total" dataDxfId="156" totalsRowDxfId="155"/>
    <tableColumn id="12" name="Type" dataDxfId="154" totalsRowDxfId="153">
      <calculatedColumnFormula>INDEX(UnitCosts[Type],MATCH(ArmyValue[[#This Row],[Name]],UnitCosts[Name],0))</calculatedColumnFormula>
    </tableColumn>
    <tableColumn id="2" name="Level" dataDxfId="152" totalsRowDxfId="151">
      <calculatedColumnFormula>IFERROR(MATCH(1,'Construction Dashboard'!H48:S48,0),1)</calculatedColumnFormula>
    </tableColumn>
    <tableColumn id="3" name="Resource" dataDxfId="150" totalsRowDxfId="149">
      <calculatedColumnFormula>INDEX(UnitCosts[Resource],MATCH(ArmyValue[[#This Row],[Name]],UnitCosts[Name],0))</calculatedColumnFormula>
    </tableColumn>
    <tableColumn id="9" name="Cost (Each)" dataDxfId="148" totalsRowDxfId="147">
      <calculatedColumnFormula>VLOOKUP(ArmyValue[[#This Row],[Name]],UnitCosts[],MATCH(TEXT(ArmyValue[[#This Row],[Level]],"#"),UnitCosts[#Headers],0),FALSE)</calculatedColumnFormula>
    </tableColumn>
    <tableColumn id="7" name="Time (Each)" dataDxfId="146" totalsRowDxfId="145">
      <calculatedColumnFormula>INDEX(UnitCosts[Train Time],MATCH(ArmyValue[[#This Row],[Name]],UnitCosts[Name],0))</calculatedColumnFormula>
    </tableColumn>
    <tableColumn id="8" name="Space (Each)" dataDxfId="144" totalsRowDxfId="143">
      <calculatedColumnFormula>INDEX(UnitCosts[Space],MATCH(ArmyValue[[#This Row],[Name]],UnitCosts[Name],0))</calculatedColumnFormula>
    </tableColumn>
    <tableColumn id="5" name="Quantity" totalsRowFunction="sum" dataDxfId="142" totalsRowDxfId="141" dataCellStyle="Input"/>
    <tableColumn id="6" name="Total Cost" dataDxfId="140" totalsRowDxfId="139">
      <calculatedColumnFormula>ArmyValue[[#This Row],[Quantity]]*ArmyValue[[#This Row],[Cost (Each)]]</calculatedColumnFormula>
    </tableColumn>
    <tableColumn id="10" name="Total Time" dataDxfId="138" totalsRowDxfId="137">
      <calculatedColumnFormula>ArmyValue[[#This Row],[Quantity]]*ArmyValue[[#This Row],[Time (Each)]]</calculatedColumnFormula>
    </tableColumn>
    <tableColumn id="11" name="Total Space" totalsRowFunction="sum" dataDxfId="136" totalsRowDxfId="135">
      <calculatedColumnFormula>ArmyValue[[#This Row],[Quantity]]*ArmyValue[[#This Row],[Space (Each)]]</calculatedColumnFormula>
    </tableColumn>
  </tableColumns>
  <tableStyleInfo name="TableStyleMedium9" showFirstColumn="0" showLastColumn="0" showRowStripes="1" showColumnStripes="0"/>
</table>
</file>

<file path=xl/tables/table5.xml><?xml version="1.0" encoding="utf-8"?>
<table xmlns="http://schemas.openxmlformats.org/spreadsheetml/2006/main" id="4" name="Upgrades" displayName="Upgrades" ref="A2:AA51" totalsRowShown="0" headerRowDxfId="78" dataDxfId="77">
  <tableColumns count="27">
    <tableColumn id="1" name="Building" dataDxfId="76"/>
    <tableColumn id="3" name="Kind" dataDxfId="75"/>
    <tableColumn id="2" name="Resource" dataDxfId="74"/>
    <tableColumn id="5" name="C1" dataDxfId="73"/>
    <tableColumn id="6" name="C2" dataDxfId="72"/>
    <tableColumn id="7" name="C3" dataDxfId="71"/>
    <tableColumn id="8" name="C4" dataDxfId="70"/>
    <tableColumn id="9" name="C5" dataDxfId="69"/>
    <tableColumn id="10" name="C6" dataDxfId="68"/>
    <tableColumn id="11" name="C7" dataDxfId="67"/>
    <tableColumn id="12" name="C8" dataDxfId="66"/>
    <tableColumn id="13" name="C9" dataDxfId="65"/>
    <tableColumn id="14" name="C10" dataDxfId="64"/>
    <tableColumn id="15" name="C11" dataDxfId="63"/>
    <tableColumn id="16" name="C12" dataDxfId="62"/>
    <tableColumn id="17" name="T1" dataDxfId="61" dataCellStyle="Normal_Upgrade Costs"/>
    <tableColumn id="18" name="T2" dataDxfId="60" dataCellStyle="Normal_Upgrade Costs"/>
    <tableColumn id="19" name="T3" dataDxfId="59" dataCellStyle="Normal_Upgrade Costs"/>
    <tableColumn id="20" name="T4" dataDxfId="58" dataCellStyle="Normal_Upgrade Costs"/>
    <tableColumn id="21" name="T5" dataDxfId="57" dataCellStyle="Normal_Upgrade Costs"/>
    <tableColumn id="22" name="T6" dataDxfId="56" dataCellStyle="Normal_Upgrade Costs"/>
    <tableColumn id="23" name="T7" dataDxfId="55" dataCellStyle="Normal_Upgrade Costs"/>
    <tableColumn id="24" name="T8" dataDxfId="54" dataCellStyle="Normal_Upgrade Costs"/>
    <tableColumn id="25" name="T9" dataDxfId="53" dataCellStyle="Normal_Upgrade Costs"/>
    <tableColumn id="26" name="T10" dataDxfId="52" dataCellStyle="Normal_Upgrade Costs"/>
    <tableColumn id="27" name="T11" dataDxfId="51" dataCellStyle="Normal_Upgrade Costs"/>
    <tableColumn id="28" name="T12" dataDxfId="50" dataCellStyle="Normal_Upgrade Costs"/>
  </tableColumns>
  <tableStyleInfo name="TableStyleMedium9" showFirstColumn="0" showLastColumn="0" showRowStripes="1" showColumnStripes="0"/>
</table>
</file>

<file path=xl/tables/table6.xml><?xml version="1.0" encoding="utf-8"?>
<table xmlns="http://schemas.openxmlformats.org/spreadsheetml/2006/main" id="5" name="UnitCosts" displayName="UnitCosts" ref="A59:K79" totalsRowShown="0" headerRowDxfId="49" dataDxfId="48">
  <tableColumns count="11">
    <tableColumn id="1" name="Name" dataDxfId="47"/>
    <tableColumn id="2" name="Type" dataDxfId="46"/>
    <tableColumn id="3" name="Resource" dataDxfId="45"/>
    <tableColumn id="16" name="Train Time" dataDxfId="44"/>
    <tableColumn id="15" name="Space" dataDxfId="43"/>
    <tableColumn id="4" name="1" dataDxfId="42"/>
    <tableColumn id="5" name="2" dataDxfId="41"/>
    <tableColumn id="6" name="3" dataDxfId="40"/>
    <tableColumn id="7" name="4" dataDxfId="39"/>
    <tableColumn id="8" name="5" dataDxfId="38"/>
    <tableColumn id="9" name="6" dataDxfId="37"/>
  </tableColumns>
  <tableStyleInfo name="TableStyleMedium9" showFirstColumn="0" showLastColumn="0" showRowStripes="1" showColumnStripes="0"/>
</table>
</file>

<file path=xl/tables/table7.xml><?xml version="1.0" encoding="utf-8"?>
<table xmlns="http://schemas.openxmlformats.org/spreadsheetml/2006/main" id="2" name="QuantAvail" displayName="QuantAvail" ref="A83:K132" totalsRowShown="0" headerRowDxfId="36" dataDxfId="35">
  <autoFilter ref="A83:K132"/>
  <tableColumns count="11">
    <tableColumn id="1" name="Quantity Available" dataDxfId="34"/>
    <tableColumn id="2" name="L1" dataDxfId="33"/>
    <tableColumn id="3" name="L2" dataDxfId="32"/>
    <tableColumn id="4" name="L3" dataDxfId="31"/>
    <tableColumn id="5" name="L4" dataDxfId="30"/>
    <tableColumn id="6" name="L5" dataDxfId="29"/>
    <tableColumn id="7" name="L6" dataDxfId="28"/>
    <tableColumn id="8" name="L7" dataDxfId="27"/>
    <tableColumn id="9" name="L8" dataDxfId="26"/>
    <tableColumn id="10" name="L9" dataDxfId="25"/>
    <tableColumn id="11" name="L10" dataDxfId="24"/>
  </tableColumns>
  <tableStyleInfo name="TableStyleMedium9" showFirstColumn="0" showLastColumn="0" showRowStripes="1" showColumnStripes="0"/>
</table>
</file>

<file path=xl/tables/table8.xml><?xml version="1.0" encoding="utf-8"?>
<table xmlns="http://schemas.openxmlformats.org/spreadsheetml/2006/main" id="3" name="MaxLevel" displayName="MaxLevel" ref="A135:K184" totalsRowShown="0" headerRowDxfId="23" dataDxfId="22">
  <autoFilter ref="A135:K184"/>
  <tableColumns count="11">
    <tableColumn id="1" name="Max Level" dataDxfId="21"/>
    <tableColumn id="2" name="L1" dataDxfId="20"/>
    <tableColumn id="3" name="L2" dataDxfId="19"/>
    <tableColumn id="4" name="L3" dataDxfId="18"/>
    <tableColumn id="5" name="L4" dataDxfId="17"/>
    <tableColumn id="6" name="L5" dataDxfId="16"/>
    <tableColumn id="7" name="L6" dataDxfId="15"/>
    <tableColumn id="8" name="L7" dataDxfId="14"/>
    <tableColumn id="9" name="L8" dataDxfId="13"/>
    <tableColumn id="10" name="L9" dataDxfId="12"/>
    <tableColumn id="11" name="L10" dataDxfId="11"/>
  </tableColumns>
  <tableStyleInfo name="TableStyleMedium9" showFirstColumn="0" showLastColumn="0" showRowStripes="1" showColumnStripes="0"/>
</table>
</file>

<file path=xl/tables/table9.xml><?xml version="1.0" encoding="utf-8"?>
<table xmlns="http://schemas.openxmlformats.org/spreadsheetml/2006/main" id="11" name="Table11" displayName="Table11" ref="A55:I56" headerRowCount="0" totalsRowShown="0" headerRowDxfId="10" dataDxfId="9">
  <tableColumns count="9">
    <tableColumn id="1" name="Column1" dataDxfId="8"/>
    <tableColumn id="2" name="Column2" dataDxfId="7"/>
    <tableColumn id="3" name="Column3" dataDxfId="6"/>
    <tableColumn id="4" name="Column4" dataDxfId="5"/>
    <tableColumn id="5" name="Column5" dataDxfId="4"/>
    <tableColumn id="6" name="Column6" dataDxfId="3"/>
    <tableColumn id="7" name="Column7" dataDxfId="2"/>
    <tableColumn id="8" name="Column8" dataDxfId="1"/>
    <tableColumn id="9" name="Column9" dataDxfId="0"/>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4" Type="http://schemas.openxmlformats.org/officeDocument/2006/relationships/table" Target="../tables/table8.xml"/><Relationship Id="rId5" Type="http://schemas.openxmlformats.org/officeDocument/2006/relationships/table" Target="../tables/table9.xml"/><Relationship Id="rId1" Type="http://schemas.openxmlformats.org/officeDocument/2006/relationships/table" Target="../tables/table5.xml"/><Relationship Id="rId2"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S171"/>
  <sheetViews>
    <sheetView tabSelected="1" topLeftCell="A2" workbookViewId="0">
      <selection activeCell="J21" sqref="J21"/>
    </sheetView>
    <sheetView workbookViewId="1">
      <selection sqref="A1:F2"/>
    </sheetView>
  </sheetViews>
  <sheetFormatPr baseColWidth="10" defaultRowHeight="15" x14ac:dyDescent="0"/>
  <cols>
    <col min="1" max="1" width="20.33203125" style="47" bestFit="1" customWidth="1"/>
    <col min="2" max="2" width="9.6640625" style="47" bestFit="1" customWidth="1"/>
    <col min="3" max="3" width="11" style="47" bestFit="1" customWidth="1"/>
    <col min="4" max="4" width="19.5" style="75" hidden="1" customWidth="1"/>
    <col min="5" max="19" width="17.6640625" style="47" customWidth="1"/>
    <col min="20" max="16384" width="10.83203125" style="47"/>
  </cols>
  <sheetData>
    <row r="1" spans="1:19" ht="20" customHeight="1" thickTop="1" thickBot="1">
      <c r="A1" s="168" t="s">
        <v>136</v>
      </c>
      <c r="B1" s="169"/>
      <c r="C1" s="169"/>
      <c r="D1" s="169"/>
      <c r="E1" s="169"/>
      <c r="F1" s="169"/>
      <c r="G1" s="170"/>
      <c r="I1" s="164" t="s">
        <v>110</v>
      </c>
      <c r="J1" s="165"/>
      <c r="K1" s="165"/>
      <c r="L1" s="165"/>
      <c r="M1" s="165"/>
      <c r="N1" s="182"/>
      <c r="P1" s="177" t="s">
        <v>118</v>
      </c>
      <c r="Q1" s="178"/>
      <c r="R1" s="178"/>
      <c r="S1" s="179"/>
    </row>
    <row r="2" spans="1:19" ht="19" customHeight="1" thickTop="1" thickBot="1">
      <c r="A2" s="171"/>
      <c r="B2" s="172"/>
      <c r="C2" s="172"/>
      <c r="D2" s="172"/>
      <c r="E2" s="172"/>
      <c r="F2" s="172"/>
      <c r="G2" s="173"/>
      <c r="I2" s="48"/>
      <c r="J2" s="49" t="s">
        <v>30</v>
      </c>
      <c r="K2" s="50" t="s">
        <v>1</v>
      </c>
      <c r="L2" s="50" t="s">
        <v>104</v>
      </c>
      <c r="M2" s="50" t="s">
        <v>192</v>
      </c>
      <c r="N2" s="51" t="s">
        <v>145</v>
      </c>
      <c r="P2" s="48"/>
      <c r="Q2" s="52" t="s">
        <v>14</v>
      </c>
      <c r="R2" s="52" t="s">
        <v>106</v>
      </c>
      <c r="S2" s="53" t="s">
        <v>0</v>
      </c>
    </row>
    <row r="3" spans="1:19" ht="19" customHeight="1" thickTop="1">
      <c r="A3" s="155" t="s">
        <v>193</v>
      </c>
      <c r="B3" s="156"/>
      <c r="C3" s="156"/>
      <c r="D3" s="156"/>
      <c r="E3" s="156"/>
      <c r="F3" s="156"/>
      <c r="G3" s="157"/>
      <c r="I3" s="54" t="s">
        <v>14</v>
      </c>
      <c r="J3" s="55">
        <f>SUMIFS(CostRemaining[Sum],CostRemaining[Resource],J$2,CostRemaining[Kind],$I3)</f>
        <v>13660000</v>
      </c>
      <c r="K3" s="56">
        <f>SUMIFS(CostRemaining[Sum],CostRemaining[Resource],K$2,CostRemaining[Kind],$I3)</f>
        <v>9900000</v>
      </c>
      <c r="L3" s="56">
        <f>SUMIFS(CostRemaining[Sum],CostRemaining[Resource],L$2,CostRemaining[Kind],$I3)</f>
        <v>0</v>
      </c>
      <c r="M3" s="57">
        <f>SUMIF(TimeRemaining[Kind],$I3,TimeRemaining[Sum])</f>
        <v>80</v>
      </c>
      <c r="N3" s="58">
        <f>M3/NumBuilders</f>
        <v>16</v>
      </c>
      <c r="P3" s="54" t="s">
        <v>30</v>
      </c>
      <c r="Q3" s="59" t="str">
        <f t="array" ref="Q3">IFERROR(INDEX(CostRemaining[Cost],MATCH(R3,IF(CostRemaining[MatchStr]=Q$2&amp;"-"&amp;P3,CostRemaining[Next]),0)),0)</f>
        <v>Archer Tower</v>
      </c>
      <c r="R3" s="56">
        <f t="array" ref="R3">MIN(IF(CostRemaining[MatchStr]=Q$2&amp;"-"&amp;P3,CostRemaining[Next]))</f>
        <v>720000</v>
      </c>
      <c r="S3" s="58">
        <f>IFERROR(IF(VLOOKUP(Q3,TimeRemaining[],5,FALSE)="",0,VLOOKUP(Q3,TimeRemaining[],5,FALSE)),0)</f>
        <v>3</v>
      </c>
    </row>
    <row r="4" spans="1:19" ht="19" customHeight="1">
      <c r="A4" s="158"/>
      <c r="B4" s="159"/>
      <c r="C4" s="159"/>
      <c r="D4" s="159"/>
      <c r="E4" s="159"/>
      <c r="F4" s="159"/>
      <c r="G4" s="160"/>
      <c r="I4" s="54" t="s">
        <v>24</v>
      </c>
      <c r="J4" s="60">
        <f>SUMIFS(CostRemaining[Sum],CostRemaining[Resource],J$2,CostRemaining[Kind],$I4)</f>
        <v>44625000</v>
      </c>
      <c r="K4" s="61">
        <f>SUMIFS(CostRemaining[Sum],CostRemaining[Resource],K$2,CostRemaining[Kind],$I4)</f>
        <v>0</v>
      </c>
      <c r="L4" s="61">
        <f>SUMIFS(CostRemaining[Sum],CostRemaining[Resource],L$2,CostRemaining[Kind],$I4)</f>
        <v>0</v>
      </c>
      <c r="M4" s="62">
        <f>SUMIF(TimeRemaining[Kind],$I4,TimeRemaining[Sum])</f>
        <v>0</v>
      </c>
      <c r="N4" s="63">
        <f>M4/NumBuilders</f>
        <v>0</v>
      </c>
      <c r="P4" s="54" t="s">
        <v>1</v>
      </c>
      <c r="Q4" s="64" t="str">
        <f t="array" ref="Q4">IFERROR(INDEX(CostRemaining[Cost],MATCH(R4,IF(CostRemaining[MatchStr]=Q$2&amp;"-"&amp;P4,CostRemaining[Next]),0)),0)</f>
        <v>Barracks</v>
      </c>
      <c r="R4" s="61">
        <f t="array" ref="R4">MIN(IF(CostRemaining[MatchStr]=Q$2&amp;"-"&amp;P4,CostRemaining[Next]))</f>
        <v>700000</v>
      </c>
      <c r="S4" s="63">
        <f>IFERROR(IF(VLOOKUP(Q4,TimeRemaining[],5,FALSE)="",0,VLOOKUP(Q4,TimeRemaining[],5,FALSE)),0)</f>
        <v>2</v>
      </c>
    </row>
    <row r="5" spans="1:19" ht="19" customHeight="1" thickBot="1">
      <c r="A5" s="158"/>
      <c r="B5" s="159"/>
      <c r="C5" s="159"/>
      <c r="D5" s="159"/>
      <c r="E5" s="159"/>
      <c r="F5" s="159"/>
      <c r="G5" s="160"/>
      <c r="I5" s="54" t="s">
        <v>73</v>
      </c>
      <c r="J5" s="60">
        <f>SUMIFS(CostRemaining[Sum],CostRemaining[Resource],J$2,CostRemaining[Kind],$I5)</f>
        <v>0</v>
      </c>
      <c r="K5" s="61">
        <f>SUMIFS(CostRemaining[Sum],CostRemaining[Resource],K$2,CostRemaining[Kind],$I5)</f>
        <v>9750000</v>
      </c>
      <c r="L5" s="61">
        <f>SUMIFS(CostRemaining[Sum],CostRemaining[Resource],L$2,CostRemaining[Kind],$I5)</f>
        <v>30000</v>
      </c>
      <c r="M5" s="62">
        <f>SUMIF(TimeRemaining[Kind],$I5,TimeRemaining[Sum])</f>
        <v>43</v>
      </c>
      <c r="N5" s="65">
        <f>M5/NumBuilders</f>
        <v>8.6</v>
      </c>
      <c r="P5" s="66" t="s">
        <v>104</v>
      </c>
      <c r="Q5" s="67">
        <f t="array" ref="Q5">IFERROR(INDEX(CostRemaining[Cost],MATCH(R5,IF(CostRemaining[MatchStr]=Q$2&amp;"-"&amp;P5,CostRemaining[Next]),0)),0)</f>
        <v>0</v>
      </c>
      <c r="R5" s="68">
        <f t="array" ref="R5">MIN(IF(CostRemaining[MatchStr]=Q$2&amp;"-"&amp;P5,CostRemaining[Next]))</f>
        <v>0</v>
      </c>
      <c r="S5" s="69">
        <f>IFERROR(IF(VLOOKUP(Q5,TimeRemaining[],5,FALSE)="",0,VLOOKUP(Q5,TimeRemaining[],5,FALSE)),0)</f>
        <v>0</v>
      </c>
    </row>
    <row r="6" spans="1:19" ht="20" thickTop="1" thickBot="1">
      <c r="A6" s="158"/>
      <c r="B6" s="159"/>
      <c r="C6" s="159"/>
      <c r="D6" s="159"/>
      <c r="E6" s="159"/>
      <c r="F6" s="159"/>
      <c r="G6" s="160"/>
      <c r="I6" s="70" t="s">
        <v>111</v>
      </c>
      <c r="J6" s="71">
        <f>SUM(J3:J5)</f>
        <v>58285000</v>
      </c>
      <c r="K6" s="72">
        <f>SUM(K3:K5)</f>
        <v>19650000</v>
      </c>
      <c r="L6" s="72">
        <f>SUM(L3:L5)</f>
        <v>30000</v>
      </c>
      <c r="M6" s="73">
        <f>SUM(M3:M5)</f>
        <v>123</v>
      </c>
      <c r="N6" s="74">
        <f>SUM(N3:N5)</f>
        <v>24.6</v>
      </c>
    </row>
    <row r="7" spans="1:19" ht="20" thickTop="1" thickBot="1">
      <c r="A7" s="158"/>
      <c r="B7" s="159"/>
      <c r="C7" s="159"/>
      <c r="D7" s="159"/>
      <c r="E7" s="159"/>
      <c r="F7" s="159"/>
      <c r="G7" s="160"/>
      <c r="P7" s="177" t="s">
        <v>132</v>
      </c>
      <c r="Q7" s="178"/>
      <c r="R7" s="178"/>
      <c r="S7" s="179"/>
    </row>
    <row r="8" spans="1:19" ht="20" customHeight="1" thickTop="1" thickBot="1">
      <c r="A8" s="161"/>
      <c r="B8" s="162"/>
      <c r="C8" s="162"/>
      <c r="D8" s="162"/>
      <c r="E8" s="162"/>
      <c r="F8" s="162"/>
      <c r="G8" s="163"/>
      <c r="I8" s="145" t="s">
        <v>188</v>
      </c>
      <c r="J8" s="146"/>
      <c r="K8" s="147"/>
      <c r="L8" s="147"/>
      <c r="M8" s="147"/>
      <c r="N8" s="148"/>
      <c r="P8" s="48"/>
      <c r="Q8" s="49" t="s">
        <v>73</v>
      </c>
      <c r="R8" s="50" t="s">
        <v>106</v>
      </c>
      <c r="S8" s="51" t="s">
        <v>0</v>
      </c>
    </row>
    <row r="9" spans="1:19" ht="20" customHeight="1" thickTop="1" thickBot="1">
      <c r="F9" s="76"/>
      <c r="I9" s="19" t="s">
        <v>183</v>
      </c>
      <c r="J9" s="21">
        <f>IF(SetToMax,10,IFERROR(MATCH(TRUE,INDEX(H19:S19&lt;&gt;"",),0),1))</f>
        <v>7</v>
      </c>
      <c r="K9" s="19" t="s">
        <v>146</v>
      </c>
      <c r="L9" s="21">
        <f t="array" ref="L9">SUM(IF(CurrentCnt[Kind]="Building",CurrentCnt[[1]:[12]]))</f>
        <v>64</v>
      </c>
      <c r="M9" s="34"/>
      <c r="N9" s="35"/>
      <c r="P9" s="54" t="s">
        <v>1</v>
      </c>
      <c r="Q9" s="59" t="str">
        <f t="array" ref="Q9">IFERROR(INDEX(CostRemaining[Cost],MATCH(R9,IF(CostRemaining[MatchStr]=Q$8&amp;"-"&amp;P9,CostRemaining[Next]),0)),0)</f>
        <v>Goblin</v>
      </c>
      <c r="R9" s="61">
        <f t="array" ref="R9">MIN(IF(CostRemaining[MatchStr]=Q$8&amp;"-"&amp;P9,CostRemaining[Next]))</f>
        <v>750000</v>
      </c>
      <c r="S9" s="58">
        <f>IFERROR(IF(VLOOKUP(Q9,TimeRemaining[],5,FALSE)="",0,VLOOKUP(Q9,TimeRemaining[],5,FALSE)),0)</f>
        <v>3</v>
      </c>
    </row>
    <row r="10" spans="1:19" ht="19" customHeight="1" thickTop="1" thickBot="1">
      <c r="B10" s="168" t="s">
        <v>117</v>
      </c>
      <c r="C10" s="169"/>
      <c r="D10" s="169"/>
      <c r="E10" s="169"/>
      <c r="F10" s="170"/>
      <c r="I10" s="37" t="s">
        <v>184</v>
      </c>
      <c r="J10" s="38">
        <f>IF(SetToMax,8,IFERROR(MATCH(TRUE,INDEX(H20:S20&lt;&gt;"",),0),0))</f>
        <v>5</v>
      </c>
      <c r="K10" s="37" t="s">
        <v>166</v>
      </c>
      <c r="L10" s="38">
        <f>SUM(H21:S21)</f>
        <v>4</v>
      </c>
      <c r="M10" s="34"/>
      <c r="N10" s="35"/>
      <c r="P10" s="66" t="s">
        <v>104</v>
      </c>
      <c r="Q10" s="67" t="str">
        <f t="array" ref="Q10">IFERROR(INDEX(CostRemaining[Cost],MATCH(R10,IF(CostRemaining[MatchStr]=Q$8&amp;"-"&amp;P10,CostRemaining[Next]),0)),0)</f>
        <v>Minion</v>
      </c>
      <c r="R10" s="68">
        <f t="array" ref="R10">MIN(IF(CostRemaining[MatchStr]=Q$8&amp;"-"&amp;P10,CostRemaining[Next]))</f>
        <v>10000</v>
      </c>
      <c r="S10" s="69">
        <f>IFERROR(IF(VLOOKUP(Q10,TimeRemaining[],5,FALSE)="",0,VLOOKUP(Q10,TimeRemaining[],5,FALSE)),0)</f>
        <v>5</v>
      </c>
    </row>
    <row r="11" spans="1:19" ht="20" customHeight="1" thickTop="1" thickBot="1">
      <c r="B11" s="174"/>
      <c r="C11" s="175"/>
      <c r="D11" s="175"/>
      <c r="E11" s="175"/>
      <c r="F11" s="176"/>
      <c r="I11" s="20" t="s">
        <v>182</v>
      </c>
      <c r="J11" s="22">
        <f>SUMPRODUCT(H22:O22,Statistics!B56:I56)</f>
        <v>195</v>
      </c>
      <c r="K11" s="20" t="s">
        <v>147</v>
      </c>
      <c r="L11" s="36">
        <f>K6/J6</f>
        <v>0.33713648451574163</v>
      </c>
      <c r="M11" s="20"/>
      <c r="N11" s="39"/>
      <c r="P11"/>
      <c r="Q11"/>
      <c r="R11"/>
      <c r="S11"/>
    </row>
    <row r="12" spans="1:19" ht="20" customHeight="1" thickTop="1" thickBot="1">
      <c r="B12" s="77">
        <v>2</v>
      </c>
      <c r="C12" s="149" t="s">
        <v>133</v>
      </c>
      <c r="D12" s="150"/>
      <c r="E12" s="150"/>
      <c r="F12" s="151"/>
    </row>
    <row r="13" spans="1:19" ht="19" thickTop="1">
      <c r="B13" s="78">
        <v>0</v>
      </c>
      <c r="C13" s="149" t="s">
        <v>115</v>
      </c>
      <c r="D13" s="150"/>
      <c r="E13" s="150"/>
      <c r="F13" s="151"/>
      <c r="H13" s="168" t="s">
        <v>130</v>
      </c>
      <c r="I13" s="169"/>
      <c r="J13" s="169"/>
      <c r="K13" s="169"/>
      <c r="L13" s="169"/>
      <c r="M13" s="169"/>
      <c r="N13" s="169"/>
      <c r="O13" s="169"/>
      <c r="P13" s="169"/>
      <c r="Q13" s="169"/>
      <c r="R13" s="169"/>
      <c r="S13" s="180"/>
    </row>
    <row r="14" spans="1:19" ht="19" thickBot="1">
      <c r="B14" s="79"/>
      <c r="C14" s="149" t="s">
        <v>186</v>
      </c>
      <c r="D14" s="150"/>
      <c r="E14" s="150"/>
      <c r="F14" s="151"/>
      <c r="H14" s="171"/>
      <c r="I14" s="172"/>
      <c r="J14" s="172"/>
      <c r="K14" s="172"/>
      <c r="L14" s="172"/>
      <c r="M14" s="172"/>
      <c r="N14" s="175"/>
      <c r="O14" s="175"/>
      <c r="P14" s="175"/>
      <c r="Q14" s="175"/>
      <c r="R14" s="175"/>
      <c r="S14" s="181"/>
    </row>
    <row r="15" spans="1:19" ht="20" thickTop="1" thickBot="1">
      <c r="B15" s="80">
        <v>-1</v>
      </c>
      <c r="C15" s="149" t="s">
        <v>114</v>
      </c>
      <c r="D15" s="150"/>
      <c r="E15" s="150"/>
      <c r="F15" s="151"/>
      <c r="H15" s="167" t="s">
        <v>149</v>
      </c>
      <c r="I15" s="165"/>
      <c r="J15" s="165"/>
      <c r="K15" s="165"/>
      <c r="L15" s="165"/>
      <c r="M15" s="147"/>
      <c r="N15" s="81"/>
      <c r="O15" s="164" t="s">
        <v>152</v>
      </c>
      <c r="P15" s="165"/>
      <c r="Q15" s="165"/>
      <c r="R15" s="165"/>
      <c r="S15" s="166"/>
    </row>
    <row r="16" spans="1:19" ht="20" thickTop="1" thickBot="1">
      <c r="B16" s="82">
        <v>30</v>
      </c>
      <c r="C16" s="152" t="s">
        <v>116</v>
      </c>
      <c r="D16" s="153"/>
      <c r="E16" s="153"/>
      <c r="F16" s="154"/>
      <c r="H16" s="83" t="s">
        <v>112</v>
      </c>
      <c r="I16" s="113">
        <v>5</v>
      </c>
      <c r="J16" s="142" t="s">
        <v>153</v>
      </c>
      <c r="K16" s="143"/>
      <c r="L16" s="143"/>
      <c r="M16" s="144"/>
      <c r="N16" s="84"/>
      <c r="O16" s="41" t="s">
        <v>3</v>
      </c>
      <c r="P16" s="42" t="s">
        <v>4</v>
      </c>
      <c r="Q16" s="42" t="s">
        <v>89</v>
      </c>
      <c r="R16" s="42"/>
      <c r="S16" s="43"/>
    </row>
    <row r="17" spans="1:19" ht="17" thickTop="1" thickBot="1">
      <c r="H17" s="85" t="s">
        <v>131</v>
      </c>
      <c r="I17" s="114" t="b">
        <v>0</v>
      </c>
      <c r="J17" s="139" t="s">
        <v>154</v>
      </c>
      <c r="K17" s="140"/>
      <c r="L17" s="140"/>
      <c r="M17" s="141"/>
      <c r="N17" s="84"/>
      <c r="O17" s="44"/>
      <c r="P17" s="45"/>
      <c r="Q17" s="45"/>
      <c r="R17" s="45"/>
      <c r="S17" s="46"/>
    </row>
    <row r="18" spans="1:19" ht="16" thickTop="1">
      <c r="A18" s="86" t="s">
        <v>109</v>
      </c>
      <c r="B18" s="86" t="s">
        <v>72</v>
      </c>
      <c r="C18" s="86" t="s">
        <v>31</v>
      </c>
      <c r="D18" s="87" t="s">
        <v>148</v>
      </c>
      <c r="E18" s="86" t="s">
        <v>113</v>
      </c>
      <c r="F18" s="86" t="s">
        <v>134</v>
      </c>
      <c r="G18" s="86" t="s">
        <v>135</v>
      </c>
      <c r="H18" s="88" t="s">
        <v>33</v>
      </c>
      <c r="I18" s="89" t="s">
        <v>34</v>
      </c>
      <c r="J18" s="89" t="s">
        <v>35</v>
      </c>
      <c r="K18" s="89" t="s">
        <v>36</v>
      </c>
      <c r="L18" s="89" t="s">
        <v>37</v>
      </c>
      <c r="M18" s="89" t="s">
        <v>38</v>
      </c>
      <c r="N18" s="89" t="s">
        <v>39</v>
      </c>
      <c r="O18" s="89" t="s">
        <v>40</v>
      </c>
      <c r="P18" s="89" t="s">
        <v>41</v>
      </c>
      <c r="Q18" s="89" t="s">
        <v>42</v>
      </c>
      <c r="R18" s="89" t="s">
        <v>43</v>
      </c>
      <c r="S18" s="90" t="s">
        <v>44</v>
      </c>
    </row>
    <row r="19" spans="1:19" ht="18">
      <c r="A19" s="91" t="s">
        <v>13</v>
      </c>
      <c r="B19" s="91" t="str">
        <f>VLOOKUP(CurrentCnt[[#This Row],[Building or Upgrade]],Upgrades[],2,FALSE)</f>
        <v>Building</v>
      </c>
      <c r="C19" s="91" t="str">
        <f>VLOOKUP(CurrentCnt[Building or Upgrade],Upgrades[],3,FALSE)</f>
        <v>Gold</v>
      </c>
      <c r="D19" s="92" t="str">
        <f>IF((IFERROR(MATCH(CurrentCnt[[#This Row],[Building or Upgrade]],$O$16:$S$16,0),0)+IFERROR(MATCH(CurrentCnt[[#This Row],[Building or Upgrade]],$O$17:$S$17,0),0))&gt;0,"IGNORE",CurrentCnt[Kind]&amp;"-"&amp;CurrentCnt[Resource])</f>
        <v>Building-Gold</v>
      </c>
      <c r="E19" s="93">
        <f>IF(AND(CurrentCnt[[#This Row],[Kind]]="Upgrade",LabLevel=0),0,VLOOKUP(CurrentCnt[Building or Upgrade],QuantAvail[],1+IF(CurrentCnt[[#This Row],[Kind]]="Upgrade",LabLevel,THLevel),FALSE))</f>
        <v>1</v>
      </c>
      <c r="F19" s="93">
        <f>IF(AND(CurrentCnt[[#This Row],[Kind]]="Upgrade",LabLevel=0),0,VLOOKUP(CurrentCnt[Building or Upgrade],MaxLevel[],1+IF(CurrentCnt[[#This Row],[Kind]]="Upgrade",LabLevel,THLevel),FALSE))</f>
        <v>8</v>
      </c>
      <c r="G19" s="93">
        <f>CurrentCnt[[#This Row],[Available]]-SUM(CurrentCnt[[#This Row],[1]:[12]])</f>
        <v>0</v>
      </c>
      <c r="H19" s="10"/>
      <c r="I19" s="11"/>
      <c r="J19" s="11"/>
      <c r="K19" s="11"/>
      <c r="L19" s="11"/>
      <c r="M19" s="11"/>
      <c r="N19" s="11">
        <v>1</v>
      </c>
      <c r="O19" s="11"/>
      <c r="P19" s="11"/>
      <c r="Q19" s="11"/>
      <c r="R19" s="11"/>
      <c r="S19" s="12"/>
    </row>
    <row r="20" spans="1:19" ht="18">
      <c r="A20" s="91" t="s">
        <v>21</v>
      </c>
      <c r="B20" s="91" t="str">
        <f>VLOOKUP(CurrentCnt[[#This Row],[Building or Upgrade]],Upgrades[],2,FALSE)</f>
        <v>Building</v>
      </c>
      <c r="C20" s="91" t="str">
        <f>VLOOKUP(CurrentCnt[Building or Upgrade],Upgrades[],3,FALSE)</f>
        <v>Elixir</v>
      </c>
      <c r="D20" s="92" t="str">
        <f>IF((IFERROR(MATCH(CurrentCnt[[#This Row],[Building or Upgrade]],$O$16:$S$16,0),0)+IFERROR(MATCH(CurrentCnt[[#This Row],[Building or Upgrade]],$O$17:$S$17,0),0))&gt;0,"IGNORE",CurrentCnt[Kind]&amp;"-"&amp;CurrentCnt[Resource])</f>
        <v>Building-Elixir</v>
      </c>
      <c r="E20" s="93">
        <f>IF(AND(CurrentCnt[[#This Row],[Kind]]="Upgrade",LabLevel=0),0,VLOOKUP(CurrentCnt[Building or Upgrade],QuantAvail[],1+IF(CurrentCnt[[#This Row],[Kind]]="Upgrade",LabLevel,THLevel),FALSE))</f>
        <v>1</v>
      </c>
      <c r="F20" s="93">
        <f>IF(AND(CurrentCnt[[#This Row],[Kind]]="Upgrade",LabLevel=0),0,VLOOKUP(CurrentCnt[Building or Upgrade],MaxLevel[],1+IF(CurrentCnt[[#This Row],[Kind]]="Upgrade",LabLevel,THLevel),FALSE))</f>
        <v>5</v>
      </c>
      <c r="G20" s="93">
        <f>CurrentCnt[[#This Row],[Available]]-SUM(CurrentCnt[[#This Row],[1]:[12]])</f>
        <v>0</v>
      </c>
      <c r="H20" s="10"/>
      <c r="I20" s="13"/>
      <c r="J20" s="11"/>
      <c r="K20" s="11"/>
      <c r="L20" s="11">
        <v>1</v>
      </c>
      <c r="M20" s="11"/>
      <c r="N20" s="11"/>
      <c r="O20" s="11"/>
      <c r="P20" s="11"/>
      <c r="Q20" s="11"/>
      <c r="R20" s="11"/>
      <c r="S20" s="12"/>
    </row>
    <row r="21" spans="1:19" ht="18">
      <c r="A21" s="91" t="s">
        <v>2</v>
      </c>
      <c r="B21" s="95" t="str">
        <f>VLOOKUP(CurrentCnt[[#This Row],[Building or Upgrade]],Upgrades[],2,FALSE)</f>
        <v>Building</v>
      </c>
      <c r="C21" s="95" t="str">
        <f>VLOOKUP(CurrentCnt[Building or Upgrade],Upgrades[],3,FALSE)</f>
        <v>Elixir</v>
      </c>
      <c r="D21" s="96" t="str">
        <f>IF((IFERROR(MATCH(CurrentCnt[[#This Row],[Building or Upgrade]],$O$16:$S$16,0),0)+IFERROR(MATCH(CurrentCnt[[#This Row],[Building or Upgrade]],$O$17:$S$17,0),0))&gt;0,"IGNORE",CurrentCnt[Kind]&amp;"-"&amp;CurrentCnt[Resource])</f>
        <v>Building-Elixir</v>
      </c>
      <c r="E21" s="97">
        <f>IF(AND(CurrentCnt[[#This Row],[Kind]]="Upgrade",LabLevel=0),0,VLOOKUP(CurrentCnt[Building or Upgrade],QuantAvail[],1+IF(CurrentCnt[[#This Row],[Kind]]="Upgrade",LabLevel,THLevel),FALSE))</f>
        <v>4</v>
      </c>
      <c r="F21" s="97">
        <f>IF(AND(CurrentCnt[[#This Row],[Kind]]="Upgrade",LabLevel=0),0,VLOOKUP(CurrentCnt[Building or Upgrade],MaxLevel[],1+IF(CurrentCnt[[#This Row],[Kind]]="Upgrade",LabLevel,THLevel),FALSE))</f>
        <v>9</v>
      </c>
      <c r="G21" s="97">
        <f>CurrentCnt[[#This Row],[Available]]-SUM(CurrentCnt[[#This Row],[1]:[12]])</f>
        <v>0</v>
      </c>
      <c r="H21" s="14"/>
      <c r="I21" s="13"/>
      <c r="J21" s="11"/>
      <c r="K21" s="11"/>
      <c r="L21" s="11"/>
      <c r="M21" s="11"/>
      <c r="N21" s="11">
        <v>1</v>
      </c>
      <c r="O21" s="11">
        <v>3</v>
      </c>
      <c r="P21" s="13"/>
      <c r="Q21" s="11"/>
      <c r="R21" s="11"/>
      <c r="S21" s="12"/>
    </row>
    <row r="22" spans="1:19" ht="18">
      <c r="A22" s="91" t="s">
        <v>20</v>
      </c>
      <c r="B22" s="95" t="str">
        <f>VLOOKUP(CurrentCnt[[#This Row],[Building or Upgrade]],Upgrades[],2,FALSE)</f>
        <v>Building</v>
      </c>
      <c r="C22" s="95" t="str">
        <f>VLOOKUP(CurrentCnt[Building or Upgrade],Upgrades[],3,FALSE)</f>
        <v>Elixir</v>
      </c>
      <c r="D22" s="96" t="str">
        <f>IF((IFERROR(MATCH(CurrentCnt[[#This Row],[Building or Upgrade]],$O$16:$S$16,0),0)+IFERROR(MATCH(CurrentCnt[[#This Row],[Building or Upgrade]],$O$17:$S$17,0),0))&gt;0,"IGNORE",CurrentCnt[Kind]&amp;"-"&amp;CurrentCnt[Resource])</f>
        <v>Building-Elixir</v>
      </c>
      <c r="E22" s="97">
        <f>IF(AND(CurrentCnt[[#This Row],[Kind]]="Upgrade",LabLevel=0),0,VLOOKUP(CurrentCnt[Building or Upgrade],QuantAvail[],1+IF(CurrentCnt[[#This Row],[Kind]]="Upgrade",LabLevel,THLevel),FALSE))</f>
        <v>4</v>
      </c>
      <c r="F22" s="97">
        <f>IF(AND(CurrentCnt[[#This Row],[Kind]]="Upgrade",LabLevel=0),0,VLOOKUP(CurrentCnt[Building or Upgrade],MaxLevel[],1+IF(CurrentCnt[[#This Row],[Kind]]="Upgrade",LabLevel,THLevel),FALSE))</f>
        <v>6</v>
      </c>
      <c r="G22" s="97">
        <f>CurrentCnt[[#This Row],[Available]]-SUM(CurrentCnt[[#This Row],[1]:[12]])</f>
        <v>0</v>
      </c>
      <c r="H22" s="14"/>
      <c r="I22" s="13"/>
      <c r="J22" s="11"/>
      <c r="K22" s="11"/>
      <c r="L22" s="11">
        <v>1</v>
      </c>
      <c r="M22" s="11">
        <v>3</v>
      </c>
      <c r="N22" s="11"/>
      <c r="O22" s="11"/>
      <c r="P22" s="13"/>
      <c r="Q22" s="11"/>
      <c r="R22" s="11"/>
      <c r="S22" s="12"/>
    </row>
    <row r="23" spans="1:19" ht="18">
      <c r="A23" s="91" t="s">
        <v>15</v>
      </c>
      <c r="B23" s="91" t="str">
        <f>VLOOKUP(CurrentCnt[[#This Row],[Building or Upgrade]],Upgrades[],2,FALSE)</f>
        <v>Building</v>
      </c>
      <c r="C23" s="91" t="str">
        <f>VLOOKUP(CurrentCnt[Building or Upgrade],Upgrades[],3,FALSE)</f>
        <v>Elixir</v>
      </c>
      <c r="D23" s="92" t="str">
        <f>IF((IFERROR(MATCH(CurrentCnt[[#This Row],[Building or Upgrade]],$O$16:$S$16,0),0)+IFERROR(MATCH(CurrentCnt[[#This Row],[Building or Upgrade]],$O$17:$S$17,0),0))&gt;0,"IGNORE",CurrentCnt[Kind]&amp;"-"&amp;CurrentCnt[Resource])</f>
        <v>Building-Elixir</v>
      </c>
      <c r="E23" s="93">
        <f>IF(AND(CurrentCnt[[#This Row],[Kind]]="Upgrade",LabLevel=0),0,VLOOKUP(CurrentCnt[Building or Upgrade],QuantAvail[],1+IF(CurrentCnt[[#This Row],[Kind]]="Upgrade",LabLevel,THLevel),FALSE))</f>
        <v>6</v>
      </c>
      <c r="F23" s="93">
        <f>IF(AND(CurrentCnt[[#This Row],[Kind]]="Upgrade",LabLevel=0),0,VLOOKUP(CurrentCnt[Building or Upgrade],MaxLevel[],1+IF(CurrentCnt[[#This Row],[Kind]]="Upgrade",LabLevel,THLevel),FALSE))</f>
        <v>11</v>
      </c>
      <c r="G23" s="93">
        <f>CurrentCnt[[#This Row],[Available]]-SUM(CurrentCnt[[#This Row],[1]:[12]])</f>
        <v>0</v>
      </c>
      <c r="H23" s="10"/>
      <c r="I23" s="13"/>
      <c r="J23" s="11"/>
      <c r="K23" s="11"/>
      <c r="L23" s="11"/>
      <c r="M23" s="11"/>
      <c r="N23" s="11"/>
      <c r="O23" s="11"/>
      <c r="P23" s="11"/>
      <c r="Q23" s="11"/>
      <c r="R23" s="11">
        <v>6</v>
      </c>
      <c r="S23" s="12"/>
    </row>
    <row r="24" spans="1:19" ht="18">
      <c r="A24" s="91" t="s">
        <v>16</v>
      </c>
      <c r="B24" s="91" t="str">
        <f>VLOOKUP(CurrentCnt[[#This Row],[Building or Upgrade]],Upgrades[],2,FALSE)</f>
        <v>Building</v>
      </c>
      <c r="C24" s="91" t="str">
        <f>VLOOKUP(CurrentCnt[Building or Upgrade],Upgrades[],3,FALSE)</f>
        <v>Gold</v>
      </c>
      <c r="D24" s="92" t="str">
        <f>IF((IFERROR(MATCH(CurrentCnt[[#This Row],[Building or Upgrade]],$O$16:$S$16,0),0)+IFERROR(MATCH(CurrentCnt[[#This Row],[Building or Upgrade]],$O$17:$S$17,0),0))&gt;0,"IGNORE",CurrentCnt[Kind]&amp;"-"&amp;CurrentCnt[Resource])</f>
        <v>Building-Gold</v>
      </c>
      <c r="E24" s="93">
        <f>IF(AND(CurrentCnt[[#This Row],[Kind]]="Upgrade",LabLevel=0),0,VLOOKUP(CurrentCnt[Building or Upgrade],QuantAvail[],1+IF(CurrentCnt[[#This Row],[Kind]]="Upgrade",LabLevel,THLevel),FALSE))</f>
        <v>6</v>
      </c>
      <c r="F24" s="93">
        <f>IF(AND(CurrentCnt[[#This Row],[Kind]]="Upgrade",LabLevel=0),0,VLOOKUP(CurrentCnt[Building or Upgrade],MaxLevel[],1+IF(CurrentCnt[[#This Row],[Kind]]="Upgrade",LabLevel,THLevel),FALSE))</f>
        <v>11</v>
      </c>
      <c r="G24" s="93">
        <f>CurrentCnt[[#This Row],[Available]]-SUM(CurrentCnt[[#This Row],[1]:[12]])</f>
        <v>0</v>
      </c>
      <c r="H24" s="10"/>
      <c r="I24" s="11"/>
      <c r="J24" s="11"/>
      <c r="K24" s="11"/>
      <c r="L24" s="11"/>
      <c r="M24" s="11"/>
      <c r="N24" s="11"/>
      <c r="O24" s="11"/>
      <c r="P24" s="11"/>
      <c r="Q24" s="11"/>
      <c r="R24" s="11">
        <v>6</v>
      </c>
      <c r="S24" s="12"/>
    </row>
    <row r="25" spans="1:19" ht="18">
      <c r="A25" s="91" t="s">
        <v>17</v>
      </c>
      <c r="B25" s="91" t="str">
        <f>VLOOKUP(CurrentCnt[[#This Row],[Building or Upgrade]],Upgrades[],2,FALSE)</f>
        <v>Building</v>
      </c>
      <c r="C25" s="91" t="str">
        <f>VLOOKUP(CurrentCnt[Building or Upgrade],Upgrades[],3,FALSE)</f>
        <v>Elixir</v>
      </c>
      <c r="D25" s="92" t="str">
        <f>IF((IFERROR(MATCH(CurrentCnt[[#This Row],[Building or Upgrade]],$O$16:$S$16,0),0)+IFERROR(MATCH(CurrentCnt[[#This Row],[Building or Upgrade]],$O$17:$S$17,0),0))&gt;0,"IGNORE",CurrentCnt[Kind]&amp;"-"&amp;CurrentCnt[Resource])</f>
        <v>Building-Elixir</v>
      </c>
      <c r="E25" s="93">
        <f>IF(AND(CurrentCnt[[#This Row],[Kind]]="Upgrade",LabLevel=0),0,VLOOKUP(CurrentCnt[Building or Upgrade],QuantAvail[],1+IF(CurrentCnt[[#This Row],[Kind]]="Upgrade",LabLevel,THLevel),FALSE))</f>
        <v>0</v>
      </c>
      <c r="F25" s="93">
        <f>IF(AND(CurrentCnt[[#This Row],[Kind]]="Upgrade",LabLevel=0),0,VLOOKUP(CurrentCnt[Building or Upgrade],MaxLevel[],1+IF(CurrentCnt[[#This Row],[Kind]]="Upgrade",LabLevel,THLevel),FALSE))</f>
        <v>0</v>
      </c>
      <c r="G25" s="93">
        <f>CurrentCnt[[#This Row],[Available]]-SUM(CurrentCnt[[#This Row],[1]:[12]])</f>
        <v>0</v>
      </c>
      <c r="H25" s="10"/>
      <c r="I25" s="11"/>
      <c r="J25" s="11"/>
      <c r="K25" s="11"/>
      <c r="L25" s="11"/>
      <c r="M25" s="11"/>
      <c r="N25" s="11"/>
      <c r="O25" s="11"/>
      <c r="P25" s="11"/>
      <c r="Q25" s="11"/>
      <c r="R25" s="11"/>
      <c r="S25" s="12"/>
    </row>
    <row r="26" spans="1:19" ht="18">
      <c r="A26" s="91" t="s">
        <v>3</v>
      </c>
      <c r="B26" s="91" t="str">
        <f>VLOOKUP(CurrentCnt[[#This Row],[Building or Upgrade]],Upgrades[],2,FALSE)</f>
        <v>Building</v>
      </c>
      <c r="C26" s="91" t="str">
        <f>VLOOKUP(CurrentCnt[Building or Upgrade],Upgrades[],3,FALSE)</f>
        <v>Elixir</v>
      </c>
      <c r="D26" s="92" t="str">
        <f>IF((IFERROR(MATCH(CurrentCnt[[#This Row],[Building or Upgrade]],$O$16:$S$16,0),0)+IFERROR(MATCH(CurrentCnt[[#This Row],[Building or Upgrade]],$O$17:$S$17,0),0))&gt;0,"IGNORE",CurrentCnt[Kind]&amp;"-"&amp;CurrentCnt[Resource])</f>
        <v>IGNORE</v>
      </c>
      <c r="E26" s="93">
        <f>IF(AND(CurrentCnt[[#This Row],[Kind]]="Upgrade",LabLevel=0),0,VLOOKUP(CurrentCnt[Building or Upgrade],QuantAvail[],1+IF(CurrentCnt[[#This Row],[Kind]]="Upgrade",LabLevel,THLevel),FALSE))</f>
        <v>2</v>
      </c>
      <c r="F26" s="93">
        <f>IF(AND(CurrentCnt[[#This Row],[Kind]]="Upgrade",LabLevel=0),0,VLOOKUP(CurrentCnt[Building or Upgrade],MaxLevel[],1+IF(CurrentCnt[[#This Row],[Kind]]="Upgrade",LabLevel,THLevel),FALSE))</f>
        <v>11</v>
      </c>
      <c r="G26" s="93">
        <f>CurrentCnt[[#This Row],[Available]]-SUM(CurrentCnt[[#This Row],[1]:[12]])</f>
        <v>0</v>
      </c>
      <c r="H26" s="10"/>
      <c r="I26" s="11"/>
      <c r="J26" s="11"/>
      <c r="K26" s="11"/>
      <c r="L26" s="11"/>
      <c r="M26" s="11"/>
      <c r="N26" s="11"/>
      <c r="O26" s="11"/>
      <c r="P26" s="11"/>
      <c r="Q26" s="11">
        <v>2</v>
      </c>
      <c r="R26" s="11"/>
      <c r="S26" s="12"/>
    </row>
    <row r="27" spans="1:19" ht="18">
      <c r="A27" s="91" t="s">
        <v>4</v>
      </c>
      <c r="B27" s="91" t="str">
        <f>VLOOKUP(CurrentCnt[[#This Row],[Building or Upgrade]],Upgrades[],2,FALSE)</f>
        <v>Building</v>
      </c>
      <c r="C27" s="91" t="str">
        <f>VLOOKUP(CurrentCnt[Building or Upgrade],Upgrades[],3,FALSE)</f>
        <v>Gold</v>
      </c>
      <c r="D27" s="92" t="str">
        <f>IF((IFERROR(MATCH(CurrentCnt[[#This Row],[Building or Upgrade]],$O$16:$S$16,0),0)+IFERROR(MATCH(CurrentCnt[[#This Row],[Building or Upgrade]],$O$17:$S$17,0),0))&gt;0,"IGNORE",CurrentCnt[Kind]&amp;"-"&amp;CurrentCnt[Resource])</f>
        <v>IGNORE</v>
      </c>
      <c r="E27" s="93">
        <f>IF(AND(CurrentCnt[[#This Row],[Kind]]="Upgrade",LabLevel=0),0,VLOOKUP(CurrentCnt[Building or Upgrade],QuantAvail[],1+IF(CurrentCnt[[#This Row],[Kind]]="Upgrade",LabLevel,THLevel),FALSE))</f>
        <v>2</v>
      </c>
      <c r="F27" s="93">
        <f>IF(AND(CurrentCnt[[#This Row],[Kind]]="Upgrade",LabLevel=0),0,VLOOKUP(CurrentCnt[Building or Upgrade],MaxLevel[],1+IF(CurrentCnt[[#This Row],[Kind]]="Upgrade",LabLevel,THLevel),FALSE))</f>
        <v>11</v>
      </c>
      <c r="G27" s="93">
        <f>CurrentCnt[[#This Row],[Available]]-SUM(CurrentCnt[[#This Row],[1]:[12]])</f>
        <v>0</v>
      </c>
      <c r="H27" s="10"/>
      <c r="I27" s="11"/>
      <c r="J27" s="11"/>
      <c r="K27" s="11"/>
      <c r="L27" s="11"/>
      <c r="M27" s="11"/>
      <c r="N27" s="11"/>
      <c r="O27" s="11"/>
      <c r="P27" s="11"/>
      <c r="Q27" s="11">
        <v>2</v>
      </c>
      <c r="R27" s="11"/>
      <c r="S27" s="12"/>
    </row>
    <row r="28" spans="1:19" ht="18">
      <c r="A28" s="91" t="s">
        <v>18</v>
      </c>
      <c r="B28" s="91" t="str">
        <f>VLOOKUP(CurrentCnt[[#This Row],[Building or Upgrade]],Upgrades[],2,FALSE)</f>
        <v>Building</v>
      </c>
      <c r="C28" s="91" t="str">
        <f>VLOOKUP(CurrentCnt[Building or Upgrade],Upgrades[],3,FALSE)</f>
        <v>Elixir</v>
      </c>
      <c r="D28" s="92" t="str">
        <f>IF((IFERROR(MATCH(CurrentCnt[[#This Row],[Building or Upgrade]],$O$16:$S$16,0),0)+IFERROR(MATCH(CurrentCnt[[#This Row],[Building or Upgrade]],$O$17:$S$17,0),0))&gt;0,"IGNORE",CurrentCnt[Kind]&amp;"-"&amp;CurrentCnt[Resource])</f>
        <v>Building-Elixir</v>
      </c>
      <c r="E28" s="93">
        <f>IF(AND(CurrentCnt[[#This Row],[Kind]]="Upgrade",LabLevel=0),0,VLOOKUP(CurrentCnt[Building or Upgrade],QuantAvail[],1+IF(CurrentCnt[[#This Row],[Kind]]="Upgrade",LabLevel,THLevel),FALSE))</f>
        <v>1</v>
      </c>
      <c r="F28" s="93">
        <f>IF(AND(CurrentCnt[[#This Row],[Kind]]="Upgrade",LabLevel=0),0,VLOOKUP(CurrentCnt[Building or Upgrade],MaxLevel[],1+IF(CurrentCnt[[#This Row],[Kind]]="Upgrade",LabLevel,THLevel),FALSE))</f>
        <v>2</v>
      </c>
      <c r="G28" s="93">
        <f>CurrentCnt[[#This Row],[Available]]-SUM(CurrentCnt[[#This Row],[1]:[12]])</f>
        <v>0</v>
      </c>
      <c r="H28" s="10">
        <v>1</v>
      </c>
      <c r="I28" s="11"/>
      <c r="J28" s="11"/>
      <c r="K28" s="11"/>
      <c r="L28" s="11"/>
      <c r="M28" s="11"/>
      <c r="N28" s="11"/>
      <c r="O28" s="11"/>
      <c r="P28" s="11"/>
      <c r="Q28" s="11"/>
      <c r="R28" s="11"/>
      <c r="S28" s="12"/>
    </row>
    <row r="29" spans="1:19" ht="18">
      <c r="A29" s="91" t="s">
        <v>19</v>
      </c>
      <c r="B29" s="91" t="str">
        <f>VLOOKUP(CurrentCnt[[#This Row],[Building or Upgrade]],Upgrades[],2,FALSE)</f>
        <v>Building</v>
      </c>
      <c r="C29" s="91" t="str">
        <f>VLOOKUP(CurrentCnt[Building or Upgrade],Upgrades[],3,FALSE)</f>
        <v>Elixir</v>
      </c>
      <c r="D29" s="92" t="str">
        <f>IF((IFERROR(MATCH(CurrentCnt[[#This Row],[Building or Upgrade]],$O$16:$S$16,0),0)+IFERROR(MATCH(CurrentCnt[[#This Row],[Building or Upgrade]],$O$17:$S$17,0),0))&gt;0,"IGNORE",CurrentCnt[Kind]&amp;"-"&amp;CurrentCnt[Resource])</f>
        <v>Building-Elixir</v>
      </c>
      <c r="E29" s="93">
        <f>IF(AND(CurrentCnt[[#This Row],[Kind]]="Upgrade",LabLevel=0),0,VLOOKUP(CurrentCnt[Building or Upgrade],QuantAvail[],1+IF(CurrentCnt[[#This Row],[Kind]]="Upgrade",LabLevel,THLevel),FALSE))</f>
        <v>1</v>
      </c>
      <c r="F29" s="93">
        <f>IF(AND(CurrentCnt[[#This Row],[Kind]]="Upgrade",LabLevel=0),0,VLOOKUP(CurrentCnt[Building or Upgrade],MaxLevel[],1+IF(CurrentCnt[[#This Row],[Kind]]="Upgrade",LabLevel,THLevel),FALSE))</f>
        <v>2</v>
      </c>
      <c r="G29" s="93">
        <f>CurrentCnt[[#This Row],[Available]]-SUM(CurrentCnt[[#This Row],[1]:[12]])</f>
        <v>0</v>
      </c>
      <c r="H29" s="10">
        <v>1</v>
      </c>
      <c r="I29" s="11"/>
      <c r="J29" s="11"/>
      <c r="K29" s="11"/>
      <c r="L29" s="11"/>
      <c r="M29" s="11"/>
      <c r="N29" s="11"/>
      <c r="O29" s="11"/>
      <c r="P29" s="11"/>
      <c r="Q29" s="11"/>
      <c r="R29" s="11"/>
      <c r="S29" s="12"/>
    </row>
    <row r="30" spans="1:19" ht="18">
      <c r="A30" s="91" t="s">
        <v>22</v>
      </c>
      <c r="B30" s="91" t="str">
        <f>VLOOKUP(CurrentCnt[[#This Row],[Building or Upgrade]],Upgrades[],2,FALSE)</f>
        <v>Building</v>
      </c>
      <c r="C30" s="91" t="str">
        <f>VLOOKUP(CurrentCnt[Building or Upgrade],Upgrades[],3,FALSE)</f>
        <v>Elixir</v>
      </c>
      <c r="D30" s="92" t="str">
        <f>IF((IFERROR(MATCH(CurrentCnt[[#This Row],[Building or Upgrade]],$O$16:$S$16,0),0)+IFERROR(MATCH(CurrentCnt[[#This Row],[Building or Upgrade]],$O$17:$S$17,0),0))&gt;0,"IGNORE",CurrentCnt[Kind]&amp;"-"&amp;CurrentCnt[Resource])</f>
        <v>Building-Elixir</v>
      </c>
      <c r="E30" s="93">
        <f>IF(AND(CurrentCnt[[#This Row],[Kind]]="Upgrade",LabLevel=0),0,VLOOKUP(CurrentCnt[Building or Upgrade],QuantAvail[],1+IF(CurrentCnt[[#This Row],[Kind]]="Upgrade",LabLevel,THLevel),FALSE))</f>
        <v>1</v>
      </c>
      <c r="F30" s="93">
        <f>IF(AND(CurrentCnt[[#This Row],[Kind]]="Upgrade",LabLevel=0),0,VLOOKUP(CurrentCnt[Building or Upgrade],MaxLevel[],1+IF(CurrentCnt[[#This Row],[Kind]]="Upgrade",LabLevel,THLevel),FALSE))</f>
        <v>3</v>
      </c>
      <c r="G30" s="93">
        <f>CurrentCnt[[#This Row],[Available]]-SUM(CurrentCnt[[#This Row],[1]:[12]])</f>
        <v>0</v>
      </c>
      <c r="H30" s="10"/>
      <c r="I30" s="11"/>
      <c r="J30" s="11">
        <v>1</v>
      </c>
      <c r="K30" s="11"/>
      <c r="L30" s="11"/>
      <c r="M30" s="11"/>
      <c r="N30" s="11"/>
      <c r="O30" s="11"/>
      <c r="P30" s="11"/>
      <c r="Q30" s="11"/>
      <c r="R30" s="11"/>
      <c r="S30" s="12"/>
    </row>
    <row r="31" spans="1:19" ht="18">
      <c r="A31" s="91" t="s">
        <v>5</v>
      </c>
      <c r="B31" s="91" t="str">
        <f>VLOOKUP(CurrentCnt[[#This Row],[Building or Upgrade]],Upgrades[],2,FALSE)</f>
        <v>Building</v>
      </c>
      <c r="C31" s="91" t="str">
        <f>VLOOKUP(CurrentCnt[Building or Upgrade],Upgrades[],3,FALSE)</f>
        <v>Gold</v>
      </c>
      <c r="D31" s="92" t="str">
        <f>IF((IFERROR(MATCH(CurrentCnt[[#This Row],[Building or Upgrade]],$O$16:$S$16,0),0)+IFERROR(MATCH(CurrentCnt[[#This Row],[Building or Upgrade]],$O$17:$S$17,0),0))&gt;0,"IGNORE",CurrentCnt[Kind]&amp;"-"&amp;CurrentCnt[Resource])</f>
        <v>Building-Gold</v>
      </c>
      <c r="E31" s="93">
        <f>IF(AND(CurrentCnt[[#This Row],[Kind]]="Upgrade",LabLevel=0),0,VLOOKUP(CurrentCnt[Building or Upgrade],QuantAvail[],1+IF(CurrentCnt[[#This Row],[Kind]]="Upgrade",LabLevel,THLevel),FALSE))</f>
        <v>1</v>
      </c>
      <c r="F31" s="93">
        <f>IF(AND(CurrentCnt[[#This Row],[Kind]]="Upgrade",LabLevel=0),0,VLOOKUP(CurrentCnt[Building or Upgrade],MaxLevel[],1+IF(CurrentCnt[[#This Row],[Kind]]="Upgrade",LabLevel,THLevel),FALSE))</f>
        <v>3</v>
      </c>
      <c r="G31" s="93">
        <f>CurrentCnt[[#This Row],[Available]]-SUM(CurrentCnt[[#This Row],[1]:[12]])</f>
        <v>0</v>
      </c>
      <c r="H31" s="10"/>
      <c r="I31" s="11"/>
      <c r="J31" s="11">
        <v>1</v>
      </c>
      <c r="K31" s="11"/>
      <c r="L31" s="11"/>
      <c r="M31" s="11"/>
      <c r="N31" s="11"/>
      <c r="O31" s="11"/>
      <c r="P31" s="11"/>
      <c r="Q31" s="11"/>
      <c r="R31" s="11"/>
      <c r="S31" s="12"/>
    </row>
    <row r="32" spans="1:19" ht="18">
      <c r="A32" s="91" t="s">
        <v>6</v>
      </c>
      <c r="B32" s="91" t="str">
        <f>VLOOKUP(CurrentCnt[[#This Row],[Building or Upgrade]],Upgrades[],2,FALSE)</f>
        <v>Building</v>
      </c>
      <c r="C32" s="91" t="str">
        <f>VLOOKUP(CurrentCnt[Building or Upgrade],Upgrades[],3,FALSE)</f>
        <v>Gold</v>
      </c>
      <c r="D32" s="92" t="str">
        <f>IF((IFERROR(MATCH(CurrentCnt[[#This Row],[Building or Upgrade]],$O$16:$S$16,0),0)+IFERROR(MATCH(CurrentCnt[[#This Row],[Building or Upgrade]],$O$17:$S$17,0),0))&gt;0,"IGNORE",CurrentCnt[Kind]&amp;"-"&amp;CurrentCnt[Resource])</f>
        <v>Building-Gold</v>
      </c>
      <c r="E32" s="93">
        <f>IF(AND(CurrentCnt[[#This Row],[Kind]]="Upgrade",LabLevel=0),0,VLOOKUP(CurrentCnt[Building or Upgrade],QuantAvail[],1+IF(CurrentCnt[[#This Row],[Kind]]="Upgrade",LabLevel,THLevel),FALSE))</f>
        <v>5</v>
      </c>
      <c r="F32" s="93">
        <f>IF(AND(CurrentCnt[[#This Row],[Kind]]="Upgrade",LabLevel=0),0,VLOOKUP(CurrentCnt[Building or Upgrade],MaxLevel[],1+IF(CurrentCnt[[#This Row],[Kind]]="Upgrade",LabLevel,THLevel),FALSE))</f>
        <v>8</v>
      </c>
      <c r="G32" s="93">
        <f>CurrentCnt[[#This Row],[Available]]-SUM(CurrentCnt[[#This Row],[1]:[12]])</f>
        <v>0</v>
      </c>
      <c r="H32" s="10"/>
      <c r="I32" s="11"/>
      <c r="J32" s="11"/>
      <c r="K32" s="11"/>
      <c r="L32" s="11"/>
      <c r="M32" s="11"/>
      <c r="N32" s="11"/>
      <c r="O32" s="11">
        <v>5</v>
      </c>
      <c r="P32" s="11"/>
      <c r="Q32" s="11"/>
      <c r="R32" s="11"/>
      <c r="S32" s="12"/>
    </row>
    <row r="33" spans="1:19" ht="18">
      <c r="A33" s="91" t="s">
        <v>23</v>
      </c>
      <c r="B33" s="91" t="str">
        <f>VLOOKUP(CurrentCnt[[#This Row],[Building or Upgrade]],Upgrades[],2,FALSE)</f>
        <v>Building</v>
      </c>
      <c r="C33" s="91" t="str">
        <f>VLOOKUP(CurrentCnt[Building or Upgrade],Upgrades[],3,FALSE)</f>
        <v>Gold</v>
      </c>
      <c r="D33" s="92" t="str">
        <f>IF((IFERROR(MATCH(CurrentCnt[[#This Row],[Building or Upgrade]],$O$16:$S$16,0),0)+IFERROR(MATCH(CurrentCnt[[#This Row],[Building or Upgrade]],$O$17:$S$17,0),0))&gt;0,"IGNORE",CurrentCnt[Kind]&amp;"-"&amp;CurrentCnt[Resource])</f>
        <v>Building-Gold</v>
      </c>
      <c r="E33" s="93">
        <f>IF(AND(CurrentCnt[[#This Row],[Kind]]="Upgrade",LabLevel=0),0,VLOOKUP(CurrentCnt[Building or Upgrade],QuantAvail[],1+IF(CurrentCnt[[#This Row],[Kind]]="Upgrade",LabLevel,THLevel),FALSE))</f>
        <v>4</v>
      </c>
      <c r="F33" s="93">
        <f>IF(AND(CurrentCnt[[#This Row],[Kind]]="Upgrade",LabLevel=0),0,VLOOKUP(CurrentCnt[Building or Upgrade],MaxLevel[],1+IF(CurrentCnt[[#This Row],[Kind]]="Upgrade",LabLevel,THLevel),FALSE))</f>
        <v>8</v>
      </c>
      <c r="G33" s="93">
        <f>CurrentCnt[[#This Row],[Available]]-SUM(CurrentCnt[[#This Row],[1]:[12]])</f>
        <v>0</v>
      </c>
      <c r="H33" s="10"/>
      <c r="I33" s="11"/>
      <c r="J33" s="11"/>
      <c r="K33" s="11"/>
      <c r="L33" s="11"/>
      <c r="M33" s="11"/>
      <c r="N33" s="11">
        <v>2</v>
      </c>
      <c r="O33" s="11">
        <v>2</v>
      </c>
      <c r="P33" s="11"/>
      <c r="Q33" s="11"/>
      <c r="R33" s="11"/>
      <c r="S33" s="12"/>
    </row>
    <row r="34" spans="1:19" ht="18">
      <c r="A34" s="91" t="s">
        <v>24</v>
      </c>
      <c r="B34" s="91" t="str">
        <f>VLOOKUP(CurrentCnt[[#This Row],[Building or Upgrade]],Upgrades[],2,FALSE)</f>
        <v>Wall</v>
      </c>
      <c r="C34" s="91" t="str">
        <f>VLOOKUP(CurrentCnt[Building or Upgrade],Upgrades[],3,FALSE)</f>
        <v>Gold</v>
      </c>
      <c r="D34" s="92" t="str">
        <f>IF((IFERROR(MATCH(CurrentCnt[[#This Row],[Building or Upgrade]],$O$16:$S$16,0),0)+IFERROR(MATCH(CurrentCnt[[#This Row],[Building or Upgrade]],$O$17:$S$17,0),0))&gt;0,"IGNORE",CurrentCnt[Kind]&amp;"-"&amp;CurrentCnt[Resource])</f>
        <v>Wall-Gold</v>
      </c>
      <c r="E34" s="93">
        <f>IF(AND(CurrentCnt[[#This Row],[Kind]]="Upgrade",LabLevel=0),0,VLOOKUP(CurrentCnt[Building or Upgrade],QuantAvail[],1+IF(CurrentCnt[[#This Row],[Kind]]="Upgrade",LabLevel,THLevel),FALSE))</f>
        <v>175</v>
      </c>
      <c r="F34" s="93">
        <f>IF(AND(CurrentCnt[[#This Row],[Kind]]="Upgrade",LabLevel=0),0,VLOOKUP(CurrentCnt[Building or Upgrade],MaxLevel[],1+IF(CurrentCnt[[#This Row],[Kind]]="Upgrade",LabLevel,THLevel),FALSE))</f>
        <v>7</v>
      </c>
      <c r="G34" s="93">
        <f>CurrentCnt[[#This Row],[Available]]-SUM(CurrentCnt[[#This Row],[1]:[12]])</f>
        <v>0</v>
      </c>
      <c r="H34" s="10"/>
      <c r="I34" s="11"/>
      <c r="J34" s="11"/>
      <c r="K34" s="11"/>
      <c r="L34" s="11">
        <v>131</v>
      </c>
      <c r="M34" s="11">
        <v>43</v>
      </c>
      <c r="N34" s="11">
        <v>1</v>
      </c>
      <c r="O34" s="11"/>
      <c r="P34" s="11"/>
      <c r="Q34" s="11"/>
      <c r="R34" s="11"/>
      <c r="S34" s="12"/>
    </row>
    <row r="35" spans="1:19" ht="18">
      <c r="A35" s="91" t="s">
        <v>7</v>
      </c>
      <c r="B35" s="91" t="str">
        <f>VLOOKUP(CurrentCnt[[#This Row],[Building or Upgrade]],Upgrades[],2,FALSE)</f>
        <v>Building</v>
      </c>
      <c r="C35" s="91" t="str">
        <f>VLOOKUP(CurrentCnt[Building or Upgrade],Upgrades[],3,FALSE)</f>
        <v>Gold</v>
      </c>
      <c r="D35" s="92" t="str">
        <f>IF((IFERROR(MATCH(CurrentCnt[[#This Row],[Building or Upgrade]],$O$16:$S$16,0),0)+IFERROR(MATCH(CurrentCnt[[#This Row],[Building or Upgrade]],$O$17:$S$17,0),0))&gt;0,"IGNORE",CurrentCnt[Kind]&amp;"-"&amp;CurrentCnt[Resource])</f>
        <v>Building-Gold</v>
      </c>
      <c r="E35" s="93">
        <f>IF(AND(CurrentCnt[[#This Row],[Kind]]="Upgrade",LabLevel=0),0,VLOOKUP(CurrentCnt[Building or Upgrade],QuantAvail[],1+IF(CurrentCnt[[#This Row],[Kind]]="Upgrade",LabLevel,THLevel),FALSE))</f>
        <v>3</v>
      </c>
      <c r="F35" s="93">
        <f>IF(AND(CurrentCnt[[#This Row],[Kind]]="Upgrade",LabLevel=0),0,VLOOKUP(CurrentCnt[Building or Upgrade],MaxLevel[],1+IF(CurrentCnt[[#This Row],[Kind]]="Upgrade",LabLevel,THLevel),FALSE))</f>
        <v>5</v>
      </c>
      <c r="G35" s="93">
        <f>CurrentCnt[[#This Row],[Available]]-SUM(CurrentCnt[[#This Row],[1]:[12]])</f>
        <v>0</v>
      </c>
      <c r="H35" s="10"/>
      <c r="I35" s="11"/>
      <c r="J35" s="11"/>
      <c r="K35" s="11"/>
      <c r="L35" s="11">
        <v>3</v>
      </c>
      <c r="M35" s="11"/>
      <c r="N35" s="11"/>
      <c r="O35" s="11"/>
      <c r="P35" s="11"/>
      <c r="Q35" s="11"/>
      <c r="R35" s="11"/>
      <c r="S35" s="12"/>
    </row>
    <row r="36" spans="1:19" ht="18">
      <c r="A36" s="91" t="s">
        <v>8</v>
      </c>
      <c r="B36" s="91" t="str">
        <f>VLOOKUP(CurrentCnt[[#This Row],[Building or Upgrade]],Upgrades[],2,FALSE)</f>
        <v>Building</v>
      </c>
      <c r="C36" s="91" t="str">
        <f>VLOOKUP(CurrentCnt[Building or Upgrade],Upgrades[],3,FALSE)</f>
        <v>Gold</v>
      </c>
      <c r="D36" s="92" t="str">
        <f>IF((IFERROR(MATCH(CurrentCnt[[#This Row],[Building or Upgrade]],$O$16:$S$16,0),0)+IFERROR(MATCH(CurrentCnt[[#This Row],[Building or Upgrade]],$O$17:$S$17,0),0))&gt;0,"IGNORE",CurrentCnt[Kind]&amp;"-"&amp;CurrentCnt[Resource])</f>
        <v>Building-Gold</v>
      </c>
      <c r="E36" s="93">
        <f>IF(AND(CurrentCnt[[#This Row],[Kind]]="Upgrade",LabLevel=0),0,VLOOKUP(CurrentCnt[Building or Upgrade],QuantAvail[],1+IF(CurrentCnt[[#This Row],[Kind]]="Upgrade",LabLevel,THLevel),FALSE))</f>
        <v>6</v>
      </c>
      <c r="F36" s="93">
        <f>IF(AND(CurrentCnt[[#This Row],[Kind]]="Upgrade",LabLevel=0),0,VLOOKUP(CurrentCnt[Building or Upgrade],MaxLevel[],1+IF(CurrentCnt[[#This Row],[Kind]]="Upgrade",LabLevel,THLevel),FALSE))</f>
        <v>4</v>
      </c>
      <c r="G36" s="93">
        <f>CurrentCnt[[#This Row],[Available]]-SUM(CurrentCnt[[#This Row],[1]:[12]])</f>
        <v>0</v>
      </c>
      <c r="H36" s="10"/>
      <c r="I36" s="11"/>
      <c r="J36" s="11"/>
      <c r="K36" s="11">
        <v>6</v>
      </c>
      <c r="L36" s="11"/>
      <c r="M36" s="11"/>
      <c r="N36" s="11"/>
      <c r="O36" s="11"/>
      <c r="P36" s="11"/>
      <c r="Q36" s="11"/>
      <c r="R36" s="11"/>
      <c r="S36" s="12"/>
    </row>
    <row r="37" spans="1:19" ht="18">
      <c r="A37" s="91" t="s">
        <v>25</v>
      </c>
      <c r="B37" s="91" t="str">
        <f>VLOOKUP(CurrentCnt[[#This Row],[Building or Upgrade]],Upgrades[],2,FALSE)</f>
        <v>Building</v>
      </c>
      <c r="C37" s="91" t="str">
        <f>VLOOKUP(CurrentCnt[Building or Upgrade],Upgrades[],3,FALSE)</f>
        <v>Gold</v>
      </c>
      <c r="D37" s="92" t="str">
        <f>IF((IFERROR(MATCH(CurrentCnt[[#This Row],[Building or Upgrade]],$O$16:$S$16,0),0)+IFERROR(MATCH(CurrentCnt[[#This Row],[Building or Upgrade]],$O$17:$S$17,0),0))&gt;0,"IGNORE",CurrentCnt[Kind]&amp;"-"&amp;CurrentCnt[Resource])</f>
        <v>Building-Gold</v>
      </c>
      <c r="E37" s="93">
        <f>IF(AND(CurrentCnt[[#This Row],[Kind]]="Upgrade",LabLevel=0),0,VLOOKUP(CurrentCnt[Building or Upgrade],QuantAvail[],1+IF(CurrentCnt[[#This Row],[Kind]]="Upgrade",LabLevel,THLevel),FALSE))</f>
        <v>2</v>
      </c>
      <c r="F37" s="93">
        <f>IF(AND(CurrentCnt[[#This Row],[Kind]]="Upgrade",LabLevel=0),0,VLOOKUP(CurrentCnt[Building or Upgrade],MaxLevel[],1+IF(CurrentCnt[[#This Row],[Kind]]="Upgrade",LabLevel,THLevel),FALSE))</f>
        <v>5</v>
      </c>
      <c r="G37" s="93">
        <f>CurrentCnt[[#This Row],[Available]]-SUM(CurrentCnt[[#This Row],[1]:[12]])</f>
        <v>0</v>
      </c>
      <c r="H37" s="10"/>
      <c r="I37" s="11"/>
      <c r="J37" s="11"/>
      <c r="K37" s="11">
        <v>2</v>
      </c>
      <c r="L37" s="11"/>
      <c r="M37" s="11"/>
      <c r="N37" s="11"/>
      <c r="O37" s="11"/>
      <c r="P37" s="11"/>
      <c r="Q37" s="11"/>
      <c r="R37" s="11"/>
      <c r="S37" s="12"/>
    </row>
    <row r="38" spans="1:19" ht="18">
      <c r="A38" s="91" t="s">
        <v>26</v>
      </c>
      <c r="B38" s="91" t="str">
        <f>VLOOKUP(CurrentCnt[[#This Row],[Building or Upgrade]],Upgrades[],2,FALSE)</f>
        <v>Building</v>
      </c>
      <c r="C38" s="91" t="str">
        <f>VLOOKUP(CurrentCnt[Building or Upgrade],Upgrades[],3,FALSE)</f>
        <v>Gold</v>
      </c>
      <c r="D38" s="92" t="str">
        <f>IF((IFERROR(MATCH(CurrentCnt[[#This Row],[Building or Upgrade]],$O$16:$S$16,0),0)+IFERROR(MATCH(CurrentCnt[[#This Row],[Building or Upgrade]],$O$17:$S$17,0),0))&gt;0,"IGNORE",CurrentCnt[Kind]&amp;"-"&amp;CurrentCnt[Resource])</f>
        <v>Building-Gold</v>
      </c>
      <c r="E38" s="93">
        <f>IF(AND(CurrentCnt[[#This Row],[Kind]]="Upgrade",LabLevel=0),0,VLOOKUP(CurrentCnt[Building or Upgrade],QuantAvail[],1+IF(CurrentCnt[[#This Row],[Kind]]="Upgrade",LabLevel,THLevel),FALSE))</f>
        <v>4</v>
      </c>
      <c r="F38" s="93">
        <f>IF(AND(CurrentCnt[[#This Row],[Kind]]="Upgrade",LabLevel=0),0,VLOOKUP(CurrentCnt[Building or Upgrade],MaxLevel[],1+IF(CurrentCnt[[#This Row],[Kind]]="Upgrade",LabLevel,THLevel),FALSE))</f>
        <v>1</v>
      </c>
      <c r="G38" s="93">
        <f>CurrentCnt[[#This Row],[Available]]-SUM(CurrentCnt[[#This Row],[1]:[12]])</f>
        <v>0</v>
      </c>
      <c r="H38" s="10">
        <v>4</v>
      </c>
      <c r="I38" s="11"/>
      <c r="J38" s="11"/>
      <c r="K38" s="11"/>
      <c r="L38" s="11"/>
      <c r="M38" s="11"/>
      <c r="N38" s="11"/>
      <c r="O38" s="11"/>
      <c r="P38" s="11"/>
      <c r="Q38" s="11"/>
      <c r="R38" s="11"/>
      <c r="S38" s="12"/>
    </row>
    <row r="39" spans="1:19" ht="18">
      <c r="A39" s="91" t="s">
        <v>27</v>
      </c>
      <c r="B39" s="91" t="str">
        <f>VLOOKUP(CurrentCnt[[#This Row],[Building or Upgrade]],Upgrades[],2,FALSE)</f>
        <v>Building</v>
      </c>
      <c r="C39" s="91" t="str">
        <f>VLOOKUP(CurrentCnt[Building or Upgrade],Upgrades[],3,FALSE)</f>
        <v>Gold</v>
      </c>
      <c r="D39" s="92" t="str">
        <f>IF((IFERROR(MATCH(CurrentCnt[[#This Row],[Building or Upgrade]],$O$16:$S$16,0),0)+IFERROR(MATCH(CurrentCnt[[#This Row],[Building or Upgrade]],$O$17:$S$17,0),0))&gt;0,"IGNORE",CurrentCnt[Kind]&amp;"-"&amp;CurrentCnt[Resource])</f>
        <v>Building-Gold</v>
      </c>
      <c r="E39" s="93">
        <f>IF(AND(CurrentCnt[[#This Row],[Kind]]="Upgrade",LabLevel=0),0,VLOOKUP(CurrentCnt[Building or Upgrade],QuantAvail[],1+IF(CurrentCnt[[#This Row],[Kind]]="Upgrade",LabLevel,THLevel),FALSE))</f>
        <v>2</v>
      </c>
      <c r="F39" s="93">
        <f>IF(AND(CurrentCnt[[#This Row],[Kind]]="Upgrade",LabLevel=0),0,VLOOKUP(CurrentCnt[Building or Upgrade],MaxLevel[],1+IF(CurrentCnt[[#This Row],[Kind]]="Upgrade",LabLevel,THLevel),FALSE))</f>
        <v>4</v>
      </c>
      <c r="G39" s="93">
        <f>CurrentCnt[[#This Row],[Available]]-SUM(CurrentCnt[[#This Row],[1]:[12]])</f>
        <v>0</v>
      </c>
      <c r="H39" s="10"/>
      <c r="I39" s="11"/>
      <c r="J39" s="11">
        <v>2</v>
      </c>
      <c r="K39" s="11"/>
      <c r="L39" s="11"/>
      <c r="M39" s="11"/>
      <c r="N39" s="11"/>
      <c r="O39" s="11"/>
      <c r="P39" s="11"/>
      <c r="Q39" s="11"/>
      <c r="R39" s="11"/>
      <c r="S39" s="12"/>
    </row>
    <row r="40" spans="1:19" ht="18">
      <c r="A40" s="91" t="s">
        <v>9</v>
      </c>
      <c r="B40" s="91" t="str">
        <f>VLOOKUP(CurrentCnt[[#This Row],[Building or Upgrade]],Upgrades[],2,FALSE)</f>
        <v>Building</v>
      </c>
      <c r="C40" s="91" t="str">
        <f>VLOOKUP(CurrentCnt[Building or Upgrade],Upgrades[],3,FALSE)</f>
        <v>Gold</v>
      </c>
      <c r="D40" s="92" t="str">
        <f>IF((IFERROR(MATCH(CurrentCnt[[#This Row],[Building or Upgrade]],$O$16:$S$16,0),0)+IFERROR(MATCH(CurrentCnt[[#This Row],[Building or Upgrade]],$O$17:$S$17,0),0))&gt;0,"IGNORE",CurrentCnt[Kind]&amp;"-"&amp;CurrentCnt[Resource])</f>
        <v>Building-Gold</v>
      </c>
      <c r="E40" s="93">
        <f>IF(AND(CurrentCnt[[#This Row],[Kind]]="Upgrade",LabLevel=0),0,VLOOKUP(CurrentCnt[Building or Upgrade],QuantAvail[],1+IF(CurrentCnt[[#This Row],[Kind]]="Upgrade",LabLevel,THLevel),FALSE))</f>
        <v>2</v>
      </c>
      <c r="F40" s="93">
        <f>IF(AND(CurrentCnt[[#This Row],[Kind]]="Upgrade",LabLevel=0),0,VLOOKUP(CurrentCnt[Building or Upgrade],MaxLevel[],1+IF(CurrentCnt[[#This Row],[Kind]]="Upgrade",LabLevel,THLevel),FALSE))</f>
        <v>2</v>
      </c>
      <c r="G40" s="93">
        <f>CurrentCnt[[#This Row],[Available]]-SUM(CurrentCnt[[#This Row],[1]:[12]])</f>
        <v>0</v>
      </c>
      <c r="H40" s="10"/>
      <c r="I40" s="11">
        <v>2</v>
      </c>
      <c r="J40" s="11"/>
      <c r="K40" s="11"/>
      <c r="L40" s="11"/>
      <c r="M40" s="11"/>
      <c r="N40" s="11"/>
      <c r="O40" s="11"/>
      <c r="P40" s="11"/>
      <c r="Q40" s="11"/>
      <c r="R40" s="11"/>
      <c r="S40" s="12"/>
    </row>
    <row r="41" spans="1:19" ht="18">
      <c r="A41" s="91" t="s">
        <v>10</v>
      </c>
      <c r="B41" s="91" t="str">
        <f>VLOOKUP(CurrentCnt[[#This Row],[Building or Upgrade]],Upgrades[],2,FALSE)</f>
        <v>Building</v>
      </c>
      <c r="C41" s="91" t="str">
        <f>VLOOKUP(CurrentCnt[Building or Upgrade],Upgrades[],3,FALSE)</f>
        <v>Gold</v>
      </c>
      <c r="D41" s="92" t="str">
        <f>IF((IFERROR(MATCH(CurrentCnt[[#This Row],[Building or Upgrade]],$O$16:$S$16,0),0)+IFERROR(MATCH(CurrentCnt[[#This Row],[Building or Upgrade]],$O$17:$S$17,0),0))&gt;0,"IGNORE",CurrentCnt[Kind]&amp;"-"&amp;CurrentCnt[Resource])</f>
        <v>Building-Gold</v>
      </c>
      <c r="E41" s="93">
        <f>IF(AND(CurrentCnt[[#This Row],[Kind]]="Upgrade",LabLevel=0),0,VLOOKUP(CurrentCnt[Building or Upgrade],QuantAvail[],1+IF(CurrentCnt[[#This Row],[Kind]]="Upgrade",LabLevel,THLevel),FALSE))</f>
        <v>2</v>
      </c>
      <c r="F41" s="93">
        <f>IF(AND(CurrentCnt[[#This Row],[Kind]]="Upgrade",LabLevel=0),0,VLOOKUP(CurrentCnt[Building or Upgrade],MaxLevel[],1+IF(CurrentCnt[[#This Row],[Kind]]="Upgrade",LabLevel,THLevel),FALSE))</f>
        <v>3</v>
      </c>
      <c r="G41" s="93">
        <f>CurrentCnt[[#This Row],[Available]]-SUM(CurrentCnt[[#This Row],[1]:[12]])</f>
        <v>0</v>
      </c>
      <c r="H41" s="10"/>
      <c r="I41" s="11"/>
      <c r="J41" s="11">
        <v>2</v>
      </c>
      <c r="K41" s="11"/>
      <c r="L41" s="11"/>
      <c r="M41" s="11"/>
      <c r="N41" s="11"/>
      <c r="O41" s="11"/>
      <c r="P41" s="11"/>
      <c r="Q41" s="11"/>
      <c r="R41" s="11"/>
      <c r="S41" s="12"/>
    </row>
    <row r="42" spans="1:19" ht="18">
      <c r="A42" s="91" t="s">
        <v>28</v>
      </c>
      <c r="B42" s="91" t="str">
        <f>VLOOKUP(CurrentCnt[[#This Row],[Building or Upgrade]],Upgrades[],2,FALSE)</f>
        <v>Building</v>
      </c>
      <c r="C42" s="91" t="str">
        <f>VLOOKUP(CurrentCnt[Building or Upgrade],Upgrades[],3,FALSE)</f>
        <v>Gold</v>
      </c>
      <c r="D42" s="92" t="str">
        <f>IF((IFERROR(MATCH(CurrentCnt[[#This Row],[Building or Upgrade]],$O$16:$S$16,0),0)+IFERROR(MATCH(CurrentCnt[[#This Row],[Building or Upgrade]],$O$17:$S$17,0),0))&gt;0,"IGNORE",CurrentCnt[Kind]&amp;"-"&amp;CurrentCnt[Resource])</f>
        <v>Building-Gold</v>
      </c>
      <c r="E42" s="93">
        <f>IF(AND(CurrentCnt[[#This Row],[Kind]]="Upgrade",LabLevel=0),0,VLOOKUP(CurrentCnt[Building or Upgrade],QuantAvail[],1+IF(CurrentCnt[[#This Row],[Kind]]="Upgrade",LabLevel,THLevel),FALSE))</f>
        <v>1</v>
      </c>
      <c r="F42" s="93">
        <f>IF(AND(CurrentCnt[[#This Row],[Kind]]="Upgrade",LabLevel=0),0,VLOOKUP(CurrentCnt[Building or Upgrade],MaxLevel[],1+IF(CurrentCnt[[#This Row],[Kind]]="Upgrade",LabLevel,THLevel),FALSE))</f>
        <v>1</v>
      </c>
      <c r="G42" s="93">
        <f>CurrentCnt[[#This Row],[Available]]-SUM(CurrentCnt[[#This Row],[1]:[12]])</f>
        <v>0</v>
      </c>
      <c r="H42" s="10">
        <v>1</v>
      </c>
      <c r="I42" s="11"/>
      <c r="J42" s="11"/>
      <c r="K42" s="11"/>
      <c r="L42" s="11"/>
      <c r="M42" s="11"/>
      <c r="N42" s="11"/>
      <c r="O42" s="11"/>
      <c r="P42" s="11"/>
      <c r="Q42" s="11"/>
      <c r="R42" s="11"/>
      <c r="S42" s="12"/>
    </row>
    <row r="43" spans="1:19" ht="18">
      <c r="A43" s="91" t="s">
        <v>11</v>
      </c>
      <c r="B43" s="91" t="str">
        <f>VLOOKUP(CurrentCnt[[#This Row],[Building or Upgrade]],Upgrades[],2,FALSE)</f>
        <v>Building</v>
      </c>
      <c r="C43" s="91" t="str">
        <f>VLOOKUP(CurrentCnt[Building or Upgrade],Upgrades[],3,FALSE)</f>
        <v>Gold</v>
      </c>
      <c r="D43" s="92" t="str">
        <f>IF((IFERROR(MATCH(CurrentCnt[[#This Row],[Building or Upgrade]],$O$16:$S$16,0),0)+IFERROR(MATCH(CurrentCnt[[#This Row],[Building or Upgrade]],$O$17:$S$17,0),0))&gt;0,"IGNORE",CurrentCnt[Kind]&amp;"-"&amp;CurrentCnt[Resource])</f>
        <v>Building-Gold</v>
      </c>
      <c r="E43" s="93">
        <f>IF(AND(CurrentCnt[[#This Row],[Kind]]="Upgrade",LabLevel=0),0,VLOOKUP(CurrentCnt[Building or Upgrade],QuantAvail[],1+IF(CurrentCnt[[#This Row],[Kind]]="Upgrade",LabLevel,THLevel),FALSE))</f>
        <v>2</v>
      </c>
      <c r="F43" s="93">
        <f>IF(AND(CurrentCnt[[#This Row],[Kind]]="Upgrade",LabLevel=0),0,VLOOKUP(CurrentCnt[Building or Upgrade],MaxLevel[],1+IF(CurrentCnt[[#This Row],[Kind]]="Upgrade",LabLevel,THLevel),FALSE))</f>
        <v>3</v>
      </c>
      <c r="G43" s="93">
        <f>CurrentCnt[[#This Row],[Available]]-SUM(CurrentCnt[[#This Row],[1]:[12]])</f>
        <v>0</v>
      </c>
      <c r="H43" s="10">
        <v>2</v>
      </c>
      <c r="I43" s="11"/>
      <c r="J43" s="11"/>
      <c r="K43" s="11"/>
      <c r="L43" s="11"/>
      <c r="M43" s="11"/>
      <c r="N43" s="11"/>
      <c r="O43" s="11"/>
      <c r="P43" s="11"/>
      <c r="Q43" s="11"/>
      <c r="R43" s="11"/>
      <c r="S43" s="12"/>
    </row>
    <row r="44" spans="1:19" ht="18">
      <c r="A44" s="91" t="s">
        <v>12</v>
      </c>
      <c r="B44" s="91" t="str">
        <f>VLOOKUP(CurrentCnt[[#This Row],[Building or Upgrade]],Upgrades[],2,FALSE)</f>
        <v>Building</v>
      </c>
      <c r="C44" s="91" t="str">
        <f>VLOOKUP(CurrentCnt[Building or Upgrade],Upgrades[],3,FALSE)</f>
        <v>Gold</v>
      </c>
      <c r="D44" s="92" t="str">
        <f>IF((IFERROR(MATCH(CurrentCnt[[#This Row],[Building or Upgrade]],$O$16:$S$16,0),0)+IFERROR(MATCH(CurrentCnt[[#This Row],[Building or Upgrade]],$O$17:$S$17,0),0))&gt;0,"IGNORE",CurrentCnt[Kind]&amp;"-"&amp;CurrentCnt[Resource])</f>
        <v>Building-Gold</v>
      </c>
      <c r="E44" s="93">
        <f>IF(AND(CurrentCnt[[#This Row],[Kind]]="Upgrade",LabLevel=0),0,VLOOKUP(CurrentCnt[Building or Upgrade],QuantAvail[],1+IF(CurrentCnt[[#This Row],[Kind]]="Upgrade",LabLevel,THLevel),FALSE))</f>
        <v>0</v>
      </c>
      <c r="F44" s="93">
        <f>IF(AND(CurrentCnt[[#This Row],[Kind]]="Upgrade",LabLevel=0),0,VLOOKUP(CurrentCnt[Building or Upgrade],MaxLevel[],1+IF(CurrentCnt[[#This Row],[Kind]]="Upgrade",LabLevel,THLevel),FALSE))</f>
        <v>0</v>
      </c>
      <c r="G44" s="93">
        <f>CurrentCnt[[#This Row],[Available]]-SUM(CurrentCnt[[#This Row],[1]:[12]])</f>
        <v>0</v>
      </c>
      <c r="H44" s="10"/>
      <c r="I44" s="11"/>
      <c r="J44" s="11"/>
      <c r="K44" s="11"/>
      <c r="L44" s="11"/>
      <c r="M44" s="11"/>
      <c r="N44" s="11"/>
      <c r="O44" s="11"/>
      <c r="P44" s="11"/>
      <c r="Q44" s="11"/>
      <c r="R44" s="11"/>
      <c r="S44" s="12"/>
    </row>
    <row r="45" spans="1:19" ht="18">
      <c r="A45" s="91" t="s">
        <v>29</v>
      </c>
      <c r="B45" s="91" t="str">
        <f>VLOOKUP(CurrentCnt[[#This Row],[Building or Upgrade]],Upgrades[],2,FALSE)</f>
        <v>Building</v>
      </c>
      <c r="C45" s="91" t="str">
        <f>VLOOKUP(CurrentCnt[Building or Upgrade],Upgrades[],3,FALSE)</f>
        <v>Gold</v>
      </c>
      <c r="D45" s="92" t="str">
        <f>IF((IFERROR(MATCH(CurrentCnt[[#This Row],[Building or Upgrade]],$O$16:$S$16,0),0)+IFERROR(MATCH(CurrentCnt[[#This Row],[Building or Upgrade]],$O$17:$S$17,0),0))&gt;0,"IGNORE",CurrentCnt[Kind]&amp;"-"&amp;CurrentCnt[Resource])</f>
        <v>Building-Gold</v>
      </c>
      <c r="E45" s="93">
        <f>IF(AND(CurrentCnt[[#This Row],[Kind]]="Upgrade",LabLevel=0),0,VLOOKUP(CurrentCnt[Building or Upgrade],QuantAvail[],1+IF(CurrentCnt[[#This Row],[Kind]]="Upgrade",LabLevel,THLevel),FALSE))</f>
        <v>0</v>
      </c>
      <c r="F45" s="93">
        <f>IF(AND(CurrentCnt[[#This Row],[Kind]]="Upgrade",LabLevel=0),0,VLOOKUP(CurrentCnt[Building or Upgrade],MaxLevel[],1+IF(CurrentCnt[[#This Row],[Kind]]="Upgrade",LabLevel,THLevel),FALSE))</f>
        <v>0</v>
      </c>
      <c r="G45" s="93">
        <f>CurrentCnt[[#This Row],[Available]]-SUM(CurrentCnt[[#This Row],[1]:[12]])</f>
        <v>0</v>
      </c>
      <c r="H45" s="10"/>
      <c r="I45" s="11"/>
      <c r="J45" s="11"/>
      <c r="K45" s="11"/>
      <c r="L45" s="11"/>
      <c r="M45" s="11"/>
      <c r="N45" s="11"/>
      <c r="O45" s="11"/>
      <c r="P45" s="11"/>
      <c r="Q45" s="11"/>
      <c r="R45" s="11"/>
      <c r="S45" s="12"/>
    </row>
    <row r="46" spans="1:19" ht="18">
      <c r="A46" s="91" t="s">
        <v>107</v>
      </c>
      <c r="B46" s="91" t="str">
        <f>VLOOKUP(CurrentCnt[[#This Row],[Building or Upgrade]],Upgrades[],2,FALSE)</f>
        <v>Building</v>
      </c>
      <c r="C46" s="91" t="str">
        <f>VLOOKUP(CurrentCnt[Building or Upgrade],Upgrades[],3,FALSE)</f>
        <v>Dark Elixir</v>
      </c>
      <c r="D46" s="92" t="str">
        <f>IF((IFERROR(MATCH(CurrentCnt[[#This Row],[Building or Upgrade]],$O$16:$S$16,0),0)+IFERROR(MATCH(CurrentCnt[[#This Row],[Building or Upgrade]],$O$17:$S$17,0),0))&gt;0,"IGNORE",CurrentCnt[Kind]&amp;"-"&amp;CurrentCnt[Resource])</f>
        <v>Building-Dark Elixir</v>
      </c>
      <c r="E46" s="97">
        <f>IF(AND(CurrentCnt[[#This Row],[Kind]]="Upgrade",LabLevel=0),0,VLOOKUP(CurrentCnt[Building or Upgrade],QuantAvail[],1+IF(CurrentCnt[[#This Row],[Kind]]="Upgrade",LabLevel,THLevel),FALSE))</f>
        <v>1</v>
      </c>
      <c r="F46" s="97">
        <f>IF(AND(CurrentCnt[[#This Row],[Kind]]="Upgrade",LabLevel=0),0,VLOOKUP(CurrentCnt[Building or Upgrade],MaxLevel[],1+IF(CurrentCnt[[#This Row],[Kind]]="Upgrade",LabLevel,THLevel),FALSE))</f>
        <v>1</v>
      </c>
      <c r="G46" s="97">
        <f>CurrentCnt[[#This Row],[Available]]-SUM(CurrentCnt[[#This Row],[1]:[12]])</f>
        <v>0</v>
      </c>
      <c r="H46" s="14">
        <v>1</v>
      </c>
      <c r="I46" s="13"/>
      <c r="J46" s="11"/>
      <c r="K46" s="11"/>
      <c r="L46" s="11"/>
      <c r="M46" s="11"/>
      <c r="N46" s="11"/>
      <c r="O46" s="11"/>
      <c r="P46" s="13"/>
      <c r="Q46" s="11"/>
      <c r="R46" s="11"/>
      <c r="S46" s="12"/>
    </row>
    <row r="47" spans="1:19" ht="18">
      <c r="A47" s="91" t="s">
        <v>108</v>
      </c>
      <c r="B47" s="91" t="str">
        <f>VLOOKUP(CurrentCnt[[#This Row],[Building or Upgrade]],Upgrades[],2,FALSE)</f>
        <v>Building</v>
      </c>
      <c r="C47" s="91" t="str">
        <f>VLOOKUP(CurrentCnt[Building or Upgrade],Upgrades[],3,FALSE)</f>
        <v>Dark Elixir</v>
      </c>
      <c r="D47" s="92" t="str">
        <f>IF((IFERROR(MATCH(CurrentCnt[[#This Row],[Building or Upgrade]],$O$16:$S$16,0),0)+IFERROR(MATCH(CurrentCnt[[#This Row],[Building or Upgrade]],$O$17:$S$17,0),0))&gt;0,"IGNORE",CurrentCnt[Kind]&amp;"-"&amp;CurrentCnt[Resource])</f>
        <v>Building-Dark Elixir</v>
      </c>
      <c r="E47" s="97">
        <f>IF(AND(CurrentCnt[[#This Row],[Kind]]="Upgrade",LabLevel=0),0,VLOOKUP(CurrentCnt[Building or Upgrade],QuantAvail[],1+IF(CurrentCnt[[#This Row],[Kind]]="Upgrade",LabLevel,THLevel),FALSE))</f>
        <v>0</v>
      </c>
      <c r="F47" s="97">
        <f>IF(AND(CurrentCnt[[#This Row],[Kind]]="Upgrade",LabLevel=0),0,VLOOKUP(CurrentCnt[Building or Upgrade],MaxLevel[],1+IF(CurrentCnt[[#This Row],[Kind]]="Upgrade",LabLevel,THLevel),FALSE))</f>
        <v>0</v>
      </c>
      <c r="G47" s="97">
        <f>CurrentCnt[[#This Row],[Available]]-SUM(CurrentCnt[[#This Row],[1]:[12]])</f>
        <v>0</v>
      </c>
      <c r="H47" s="14"/>
      <c r="I47" s="13"/>
      <c r="J47" s="11"/>
      <c r="K47" s="11"/>
      <c r="L47" s="11"/>
      <c r="M47" s="11"/>
      <c r="N47" s="11"/>
      <c r="O47" s="11"/>
      <c r="P47" s="13"/>
      <c r="Q47" s="11"/>
      <c r="R47" s="11"/>
      <c r="S47" s="12"/>
    </row>
    <row r="48" spans="1:19" ht="18">
      <c r="A48" s="91" t="s">
        <v>84</v>
      </c>
      <c r="B48" s="91" t="str">
        <f>VLOOKUP(CurrentCnt[[#This Row],[Building or Upgrade]],Upgrades[],2,FALSE)</f>
        <v>Upgrade</v>
      </c>
      <c r="C48" s="91" t="str">
        <f>VLOOKUP(CurrentCnt[Building or Upgrade],Upgrades[],3,FALSE)</f>
        <v>Elixir</v>
      </c>
      <c r="D48" s="92" t="str">
        <f>IF((IFERROR(MATCH(CurrentCnt[[#This Row],[Building or Upgrade]],$O$16:$S$16,0),0)+IFERROR(MATCH(CurrentCnt[[#This Row],[Building or Upgrade]],$O$17:$S$17,0),0))&gt;0,"IGNORE",CurrentCnt[Kind]&amp;"-"&amp;CurrentCnt[Resource])</f>
        <v>Upgrade-Elixir</v>
      </c>
      <c r="E48" s="97">
        <f>IF(AND(CurrentCnt[[#This Row],[Kind]]="Upgrade",LabLevel=0),0,VLOOKUP(CurrentCnt[Building or Upgrade],QuantAvail[],1+IF(CurrentCnt[[#This Row],[Kind]]="Upgrade",LabLevel,THLevel),FALSE))</f>
        <v>1</v>
      </c>
      <c r="F48" s="97">
        <f>IF(AND(CurrentCnt[[#This Row],[Kind]]="Upgrade",LabLevel=0),0,VLOOKUP(CurrentCnt[Building or Upgrade],MaxLevel[],1+IF(CurrentCnt[[#This Row],[Kind]]="Upgrade",LabLevel,THLevel),FALSE))</f>
        <v>4</v>
      </c>
      <c r="G48" s="97">
        <f>CurrentCnt[[#This Row],[Available]]-SUM(CurrentCnt[[#This Row],[1]:[12]])</f>
        <v>0</v>
      </c>
      <c r="H48" s="14"/>
      <c r="I48" s="13"/>
      <c r="J48" s="11"/>
      <c r="K48" s="11">
        <v>1</v>
      </c>
      <c r="L48" s="11"/>
      <c r="M48" s="11"/>
      <c r="N48" s="11"/>
      <c r="O48" s="11"/>
      <c r="P48" s="13"/>
      <c r="Q48" s="11"/>
      <c r="R48" s="11"/>
      <c r="S48" s="12"/>
    </row>
    <row r="49" spans="1:19" ht="18">
      <c r="A49" s="91" t="s">
        <v>85</v>
      </c>
      <c r="B49" s="91" t="str">
        <f>VLOOKUP(CurrentCnt[[#This Row],[Building or Upgrade]],Upgrades[],2,FALSE)</f>
        <v>Upgrade</v>
      </c>
      <c r="C49" s="91" t="str">
        <f>VLOOKUP(CurrentCnt[Building or Upgrade],Upgrades[],3,FALSE)</f>
        <v>Elixir</v>
      </c>
      <c r="D49" s="92" t="str">
        <f>IF((IFERROR(MATCH(CurrentCnt[[#This Row],[Building or Upgrade]],$O$16:$S$16,0),0)+IFERROR(MATCH(CurrentCnt[[#This Row],[Building or Upgrade]],$O$17:$S$17,0),0))&gt;0,"IGNORE",CurrentCnt[Kind]&amp;"-"&amp;CurrentCnt[Resource])</f>
        <v>Upgrade-Elixir</v>
      </c>
      <c r="E49" s="97">
        <f>IF(AND(CurrentCnt[[#This Row],[Kind]]="Upgrade",LabLevel=0),0,VLOOKUP(CurrentCnt[Building or Upgrade],QuantAvail[],1+IF(CurrentCnt[[#This Row],[Kind]]="Upgrade",LabLevel,THLevel),FALSE))</f>
        <v>1</v>
      </c>
      <c r="F49" s="97">
        <f>IF(AND(CurrentCnt[[#This Row],[Kind]]="Upgrade",LabLevel=0),0,VLOOKUP(CurrentCnt[Building or Upgrade],MaxLevel[],1+IF(CurrentCnt[[#This Row],[Kind]]="Upgrade",LabLevel,THLevel),FALSE))</f>
        <v>4</v>
      </c>
      <c r="G49" s="97">
        <f>CurrentCnt[[#This Row],[Available]]-SUM(CurrentCnt[[#This Row],[1]:[12]])</f>
        <v>0</v>
      </c>
      <c r="H49" s="14"/>
      <c r="I49" s="13"/>
      <c r="J49" s="11"/>
      <c r="K49" s="11">
        <v>1</v>
      </c>
      <c r="L49" s="11"/>
      <c r="M49" s="11"/>
      <c r="N49" s="11"/>
      <c r="O49" s="11"/>
      <c r="P49" s="13"/>
      <c r="Q49" s="11"/>
      <c r="R49" s="11"/>
      <c r="S49" s="12"/>
    </row>
    <row r="50" spans="1:19" ht="18">
      <c r="A50" s="91" t="s">
        <v>86</v>
      </c>
      <c r="B50" s="91" t="str">
        <f>VLOOKUP(CurrentCnt[[#This Row],[Building or Upgrade]],Upgrades[],2,FALSE)</f>
        <v>Upgrade</v>
      </c>
      <c r="C50" s="91" t="str">
        <f>VLOOKUP(CurrentCnt[Building or Upgrade],Upgrades[],3,FALSE)</f>
        <v>Elixir</v>
      </c>
      <c r="D50" s="92" t="str">
        <f>IF((IFERROR(MATCH(CurrentCnt[[#This Row],[Building or Upgrade]],$O$16:$S$16,0),0)+IFERROR(MATCH(CurrentCnt[[#This Row],[Building or Upgrade]],$O$17:$S$17,0),0))&gt;0,"IGNORE",CurrentCnt[Kind]&amp;"-"&amp;CurrentCnt[Resource])</f>
        <v>Upgrade-Elixir</v>
      </c>
      <c r="E50" s="97">
        <f>IF(AND(CurrentCnt[[#This Row],[Kind]]="Upgrade",LabLevel=0),0,VLOOKUP(CurrentCnt[Building or Upgrade],QuantAvail[],1+IF(CurrentCnt[[#This Row],[Kind]]="Upgrade",LabLevel,THLevel),FALSE))</f>
        <v>1</v>
      </c>
      <c r="F50" s="97">
        <f>IF(AND(CurrentCnt[[#This Row],[Kind]]="Upgrade",LabLevel=0),0,VLOOKUP(CurrentCnt[Building or Upgrade],MaxLevel[],1+IF(CurrentCnt[[#This Row],[Kind]]="Upgrade",LabLevel,THLevel),FALSE))</f>
        <v>4</v>
      </c>
      <c r="G50" s="97">
        <f>CurrentCnt[[#This Row],[Available]]-SUM(CurrentCnt[[#This Row],[1]:[12]])</f>
        <v>0</v>
      </c>
      <c r="H50" s="14"/>
      <c r="I50" s="13"/>
      <c r="J50" s="11">
        <v>1</v>
      </c>
      <c r="K50" s="11"/>
      <c r="L50" s="11"/>
      <c r="M50" s="11"/>
      <c r="N50" s="11"/>
      <c r="O50" s="11"/>
      <c r="P50" s="13"/>
      <c r="Q50" s="11"/>
      <c r="R50" s="11"/>
      <c r="S50" s="12"/>
    </row>
    <row r="51" spans="1:19" ht="18">
      <c r="A51" s="91" t="s">
        <v>87</v>
      </c>
      <c r="B51" s="91" t="str">
        <f>VLOOKUP(CurrentCnt[[#This Row],[Building or Upgrade]],Upgrades[],2,FALSE)</f>
        <v>Upgrade</v>
      </c>
      <c r="C51" s="91" t="str">
        <f>VLOOKUP(CurrentCnt[Building or Upgrade],Upgrades[],3,FALSE)</f>
        <v>Elixir</v>
      </c>
      <c r="D51" s="92" t="str">
        <f>IF((IFERROR(MATCH(CurrentCnt[[#This Row],[Building or Upgrade]],$O$16:$S$16,0),0)+IFERROR(MATCH(CurrentCnt[[#This Row],[Building or Upgrade]],$O$17:$S$17,0),0))&gt;0,"IGNORE",CurrentCnt[Kind]&amp;"-"&amp;CurrentCnt[Resource])</f>
        <v>Upgrade-Elixir</v>
      </c>
      <c r="E51" s="97">
        <f>IF(AND(CurrentCnt[[#This Row],[Kind]]="Upgrade",LabLevel=0),0,VLOOKUP(CurrentCnt[Building or Upgrade],QuantAvail[],1+IF(CurrentCnt[[#This Row],[Kind]]="Upgrade",LabLevel,THLevel),FALSE))</f>
        <v>1</v>
      </c>
      <c r="F51" s="97">
        <f>IF(AND(CurrentCnt[[#This Row],[Kind]]="Upgrade",LabLevel=0),0,VLOOKUP(CurrentCnt[Building or Upgrade],MaxLevel[],1+IF(CurrentCnt[[#This Row],[Kind]]="Upgrade",LabLevel,THLevel),FALSE))</f>
        <v>4</v>
      </c>
      <c r="G51" s="97">
        <f>CurrentCnt[[#This Row],[Available]]-SUM(CurrentCnt[[#This Row],[1]:[12]])</f>
        <v>0</v>
      </c>
      <c r="H51" s="14"/>
      <c r="I51" s="13"/>
      <c r="J51" s="11"/>
      <c r="K51" s="11">
        <v>1</v>
      </c>
      <c r="L51" s="11"/>
      <c r="M51" s="11"/>
      <c r="N51" s="11"/>
      <c r="O51" s="11"/>
      <c r="P51" s="13"/>
      <c r="Q51" s="11"/>
      <c r="R51" s="11"/>
      <c r="S51" s="12"/>
    </row>
    <row r="52" spans="1:19" ht="18">
      <c r="A52" s="91" t="s">
        <v>88</v>
      </c>
      <c r="B52" s="91" t="str">
        <f>VLOOKUP(CurrentCnt[[#This Row],[Building or Upgrade]],Upgrades[],2,FALSE)</f>
        <v>Upgrade</v>
      </c>
      <c r="C52" s="91" t="str">
        <f>VLOOKUP(CurrentCnt[Building or Upgrade],Upgrades[],3,FALSE)</f>
        <v>Elixir</v>
      </c>
      <c r="D52" s="92" t="str">
        <f>IF((IFERROR(MATCH(CurrentCnt[[#This Row],[Building or Upgrade]],$O$16:$S$16,0),0)+IFERROR(MATCH(CurrentCnt[[#This Row],[Building or Upgrade]],$O$17:$S$17,0),0))&gt;0,"IGNORE",CurrentCnt[Kind]&amp;"-"&amp;CurrentCnt[Resource])</f>
        <v>Upgrade-Elixir</v>
      </c>
      <c r="E52" s="97">
        <f>IF(AND(CurrentCnt[[#This Row],[Kind]]="Upgrade",LabLevel=0),0,VLOOKUP(CurrentCnt[Building or Upgrade],QuantAvail[],1+IF(CurrentCnt[[#This Row],[Kind]]="Upgrade",LabLevel,THLevel),FALSE))</f>
        <v>1</v>
      </c>
      <c r="F52" s="97">
        <f>IF(AND(CurrentCnt[[#This Row],[Kind]]="Upgrade",LabLevel=0),0,VLOOKUP(CurrentCnt[Building or Upgrade],MaxLevel[],1+IF(CurrentCnt[[#This Row],[Kind]]="Upgrade",LabLevel,THLevel),FALSE))</f>
        <v>4</v>
      </c>
      <c r="G52" s="97">
        <f>CurrentCnt[[#This Row],[Available]]-SUM(CurrentCnt[[#This Row],[1]:[12]])</f>
        <v>0</v>
      </c>
      <c r="H52" s="14"/>
      <c r="I52" s="13"/>
      <c r="J52" s="11">
        <v>1</v>
      </c>
      <c r="K52" s="11"/>
      <c r="L52" s="11"/>
      <c r="M52" s="11"/>
      <c r="N52" s="11"/>
      <c r="O52" s="11"/>
      <c r="P52" s="13"/>
      <c r="Q52" s="11"/>
      <c r="R52" s="11"/>
      <c r="S52" s="12"/>
    </row>
    <row r="53" spans="1:19" ht="18">
      <c r="A53" s="91" t="s">
        <v>89</v>
      </c>
      <c r="B53" s="91" t="str">
        <f>VLOOKUP(CurrentCnt[[#This Row],[Building or Upgrade]],Upgrades[],2,FALSE)</f>
        <v>Upgrade</v>
      </c>
      <c r="C53" s="91" t="str">
        <f>VLOOKUP(CurrentCnt[Building or Upgrade],Upgrades[],3,FALSE)</f>
        <v>Elixir</v>
      </c>
      <c r="D53" s="92" t="str">
        <f>IF((IFERROR(MATCH(CurrentCnt[[#This Row],[Building or Upgrade]],$O$16:$S$16,0),0)+IFERROR(MATCH(CurrentCnt[[#This Row],[Building or Upgrade]],$O$17:$S$17,0),0))&gt;0,"IGNORE",CurrentCnt[Kind]&amp;"-"&amp;CurrentCnt[Resource])</f>
        <v>IGNORE</v>
      </c>
      <c r="E53" s="97">
        <f>IF(AND(CurrentCnt[[#This Row],[Kind]]="Upgrade",LabLevel=0),0,VLOOKUP(CurrentCnt[Building or Upgrade],QuantAvail[],1+IF(CurrentCnt[[#This Row],[Kind]]="Upgrade",LabLevel,THLevel),FALSE))</f>
        <v>1</v>
      </c>
      <c r="F53" s="97">
        <f>IF(AND(CurrentCnt[[#This Row],[Kind]]="Upgrade",LabLevel=0),0,VLOOKUP(CurrentCnt[Building or Upgrade],MaxLevel[],1+IF(CurrentCnt[[#This Row],[Kind]]="Upgrade",LabLevel,THLevel),FALSE))</f>
        <v>4</v>
      </c>
      <c r="G53" s="97">
        <f>CurrentCnt[[#This Row],[Available]]-SUM(CurrentCnt[[#This Row],[1]:[12]])</f>
        <v>0</v>
      </c>
      <c r="H53" s="14"/>
      <c r="I53" s="13">
        <v>1</v>
      </c>
      <c r="J53" s="11"/>
      <c r="K53" s="11"/>
      <c r="L53" s="11"/>
      <c r="M53" s="11"/>
      <c r="N53" s="11"/>
      <c r="O53" s="11"/>
      <c r="P53" s="13"/>
      <c r="Q53" s="11"/>
      <c r="R53" s="11"/>
      <c r="S53" s="12"/>
    </row>
    <row r="54" spans="1:19" ht="18">
      <c r="A54" s="91" t="s">
        <v>90</v>
      </c>
      <c r="B54" s="91" t="str">
        <f>VLOOKUP(CurrentCnt[[#This Row],[Building or Upgrade]],Upgrades[],2,FALSE)</f>
        <v>Upgrade</v>
      </c>
      <c r="C54" s="91" t="str">
        <f>VLOOKUP(CurrentCnt[Building or Upgrade],Upgrades[],3,FALSE)</f>
        <v>Elixir</v>
      </c>
      <c r="D54" s="92" t="str">
        <f>IF((IFERROR(MATCH(CurrentCnt[[#This Row],[Building or Upgrade]],$O$16:$S$16,0),0)+IFERROR(MATCH(CurrentCnt[[#This Row],[Building or Upgrade]],$O$17:$S$17,0),0))&gt;0,"IGNORE",CurrentCnt[Kind]&amp;"-"&amp;CurrentCnt[Resource])</f>
        <v>Upgrade-Elixir</v>
      </c>
      <c r="E54" s="97">
        <f>IF(AND(CurrentCnt[[#This Row],[Kind]]="Upgrade",LabLevel=0),0,VLOOKUP(CurrentCnt[Building or Upgrade],QuantAvail[],1+IF(CurrentCnt[[#This Row],[Kind]]="Upgrade",LabLevel,THLevel),FALSE))</f>
        <v>1</v>
      </c>
      <c r="F54" s="97">
        <f>IF(AND(CurrentCnt[[#This Row],[Kind]]="Upgrade",LabLevel=0),0,VLOOKUP(CurrentCnt[Building or Upgrade],MaxLevel[],1+IF(CurrentCnt[[#This Row],[Kind]]="Upgrade",LabLevel,THLevel),FALSE))</f>
        <v>4</v>
      </c>
      <c r="G54" s="97">
        <f>CurrentCnt[[#This Row],[Available]]-SUM(CurrentCnt[[#This Row],[1]:[12]])</f>
        <v>0</v>
      </c>
      <c r="H54" s="14"/>
      <c r="I54" s="13"/>
      <c r="J54" s="11">
        <v>1</v>
      </c>
      <c r="K54" s="11"/>
      <c r="L54" s="11"/>
      <c r="M54" s="11"/>
      <c r="N54" s="11"/>
      <c r="O54" s="11"/>
      <c r="P54" s="13"/>
      <c r="Q54" s="11"/>
      <c r="R54" s="11"/>
      <c r="S54" s="12"/>
    </row>
    <row r="55" spans="1:19" ht="18">
      <c r="A55" s="91" t="s">
        <v>91</v>
      </c>
      <c r="B55" s="91" t="str">
        <f>VLOOKUP(CurrentCnt[[#This Row],[Building or Upgrade]],Upgrades[],2,FALSE)</f>
        <v>Upgrade</v>
      </c>
      <c r="C55" s="91" t="str">
        <f>VLOOKUP(CurrentCnt[Building or Upgrade],Upgrades[],3,FALSE)</f>
        <v>Elixir</v>
      </c>
      <c r="D55" s="92" t="str">
        <f>IF((IFERROR(MATCH(CurrentCnt[[#This Row],[Building or Upgrade]],$O$16:$S$16,0),0)+IFERROR(MATCH(CurrentCnt[[#This Row],[Building or Upgrade]],$O$17:$S$17,0),0))&gt;0,"IGNORE",CurrentCnt[Kind]&amp;"-"&amp;CurrentCnt[Resource])</f>
        <v>Upgrade-Elixir</v>
      </c>
      <c r="E55" s="97">
        <f>IF(AND(CurrentCnt[[#This Row],[Kind]]="Upgrade",LabLevel=0),0,VLOOKUP(CurrentCnt[Building or Upgrade],QuantAvail[],1+IF(CurrentCnt[[#This Row],[Kind]]="Upgrade",LabLevel,THLevel),FALSE))</f>
        <v>1</v>
      </c>
      <c r="F55" s="97">
        <f>IF(AND(CurrentCnt[[#This Row],[Kind]]="Upgrade",LabLevel=0),0,VLOOKUP(CurrentCnt[Building or Upgrade],MaxLevel[],1+IF(CurrentCnt[[#This Row],[Kind]]="Upgrade",LabLevel,THLevel),FALSE))</f>
        <v>2</v>
      </c>
      <c r="G55" s="97">
        <f>CurrentCnt[[#This Row],[Available]]-SUM(CurrentCnt[[#This Row],[1]:[12]])</f>
        <v>0</v>
      </c>
      <c r="H55" s="14"/>
      <c r="I55" s="13">
        <v>1</v>
      </c>
      <c r="J55" s="11"/>
      <c r="K55" s="11"/>
      <c r="L55" s="11"/>
      <c r="M55" s="11"/>
      <c r="N55" s="11"/>
      <c r="O55" s="11"/>
      <c r="P55" s="13"/>
      <c r="Q55" s="11"/>
      <c r="R55" s="11"/>
      <c r="S55" s="12"/>
    </row>
    <row r="56" spans="1:19" ht="18">
      <c r="A56" s="91" t="s">
        <v>92</v>
      </c>
      <c r="B56" s="91" t="str">
        <f>VLOOKUP(CurrentCnt[[#This Row],[Building or Upgrade]],Upgrades[],2,FALSE)</f>
        <v>Upgrade</v>
      </c>
      <c r="C56" s="91" t="str">
        <f>VLOOKUP(CurrentCnt[Building or Upgrade],Upgrades[],3,FALSE)</f>
        <v>Elixir</v>
      </c>
      <c r="D56" s="92" t="str">
        <f>IF((IFERROR(MATCH(CurrentCnt[[#This Row],[Building or Upgrade]],$O$16:$S$16,0),0)+IFERROR(MATCH(CurrentCnt[[#This Row],[Building or Upgrade]],$O$17:$S$17,0),0))&gt;0,"IGNORE",CurrentCnt[Kind]&amp;"-"&amp;CurrentCnt[Resource])</f>
        <v>Upgrade-Elixir</v>
      </c>
      <c r="E56" s="97">
        <f>IF(AND(CurrentCnt[[#This Row],[Kind]]="Upgrade",LabLevel=0),0,VLOOKUP(CurrentCnt[Building or Upgrade],QuantAvail[],1+IF(CurrentCnt[[#This Row],[Kind]]="Upgrade",LabLevel,THLevel),FALSE))</f>
        <v>1</v>
      </c>
      <c r="F56" s="97">
        <f>IF(AND(CurrentCnt[[#This Row],[Kind]]="Upgrade",LabLevel=0),0,VLOOKUP(CurrentCnt[Building or Upgrade],MaxLevel[],1+IF(CurrentCnt[[#This Row],[Kind]]="Upgrade",LabLevel,THLevel),FALSE))</f>
        <v>2</v>
      </c>
      <c r="G56" s="97">
        <f>CurrentCnt[[#This Row],[Available]]-SUM(CurrentCnt[[#This Row],[1]:[12]])</f>
        <v>1</v>
      </c>
      <c r="H56" s="14"/>
      <c r="I56" s="13"/>
      <c r="J56" s="11"/>
      <c r="K56" s="11"/>
      <c r="L56" s="11"/>
      <c r="M56" s="11"/>
      <c r="N56" s="11"/>
      <c r="O56" s="11"/>
      <c r="P56" s="13"/>
      <c r="Q56" s="11"/>
      <c r="R56" s="11"/>
      <c r="S56" s="12"/>
    </row>
    <row r="57" spans="1:19" ht="18">
      <c r="A57" s="91" t="s">
        <v>93</v>
      </c>
      <c r="B57" s="91" t="str">
        <f>VLOOKUP(CurrentCnt[[#This Row],[Building or Upgrade]],Upgrades[],2,FALSE)</f>
        <v>Upgrade</v>
      </c>
      <c r="C57" s="91" t="str">
        <f>VLOOKUP(CurrentCnt[Building or Upgrade],Upgrades[],3,FALSE)</f>
        <v>Elixir</v>
      </c>
      <c r="D57" s="92" t="str">
        <f>IF((IFERROR(MATCH(CurrentCnt[[#This Row],[Building or Upgrade]],$O$16:$S$16,0),0)+IFERROR(MATCH(CurrentCnt[[#This Row],[Building or Upgrade]],$O$17:$S$17,0),0))&gt;0,"IGNORE",CurrentCnt[Kind]&amp;"-"&amp;CurrentCnt[Resource])</f>
        <v>Upgrade-Elixir</v>
      </c>
      <c r="E57" s="97">
        <f>IF(AND(CurrentCnt[[#This Row],[Kind]]="Upgrade",LabLevel=0),0,VLOOKUP(CurrentCnt[Building or Upgrade],QuantAvail[],1+IF(CurrentCnt[[#This Row],[Kind]]="Upgrade",LabLevel,THLevel),FALSE))</f>
        <v>0</v>
      </c>
      <c r="F57" s="97">
        <f>IF(AND(CurrentCnt[[#This Row],[Kind]]="Upgrade",LabLevel=0),0,VLOOKUP(CurrentCnt[Building or Upgrade],MaxLevel[],1+IF(CurrentCnt[[#This Row],[Kind]]="Upgrade",LabLevel,THLevel),FALSE))</f>
        <v>0</v>
      </c>
      <c r="G57" s="97">
        <f>CurrentCnt[[#This Row],[Available]]-SUM(CurrentCnt[[#This Row],[1]:[12]])</f>
        <v>0</v>
      </c>
      <c r="H57" s="14"/>
      <c r="I57" s="13"/>
      <c r="J57" s="11"/>
      <c r="K57" s="11"/>
      <c r="L57" s="11"/>
      <c r="M57" s="11"/>
      <c r="N57" s="11"/>
      <c r="O57" s="11"/>
      <c r="P57" s="13"/>
      <c r="Q57" s="11"/>
      <c r="R57" s="11"/>
      <c r="S57" s="12"/>
    </row>
    <row r="58" spans="1:19" ht="18">
      <c r="A58" s="91" t="s">
        <v>94</v>
      </c>
      <c r="B58" s="91" t="str">
        <f>VLOOKUP(CurrentCnt[[#This Row],[Building or Upgrade]],Upgrades[],2,FALSE)</f>
        <v>Upgrade</v>
      </c>
      <c r="C58" s="91" t="str">
        <f>VLOOKUP(CurrentCnt[Building or Upgrade],Upgrades[],3,FALSE)</f>
        <v>Elixir</v>
      </c>
      <c r="D58" s="92" t="str">
        <f>IF((IFERROR(MATCH(CurrentCnt[[#This Row],[Building or Upgrade]],$O$16:$S$16,0),0)+IFERROR(MATCH(CurrentCnt[[#This Row],[Building or Upgrade]],$O$17:$S$17,0),0))&gt;0,"IGNORE",CurrentCnt[Kind]&amp;"-"&amp;CurrentCnt[Resource])</f>
        <v>Upgrade-Elixir</v>
      </c>
      <c r="E58" s="97">
        <f>IF(AND(CurrentCnt[[#This Row],[Kind]]="Upgrade",LabLevel=0),0,VLOOKUP(CurrentCnt[Building or Upgrade],QuantAvail[],1+IF(CurrentCnt[[#This Row],[Kind]]="Upgrade",LabLevel,THLevel),FALSE))</f>
        <v>1</v>
      </c>
      <c r="F58" s="97">
        <f>IF(AND(CurrentCnt[[#This Row],[Kind]]="Upgrade",LabLevel=0),0,VLOOKUP(CurrentCnt[Building or Upgrade],MaxLevel[],1+IF(CurrentCnt[[#This Row],[Kind]]="Upgrade",LabLevel,THLevel),FALSE))</f>
        <v>4</v>
      </c>
      <c r="G58" s="97">
        <f>CurrentCnt[[#This Row],[Available]]-SUM(CurrentCnt[[#This Row],[1]:[12]])</f>
        <v>0</v>
      </c>
      <c r="H58" s="14"/>
      <c r="I58" s="13"/>
      <c r="J58" s="11">
        <v>1</v>
      </c>
      <c r="K58" s="11"/>
      <c r="L58" s="11"/>
      <c r="M58" s="11"/>
      <c r="N58" s="11"/>
      <c r="O58" s="11"/>
      <c r="P58" s="13"/>
      <c r="Q58" s="11"/>
      <c r="R58" s="11"/>
      <c r="S58" s="12"/>
    </row>
    <row r="59" spans="1:19" ht="18">
      <c r="A59" s="91" t="s">
        <v>95</v>
      </c>
      <c r="B59" s="91" t="str">
        <f>VLOOKUP(CurrentCnt[[#This Row],[Building or Upgrade]],Upgrades[],2,FALSE)</f>
        <v>Upgrade</v>
      </c>
      <c r="C59" s="91" t="str">
        <f>VLOOKUP(CurrentCnt[Building or Upgrade],Upgrades[],3,FALSE)</f>
        <v>Elixir</v>
      </c>
      <c r="D59" s="92" t="str">
        <f>IF((IFERROR(MATCH(CurrentCnt[[#This Row],[Building or Upgrade]],$O$16:$S$16,0),0)+IFERROR(MATCH(CurrentCnt[[#This Row],[Building or Upgrade]],$O$17:$S$17,0),0))&gt;0,"IGNORE",CurrentCnt[Kind]&amp;"-"&amp;CurrentCnt[Resource])</f>
        <v>Upgrade-Elixir</v>
      </c>
      <c r="E59" s="97">
        <f>IF(AND(CurrentCnt[[#This Row],[Kind]]="Upgrade",LabLevel=0),0,VLOOKUP(CurrentCnt[Building or Upgrade],QuantAvail[],1+IF(CurrentCnt[[#This Row],[Kind]]="Upgrade",LabLevel,THLevel),FALSE))</f>
        <v>1</v>
      </c>
      <c r="F59" s="97">
        <f>IF(AND(CurrentCnt[[#This Row],[Kind]]="Upgrade",LabLevel=0),0,VLOOKUP(CurrentCnt[Building or Upgrade],MaxLevel[],1+IF(CurrentCnt[[#This Row],[Kind]]="Upgrade",LabLevel,THLevel),FALSE))</f>
        <v>4</v>
      </c>
      <c r="G59" s="97">
        <f>CurrentCnt[[#This Row],[Available]]-SUM(CurrentCnt[[#This Row],[1]:[12]])</f>
        <v>0</v>
      </c>
      <c r="H59" s="14"/>
      <c r="I59" s="13"/>
      <c r="J59" s="11">
        <v>1</v>
      </c>
      <c r="K59" s="11"/>
      <c r="L59" s="11"/>
      <c r="M59" s="11"/>
      <c r="N59" s="11"/>
      <c r="O59" s="11"/>
      <c r="P59" s="13"/>
      <c r="Q59" s="11"/>
      <c r="R59" s="11"/>
      <c r="S59" s="12"/>
    </row>
    <row r="60" spans="1:19" ht="18">
      <c r="A60" s="91" t="s">
        <v>96</v>
      </c>
      <c r="B60" s="91" t="str">
        <f>VLOOKUP(CurrentCnt[[#This Row],[Building or Upgrade]],Upgrades[],2,FALSE)</f>
        <v>Upgrade</v>
      </c>
      <c r="C60" s="91" t="str">
        <f>VLOOKUP(CurrentCnt[Building or Upgrade],Upgrades[],3,FALSE)</f>
        <v>Elixir</v>
      </c>
      <c r="D60" s="92" t="str">
        <f>IF((IFERROR(MATCH(CurrentCnt[[#This Row],[Building or Upgrade]],$O$16:$S$16,0),0)+IFERROR(MATCH(CurrentCnt[[#This Row],[Building or Upgrade]],$O$17:$S$17,0),0))&gt;0,"IGNORE",CurrentCnt[Kind]&amp;"-"&amp;CurrentCnt[Resource])</f>
        <v>Upgrade-Elixir</v>
      </c>
      <c r="E60" s="97">
        <f>IF(AND(CurrentCnt[[#This Row],[Kind]]="Upgrade",LabLevel=0),0,VLOOKUP(CurrentCnt[Building or Upgrade],QuantAvail[],1+IF(CurrentCnt[[#This Row],[Kind]]="Upgrade",LabLevel,THLevel),FALSE))</f>
        <v>1</v>
      </c>
      <c r="F60" s="97">
        <f>IF(AND(CurrentCnt[[#This Row],[Kind]]="Upgrade",LabLevel=0),0,VLOOKUP(CurrentCnt[Building or Upgrade],MaxLevel[],1+IF(CurrentCnt[[#This Row],[Kind]]="Upgrade",LabLevel,THLevel),FALSE))</f>
        <v>4</v>
      </c>
      <c r="G60" s="97">
        <f>CurrentCnt[[#This Row],[Available]]-SUM(CurrentCnt[[#This Row],[1]:[12]])</f>
        <v>0</v>
      </c>
      <c r="H60" s="14"/>
      <c r="I60" s="13">
        <v>1</v>
      </c>
      <c r="J60" s="11"/>
      <c r="K60" s="11"/>
      <c r="L60" s="11"/>
      <c r="M60" s="11"/>
      <c r="N60" s="11"/>
      <c r="O60" s="11"/>
      <c r="P60" s="13"/>
      <c r="Q60" s="11"/>
      <c r="R60" s="11"/>
      <c r="S60" s="12"/>
    </row>
    <row r="61" spans="1:19" ht="18">
      <c r="A61" s="91" t="s">
        <v>97</v>
      </c>
      <c r="B61" s="91" t="str">
        <f>VLOOKUP(CurrentCnt[[#This Row],[Building or Upgrade]],Upgrades[],2,FALSE)</f>
        <v>Upgrade</v>
      </c>
      <c r="C61" s="91" t="str">
        <f>VLOOKUP(CurrentCnt[Building or Upgrade],Upgrades[],3,FALSE)</f>
        <v>Elixir</v>
      </c>
      <c r="D61" s="92" t="str">
        <f>IF((IFERROR(MATCH(CurrentCnt[[#This Row],[Building or Upgrade]],$O$16:$S$16,0),0)+IFERROR(MATCH(CurrentCnt[[#This Row],[Building or Upgrade]],$O$17:$S$17,0),0))&gt;0,"IGNORE",CurrentCnt[Kind]&amp;"-"&amp;CurrentCnt[Resource])</f>
        <v>Upgrade-Elixir</v>
      </c>
      <c r="E61" s="97">
        <f>IF(AND(CurrentCnt[[#This Row],[Kind]]="Upgrade",LabLevel=0),0,VLOOKUP(CurrentCnt[Building or Upgrade],QuantAvail[],1+IF(CurrentCnt[[#This Row],[Kind]]="Upgrade",LabLevel,THLevel),FALSE))</f>
        <v>0</v>
      </c>
      <c r="F61" s="97">
        <f>IF(AND(CurrentCnt[[#This Row],[Kind]]="Upgrade",LabLevel=0),0,VLOOKUP(CurrentCnt[Building or Upgrade],MaxLevel[],1+IF(CurrentCnt[[#This Row],[Kind]]="Upgrade",LabLevel,THLevel),FALSE))</f>
        <v>0</v>
      </c>
      <c r="G61" s="97">
        <f>CurrentCnt[[#This Row],[Available]]-SUM(CurrentCnt[[#This Row],[1]:[12]])</f>
        <v>0</v>
      </c>
      <c r="H61" s="14"/>
      <c r="I61" s="13"/>
      <c r="J61" s="11"/>
      <c r="K61" s="11"/>
      <c r="L61" s="11"/>
      <c r="M61" s="11"/>
      <c r="N61" s="11"/>
      <c r="O61" s="11"/>
      <c r="P61" s="13"/>
      <c r="Q61" s="11"/>
      <c r="R61" s="11"/>
      <c r="S61" s="12"/>
    </row>
    <row r="62" spans="1:19" ht="18">
      <c r="A62" s="91" t="s">
        <v>98</v>
      </c>
      <c r="B62" s="91" t="str">
        <f>VLOOKUP(CurrentCnt[[#This Row],[Building or Upgrade]],Upgrades[],2,FALSE)</f>
        <v>Upgrade</v>
      </c>
      <c r="C62" s="91" t="str">
        <f>VLOOKUP(CurrentCnt[Building or Upgrade],Upgrades[],3,FALSE)</f>
        <v>Elixir</v>
      </c>
      <c r="D62" s="92" t="str">
        <f>IF((IFERROR(MATCH(CurrentCnt[[#This Row],[Building or Upgrade]],$O$16:$S$16,0),0)+IFERROR(MATCH(CurrentCnt[[#This Row],[Building or Upgrade]],$O$17:$S$17,0),0))&gt;0,"IGNORE",CurrentCnt[Kind]&amp;"-"&amp;CurrentCnt[Resource])</f>
        <v>Upgrade-Elixir</v>
      </c>
      <c r="E62" s="97">
        <f>IF(AND(CurrentCnt[[#This Row],[Kind]]="Upgrade",LabLevel=0),0,VLOOKUP(CurrentCnt[Building or Upgrade],QuantAvail[],1+IF(CurrentCnt[[#This Row],[Kind]]="Upgrade",LabLevel,THLevel),FALSE))</f>
        <v>0</v>
      </c>
      <c r="F62" s="97">
        <f>IF(AND(CurrentCnt[[#This Row],[Kind]]="Upgrade",LabLevel=0),0,VLOOKUP(CurrentCnt[Building or Upgrade],MaxLevel[],1+IF(CurrentCnt[[#This Row],[Kind]]="Upgrade",LabLevel,THLevel),FALSE))</f>
        <v>0</v>
      </c>
      <c r="G62" s="97">
        <f>CurrentCnt[[#This Row],[Available]]-SUM(CurrentCnt[[#This Row],[1]:[12]])</f>
        <v>0</v>
      </c>
      <c r="H62" s="14"/>
      <c r="I62" s="13"/>
      <c r="J62" s="11"/>
      <c r="K62" s="11"/>
      <c r="L62" s="11"/>
      <c r="M62" s="11"/>
      <c r="N62" s="11"/>
      <c r="O62" s="11"/>
      <c r="P62" s="13"/>
      <c r="Q62" s="11"/>
      <c r="R62" s="11"/>
      <c r="S62" s="12"/>
    </row>
    <row r="63" spans="1:19" ht="18">
      <c r="A63" s="91" t="s">
        <v>99</v>
      </c>
      <c r="B63" s="91" t="str">
        <f>VLOOKUP(CurrentCnt[[#This Row],[Building or Upgrade]],Upgrades[],2,FALSE)</f>
        <v>Upgrade</v>
      </c>
      <c r="C63" s="91" t="str">
        <f>VLOOKUP(CurrentCnt[Building or Upgrade],Upgrades[],3,FALSE)</f>
        <v>Dark Elixir</v>
      </c>
      <c r="D63" s="92" t="str">
        <f>IF((IFERROR(MATCH(CurrentCnt[[#This Row],[Building or Upgrade]],$O$16:$S$16,0),0)+IFERROR(MATCH(CurrentCnt[[#This Row],[Building or Upgrade]],$O$17:$S$17,0),0))&gt;0,"IGNORE",CurrentCnt[Kind]&amp;"-"&amp;CurrentCnt[Resource])</f>
        <v>Upgrade-Dark Elixir</v>
      </c>
      <c r="E63" s="97">
        <f>IF(AND(CurrentCnt[[#This Row],[Kind]]="Upgrade",LabLevel=0),0,VLOOKUP(CurrentCnt[Building or Upgrade],QuantAvail[],1+IF(CurrentCnt[[#This Row],[Kind]]="Upgrade",LabLevel,THLevel),FALSE))</f>
        <v>1</v>
      </c>
      <c r="F63" s="97">
        <f>IF(AND(CurrentCnt[[#This Row],[Kind]]="Upgrade",LabLevel=0),0,VLOOKUP(CurrentCnt[Building or Upgrade],MaxLevel[],1+IF(CurrentCnt[[#This Row],[Kind]]="Upgrade",LabLevel,THLevel),FALSE))</f>
        <v>2</v>
      </c>
      <c r="G63" s="97">
        <f>CurrentCnt[[#This Row],[Available]]-SUM(CurrentCnt[[#This Row],[1]:[12]])</f>
        <v>1</v>
      </c>
      <c r="H63" s="14"/>
      <c r="I63" s="13"/>
      <c r="J63" s="11"/>
      <c r="K63" s="11"/>
      <c r="L63" s="11"/>
      <c r="M63" s="11"/>
      <c r="N63" s="11"/>
      <c r="O63" s="11"/>
      <c r="P63" s="13"/>
      <c r="Q63" s="11"/>
      <c r="R63" s="11"/>
      <c r="S63" s="12"/>
    </row>
    <row r="64" spans="1:19" ht="18">
      <c r="A64" s="91" t="s">
        <v>100</v>
      </c>
      <c r="B64" s="91" t="str">
        <f>VLOOKUP(CurrentCnt[[#This Row],[Building or Upgrade]],Upgrades[],2,FALSE)</f>
        <v>Upgrade</v>
      </c>
      <c r="C64" s="91" t="str">
        <f>VLOOKUP(CurrentCnt[Building or Upgrade],Upgrades[],3,FALSE)</f>
        <v>Dark Elixir</v>
      </c>
      <c r="D64" s="92" t="str">
        <f>IF((IFERROR(MATCH(CurrentCnt[[#This Row],[Building or Upgrade]],$O$16:$S$16,0),0)+IFERROR(MATCH(CurrentCnt[[#This Row],[Building or Upgrade]],$O$17:$S$17,0),0))&gt;0,"IGNORE",CurrentCnt[Kind]&amp;"-"&amp;CurrentCnt[Resource])</f>
        <v>Upgrade-Dark Elixir</v>
      </c>
      <c r="E64" s="97">
        <f>IF(AND(CurrentCnt[[#This Row],[Kind]]="Upgrade",LabLevel=0),0,VLOOKUP(CurrentCnt[Building or Upgrade],QuantAvail[],1+IF(CurrentCnt[[#This Row],[Kind]]="Upgrade",LabLevel,THLevel),FALSE))</f>
        <v>1</v>
      </c>
      <c r="F64" s="97">
        <f>IF(AND(CurrentCnt[[#This Row],[Kind]]="Upgrade",LabLevel=0),0,VLOOKUP(CurrentCnt[Building or Upgrade],MaxLevel[],1+IF(CurrentCnt[[#This Row],[Kind]]="Upgrade",LabLevel,THLevel),FALSE))</f>
        <v>2</v>
      </c>
      <c r="G64" s="97">
        <f>CurrentCnt[[#This Row],[Available]]-SUM(CurrentCnt[[#This Row],[1]:[12]])</f>
        <v>1</v>
      </c>
      <c r="H64" s="14"/>
      <c r="I64" s="13"/>
      <c r="J64" s="11"/>
      <c r="K64" s="11"/>
      <c r="L64" s="11"/>
      <c r="M64" s="11"/>
      <c r="N64" s="11"/>
      <c r="O64" s="11"/>
      <c r="P64" s="13"/>
      <c r="Q64" s="11"/>
      <c r="R64" s="11"/>
      <c r="S64" s="12"/>
    </row>
    <row r="65" spans="1:19" ht="18">
      <c r="A65" s="91" t="s">
        <v>101</v>
      </c>
      <c r="B65" s="91" t="str">
        <f>VLOOKUP(CurrentCnt[[#This Row],[Building or Upgrade]],Upgrades[],2,FALSE)</f>
        <v>Upgrade</v>
      </c>
      <c r="C65" s="91" t="str">
        <f>VLOOKUP(CurrentCnt[Building or Upgrade],Upgrades[],3,FALSE)</f>
        <v>Dark Elixir</v>
      </c>
      <c r="D65" s="92" t="str">
        <f>IF((IFERROR(MATCH(CurrentCnt[[#This Row],[Building or Upgrade]],$O$16:$S$16,0),0)+IFERROR(MATCH(CurrentCnt[[#This Row],[Building or Upgrade]],$O$17:$S$17,0),0))&gt;0,"IGNORE",CurrentCnt[Kind]&amp;"-"&amp;CurrentCnt[Resource])</f>
        <v>Upgrade-Dark Elixir</v>
      </c>
      <c r="E65" s="97">
        <f>IF(AND(CurrentCnt[[#This Row],[Kind]]="Upgrade",LabLevel=0),0,VLOOKUP(CurrentCnt[Building or Upgrade],QuantAvail[],1+IF(CurrentCnt[[#This Row],[Kind]]="Upgrade",LabLevel,THLevel),FALSE))</f>
        <v>0</v>
      </c>
      <c r="F65" s="97">
        <f>IF(AND(CurrentCnt[[#This Row],[Kind]]="Upgrade",LabLevel=0),0,VLOOKUP(CurrentCnt[Building or Upgrade],MaxLevel[],1+IF(CurrentCnt[[#This Row],[Kind]]="Upgrade",LabLevel,THLevel),FALSE))</f>
        <v>0</v>
      </c>
      <c r="G65" s="97">
        <f>CurrentCnt[[#This Row],[Available]]-SUM(CurrentCnt[[#This Row],[1]:[12]])</f>
        <v>0</v>
      </c>
      <c r="H65" s="14"/>
      <c r="I65" s="13"/>
      <c r="J65" s="11"/>
      <c r="K65" s="11"/>
      <c r="L65" s="11"/>
      <c r="M65" s="11"/>
      <c r="N65" s="11"/>
      <c r="O65" s="11"/>
      <c r="P65" s="13"/>
      <c r="Q65" s="11"/>
      <c r="R65" s="11"/>
      <c r="S65" s="12"/>
    </row>
    <row r="66" spans="1:19" ht="18">
      <c r="A66" s="91" t="s">
        <v>102</v>
      </c>
      <c r="B66" s="91" t="str">
        <f>VLOOKUP(CurrentCnt[[#This Row],[Building or Upgrade]],Upgrades[],2,FALSE)</f>
        <v>Upgrade</v>
      </c>
      <c r="C66" s="91" t="str">
        <f>VLOOKUP(CurrentCnt[Building or Upgrade],Upgrades[],3,FALSE)</f>
        <v>Dark Elixir</v>
      </c>
      <c r="D66" s="92" t="str">
        <f>IF((IFERROR(MATCH(CurrentCnt[[#This Row],[Building or Upgrade]],$O$16:$S$16,0),0)+IFERROR(MATCH(CurrentCnt[[#This Row],[Building or Upgrade]],$O$17:$S$17,0),0))&gt;0,"IGNORE",CurrentCnt[Kind]&amp;"-"&amp;CurrentCnt[Resource])</f>
        <v>Upgrade-Dark Elixir</v>
      </c>
      <c r="E66" s="97">
        <f>IF(AND(CurrentCnt[[#This Row],[Kind]]="Upgrade",LabLevel=0),0,VLOOKUP(CurrentCnt[Building or Upgrade],QuantAvail[],1+IF(CurrentCnt[[#This Row],[Kind]]="Upgrade",LabLevel,THLevel),FALSE))</f>
        <v>0</v>
      </c>
      <c r="F66" s="97">
        <f>IF(AND(CurrentCnt[[#This Row],[Kind]]="Upgrade",LabLevel=0),0,VLOOKUP(CurrentCnt[Building or Upgrade],MaxLevel[],1+IF(CurrentCnt[[#This Row],[Kind]]="Upgrade",LabLevel,THLevel),FALSE))</f>
        <v>0</v>
      </c>
      <c r="G66" s="97">
        <f>CurrentCnt[[#This Row],[Available]]-SUM(CurrentCnt[[#This Row],[1]:[12]])</f>
        <v>0</v>
      </c>
      <c r="H66" s="14"/>
      <c r="I66" s="13"/>
      <c r="J66" s="11"/>
      <c r="K66" s="11"/>
      <c r="L66" s="11"/>
      <c r="M66" s="11"/>
      <c r="N66" s="11"/>
      <c r="O66" s="11"/>
      <c r="P66" s="13"/>
      <c r="Q66" s="11"/>
      <c r="R66" s="11"/>
      <c r="S66" s="12"/>
    </row>
    <row r="67" spans="1:19" ht="19" thickBot="1">
      <c r="A67" s="98" t="s">
        <v>103</v>
      </c>
      <c r="B67" s="98" t="str">
        <f>VLOOKUP(CurrentCnt[[#This Row],[Building or Upgrade]],Upgrades[],2,FALSE)</f>
        <v>Upgrade</v>
      </c>
      <c r="C67" s="98" t="str">
        <f>VLOOKUP(CurrentCnt[Building or Upgrade],Upgrades[],3,FALSE)</f>
        <v>Dark Elixir</v>
      </c>
      <c r="D67" s="99" t="str">
        <f>IF((IFERROR(MATCH(CurrentCnt[[#This Row],[Building or Upgrade]],$O$16:$S$16,0),0)+IFERROR(MATCH(CurrentCnt[[#This Row],[Building or Upgrade]],$O$17:$S$17,0),0))&gt;0,"IGNORE",CurrentCnt[Kind]&amp;"-"&amp;CurrentCnt[Resource])</f>
        <v>Upgrade-Dark Elixir</v>
      </c>
      <c r="E67" s="94">
        <f>IF(AND(CurrentCnt[[#This Row],[Kind]]="Upgrade",LabLevel=0),0,VLOOKUP(CurrentCnt[Building or Upgrade],QuantAvail[],1+IF(CurrentCnt[[#This Row],[Kind]]="Upgrade",LabLevel,THLevel),FALSE))</f>
        <v>0</v>
      </c>
      <c r="F67" s="94">
        <f>IF(AND(CurrentCnt[[#This Row],[Kind]]="Upgrade",LabLevel=0),0,VLOOKUP(CurrentCnt[Building or Upgrade],MaxLevel[],1+IF(CurrentCnt[[#This Row],[Kind]]="Upgrade",LabLevel,THLevel),FALSE))</f>
        <v>0</v>
      </c>
      <c r="G67" s="94">
        <f>CurrentCnt[[#This Row],[Available]]-SUM(CurrentCnt[[#This Row],[1]:[12]])</f>
        <v>0</v>
      </c>
      <c r="H67" s="15"/>
      <c r="I67" s="16"/>
      <c r="J67" s="17"/>
      <c r="K67" s="17"/>
      <c r="L67" s="17"/>
      <c r="M67" s="17"/>
      <c r="N67" s="17"/>
      <c r="O67" s="17"/>
      <c r="P67" s="16"/>
      <c r="Q67" s="17"/>
      <c r="R67" s="17"/>
      <c r="S67" s="18"/>
    </row>
    <row r="68" spans="1:19" ht="16" thickTop="1"/>
    <row r="69" spans="1:19">
      <c r="E69" s="100" t="s">
        <v>70</v>
      </c>
    </row>
    <row r="70" spans="1:19">
      <c r="A70" s="47" t="s">
        <v>106</v>
      </c>
      <c r="B70" s="47" t="s">
        <v>72</v>
      </c>
      <c r="C70" s="47" t="s">
        <v>31</v>
      </c>
      <c r="D70" s="75" t="s">
        <v>148</v>
      </c>
      <c r="E70" s="47" t="s">
        <v>71</v>
      </c>
      <c r="F70" s="47" t="s">
        <v>33</v>
      </c>
      <c r="G70" s="47" t="s">
        <v>34</v>
      </c>
      <c r="H70" s="47" t="s">
        <v>35</v>
      </c>
      <c r="I70" s="47" t="s">
        <v>36</v>
      </c>
      <c r="J70" s="47" t="s">
        <v>37</v>
      </c>
      <c r="K70" s="47" t="s">
        <v>38</v>
      </c>
      <c r="L70" s="47" t="s">
        <v>39</v>
      </c>
      <c r="M70" s="47" t="s">
        <v>40</v>
      </c>
      <c r="N70" s="47" t="s">
        <v>41</v>
      </c>
      <c r="O70" s="47" t="s">
        <v>42</v>
      </c>
      <c r="P70" s="47" t="s">
        <v>43</v>
      </c>
      <c r="Q70" s="47" t="s">
        <v>44</v>
      </c>
      <c r="R70" s="47" t="s">
        <v>69</v>
      </c>
    </row>
    <row r="71" spans="1:19">
      <c r="A71" s="47" t="s">
        <v>13</v>
      </c>
      <c r="B71" s="47" t="str">
        <f>VLOOKUP(CostRemaining[[#This Row],[Cost]],Upgrades[],2,FALSE)</f>
        <v>Building</v>
      </c>
      <c r="C71" s="47" t="str">
        <f>VLOOKUP(CostRemaining[[#This Row],[Cost]],Upgrades[],3,FALSE)</f>
        <v>Gold</v>
      </c>
      <c r="D71" s="75" t="str">
        <f>IF((IFERROR(MATCH(CostRemaining[[#This Row],[Cost]],$O$16:$S$16,0),0)+IFERROR(MATCH(CostRemaining[[#This Row],[Cost]],$O$17:$S$17,0),0))&gt;0,"IGNORE",CostRemaining[Kind]&amp;"-"&amp;CostRemaining[Resource])</f>
        <v>Building-Gold</v>
      </c>
      <c r="E71" s="101">
        <f>IFERROR(VLOOKUP(CostRemaining[[#This Row],[Cost]],Upgrades[],MATCH("C"&amp;MATCH(TRUE,INDEX(CostRemaining[[#This Row],[1]:[12]]&lt;&gt;0,),0),Upgrades[#Headers],0),FALSE),"")</f>
        <v>2000000</v>
      </c>
      <c r="F71" s="102">
        <f>IF(VALUE(CostRemaining[#Headers])&lt;=$F19,IFERROR(VLOOKUP(CostRemaining[[#This Row],[Cost]],Upgrades[],MATCH("C"&amp;CostRemaining[#Headers],Upgrades[#Headers],0),FALSE),0)*MAX(0,SUM($G19:G19)),0)</f>
        <v>0</v>
      </c>
      <c r="G71" s="102">
        <f>IF(VALUE(CostRemaining[#Headers])&lt;=$F19,IFERROR(VLOOKUP(CostRemaining[[#This Row],[Cost]],Upgrades[],MATCH("C"&amp;CostRemaining[#Headers],Upgrades[#Headers],0),FALSE),0)*MAX(0,SUM($G19:H19)),0)</f>
        <v>0</v>
      </c>
      <c r="H71" s="102">
        <f>IF(VALUE(CostRemaining[#Headers])&lt;=$F19,IFERROR(VLOOKUP(CostRemaining[[#This Row],[Cost]],Upgrades[],MATCH("C"&amp;CostRemaining[#Headers],Upgrades[#Headers],0),FALSE),0)*MAX(0,SUM($G19:I19)),0)</f>
        <v>0</v>
      </c>
      <c r="I71" s="102">
        <f>IF(VALUE(CostRemaining[#Headers])&lt;=$F19,IFERROR(VLOOKUP(CostRemaining[[#This Row],[Cost]],Upgrades[],MATCH("C"&amp;CostRemaining[#Headers],Upgrades[#Headers],0),FALSE),0)*MAX(0,SUM($G19:J19)),0)</f>
        <v>0</v>
      </c>
      <c r="J71" s="102">
        <f>IF(VALUE(CostRemaining[#Headers])&lt;=$F19,IFERROR(VLOOKUP(CostRemaining[[#This Row],[Cost]],Upgrades[],MATCH("C"&amp;CostRemaining[#Headers],Upgrades[#Headers],0),FALSE),0)*MAX(0,SUM($G19:K19)),0)</f>
        <v>0</v>
      </c>
      <c r="K71" s="102">
        <f>IF(VALUE(CostRemaining[#Headers])&lt;=$F19,IFERROR(VLOOKUP(CostRemaining[[#This Row],[Cost]],Upgrades[],MATCH("C"&amp;CostRemaining[#Headers],Upgrades[#Headers],0),FALSE),0)*MAX(0,SUM($G19:L19)),0)</f>
        <v>0</v>
      </c>
      <c r="L71" s="102">
        <f>IF(VALUE(CostRemaining[#Headers])&lt;=$F19,IFERROR(VLOOKUP(CostRemaining[[#This Row],[Cost]],Upgrades[],MATCH("C"&amp;CostRemaining[#Headers],Upgrades[#Headers],0),FALSE),0)*MAX(0,SUM($G19:M19)),0)</f>
        <v>0</v>
      </c>
      <c r="M71" s="102">
        <f>IF(VALUE(CostRemaining[#Headers])&lt;=$F19,IFERROR(VLOOKUP(CostRemaining[[#This Row],[Cost]],Upgrades[],MATCH("C"&amp;CostRemaining[#Headers],Upgrades[#Headers],0),FALSE),0)*MAX(0,SUM($G19:N19)),0)</f>
        <v>2000000</v>
      </c>
      <c r="N71" s="102">
        <f>IF(VALUE(CostRemaining[#Headers])&lt;=$F19,IFERROR(VLOOKUP(CostRemaining[[#This Row],[Cost]],Upgrades[],MATCH("C"&amp;CostRemaining[#Headers],Upgrades[#Headers],0),FALSE),0)*MAX(0,SUM($G19:O19)),0)</f>
        <v>0</v>
      </c>
      <c r="O71" s="102">
        <f>IF(VALUE(CostRemaining[#Headers])&lt;=$F19,IFERROR(VLOOKUP(CostRemaining[[#This Row],[Cost]],Upgrades[],MATCH("C"&amp;CostRemaining[#Headers],Upgrades[#Headers],0),FALSE),0)*MAX(0,SUM($G19:P19)),0)</f>
        <v>0</v>
      </c>
      <c r="P71" s="102">
        <f>IF(VALUE(CostRemaining[#Headers])&lt;=$F19,IFERROR(VLOOKUP(CostRemaining[[#This Row],[Cost]],Upgrades[],MATCH("C"&amp;CostRemaining[#Headers],Upgrades[#Headers],0),FALSE),0)*MAX(0,SUM($G19:Q19)),0)</f>
        <v>0</v>
      </c>
      <c r="Q71" s="102">
        <f>IF(VALUE(CostRemaining[#Headers])&lt;=$F19,IFERROR(VLOOKUP(CostRemaining[[#This Row],[Cost]],Upgrades[],MATCH("C"&amp;CostRemaining[#Headers],Upgrades[#Headers],0),FALSE),0)*MAX(0,SUM($G19:R19)),0)</f>
        <v>0</v>
      </c>
      <c r="R71" s="102">
        <f>IF(CostRemaining[[#This Row],[MatchStr]]="IGNORE",0,SUM(CostRemaining[[#This Row],[1]:[12]]))</f>
        <v>2000000</v>
      </c>
    </row>
    <row r="72" spans="1:19">
      <c r="A72" s="47" t="s">
        <v>21</v>
      </c>
      <c r="B72" s="47" t="str">
        <f>VLOOKUP(CostRemaining[[#This Row],[Cost]],Upgrades[],2,FALSE)</f>
        <v>Building</v>
      </c>
      <c r="C72" s="47" t="str">
        <f>VLOOKUP(CostRemaining[[#This Row],[Cost]],Upgrades[],3,FALSE)</f>
        <v>Elixir</v>
      </c>
      <c r="D72" s="75" t="str">
        <f>IF((IFERROR(MATCH(CostRemaining[[#This Row],[Cost]],$O$16:$S$16,0),0)+IFERROR(MATCH(CostRemaining[[#This Row],[Cost]],$O$17:$S$17,0),0))&gt;0,"IGNORE",CostRemaining[Kind]&amp;"-"&amp;CostRemaining[Resource])</f>
        <v>Building-Elixir</v>
      </c>
      <c r="E72" s="101" t="str">
        <f>IFERROR(VLOOKUP(CostRemaining[[#This Row],[Cost]],Upgrades[],MATCH("C"&amp;MATCH(TRUE,INDEX(CostRemaining[[#This Row],[1]:[12]]&lt;&gt;0,),0),Upgrades[#Headers],0),FALSE),"")</f>
        <v/>
      </c>
      <c r="F72" s="102">
        <f>IF(VALUE(CostRemaining[#Headers])&lt;=$F20,IFERROR(VLOOKUP(CostRemaining[[#This Row],[Cost]],Upgrades[],MATCH("C"&amp;CostRemaining[#Headers],Upgrades[#Headers],0),FALSE),0)*MAX(0,SUM($G20:G20)),0)</f>
        <v>0</v>
      </c>
      <c r="G72" s="102">
        <f>IF(VALUE(CostRemaining[#Headers])&lt;=$F20,IFERROR(VLOOKUP(CostRemaining[[#This Row],[Cost]],Upgrades[],MATCH("C"&amp;CostRemaining[#Headers],Upgrades[#Headers],0),FALSE),0)*MAX(0,SUM($G20:H20)),0)</f>
        <v>0</v>
      </c>
      <c r="H72" s="102">
        <f>IF(VALUE(CostRemaining[#Headers])&lt;=$F20,IFERROR(VLOOKUP(CostRemaining[[#This Row],[Cost]],Upgrades[],MATCH("C"&amp;CostRemaining[#Headers],Upgrades[#Headers],0),FALSE),0)*MAX(0,SUM($G20:I20)),0)</f>
        <v>0</v>
      </c>
      <c r="I72" s="102">
        <f>IF(VALUE(CostRemaining[#Headers])&lt;=$F20,IFERROR(VLOOKUP(CostRemaining[[#This Row],[Cost]],Upgrades[],MATCH("C"&amp;CostRemaining[#Headers],Upgrades[#Headers],0),FALSE),0)*MAX(0,SUM($G20:J20)),0)</f>
        <v>0</v>
      </c>
      <c r="J72" s="102">
        <f>IF(VALUE(CostRemaining[#Headers])&lt;=$F20,IFERROR(VLOOKUP(CostRemaining[[#This Row],[Cost]],Upgrades[],MATCH("C"&amp;CostRemaining[#Headers],Upgrades[#Headers],0),FALSE),0)*MAX(0,SUM($G20:K20)),0)</f>
        <v>0</v>
      </c>
      <c r="K72" s="102">
        <f>IF(VALUE(CostRemaining[#Headers])&lt;=$F20,IFERROR(VLOOKUP(CostRemaining[[#This Row],[Cost]],Upgrades[],MATCH("C"&amp;CostRemaining[#Headers],Upgrades[#Headers],0),FALSE),0)*MAX(0,SUM($G20:L20)),0)</f>
        <v>0</v>
      </c>
      <c r="L72" s="102">
        <f>IF(VALUE(CostRemaining[#Headers])&lt;=$F20,IFERROR(VLOOKUP(CostRemaining[[#This Row],[Cost]],Upgrades[],MATCH("C"&amp;CostRemaining[#Headers],Upgrades[#Headers],0),FALSE),0)*MAX(0,SUM($G20:M20)),0)</f>
        <v>0</v>
      </c>
      <c r="M72" s="102">
        <f>IF(VALUE(CostRemaining[#Headers])&lt;=$F20,IFERROR(VLOOKUP(CostRemaining[[#This Row],[Cost]],Upgrades[],MATCH("C"&amp;CostRemaining[#Headers],Upgrades[#Headers],0),FALSE),0)*MAX(0,SUM($G20:N20)),0)</f>
        <v>0</v>
      </c>
      <c r="N72" s="102">
        <f>IF(VALUE(CostRemaining[#Headers])&lt;=$F20,IFERROR(VLOOKUP(CostRemaining[[#This Row],[Cost]],Upgrades[],MATCH("C"&amp;CostRemaining[#Headers],Upgrades[#Headers],0),FALSE),0)*MAX(0,SUM($G20:O20)),0)</f>
        <v>0</v>
      </c>
      <c r="O72" s="102">
        <f>IF(VALUE(CostRemaining[#Headers])&lt;=$F20,IFERROR(VLOOKUP(CostRemaining[[#This Row],[Cost]],Upgrades[],MATCH("C"&amp;CostRemaining[#Headers],Upgrades[#Headers],0),FALSE),0)*MAX(0,SUM($G20:P20)),0)</f>
        <v>0</v>
      </c>
      <c r="P72" s="102">
        <f>IF(VALUE(CostRemaining[#Headers])&lt;=$F20,IFERROR(VLOOKUP(CostRemaining[[#This Row],[Cost]],Upgrades[],MATCH("C"&amp;CostRemaining[#Headers],Upgrades[#Headers],0),FALSE),0)*MAX(0,SUM($G20:Q20)),0)</f>
        <v>0</v>
      </c>
      <c r="Q72" s="102">
        <f>IF(VALUE(CostRemaining[#Headers])&lt;=$F20,IFERROR(VLOOKUP(CostRemaining[[#This Row],[Cost]],Upgrades[],MATCH("C"&amp;CostRemaining[#Headers],Upgrades[#Headers],0),FALSE),0)*MAX(0,SUM($G20:R20)),0)</f>
        <v>0</v>
      </c>
      <c r="R72" s="102">
        <f>IF(CostRemaining[[#This Row],[MatchStr]]="IGNORE",0,SUM(CostRemaining[[#This Row],[1]:[12]]))</f>
        <v>0</v>
      </c>
    </row>
    <row r="73" spans="1:19">
      <c r="A73" s="47" t="s">
        <v>2</v>
      </c>
      <c r="B73" s="103" t="str">
        <f>VLOOKUP(CostRemaining[[#This Row],[Cost]],Upgrades[],2,FALSE)</f>
        <v>Building</v>
      </c>
      <c r="C73" s="103" t="str">
        <f>VLOOKUP(CostRemaining[[#This Row],[Cost]],Upgrades[],3,FALSE)</f>
        <v>Elixir</v>
      </c>
      <c r="D73" s="104" t="str">
        <f>IF((IFERROR(MATCH(CostRemaining[[#This Row],[Cost]],$O$16:$S$16,0),0)+IFERROR(MATCH(CostRemaining[[#This Row],[Cost]],$O$17:$S$17,0),0))&gt;0,"IGNORE",CostRemaining[Kind]&amp;"-"&amp;CostRemaining[Resource])</f>
        <v>Building-Elixir</v>
      </c>
      <c r="E73" s="101">
        <f>IFERROR(VLOOKUP(CostRemaining[[#This Row],[Cost]],Upgrades[],MATCH("C"&amp;MATCH(TRUE,INDEX(CostRemaining[[#This Row],[1]:[12]]&lt;&gt;0,),0),Upgrades[#Headers],0),FALSE),"")</f>
        <v>700000</v>
      </c>
      <c r="F73" s="102">
        <f>IF(VALUE(CostRemaining[#Headers])&lt;=$F21,IFERROR(VLOOKUP(CostRemaining[[#This Row],[Cost]],Upgrades[],MATCH("C"&amp;CostRemaining[#Headers],Upgrades[#Headers],0),FALSE),0)*MAX(0,SUM($G21:G21)),0)</f>
        <v>0</v>
      </c>
      <c r="G73" s="102">
        <f>IF(VALUE(CostRemaining[#Headers])&lt;=$F21,IFERROR(VLOOKUP(CostRemaining[[#This Row],[Cost]],Upgrades[],MATCH("C"&amp;CostRemaining[#Headers],Upgrades[#Headers],0),FALSE),0)*MAX(0,SUM($G21:H21)),0)</f>
        <v>0</v>
      </c>
      <c r="H73" s="102">
        <f>IF(VALUE(CostRemaining[#Headers])&lt;=$F21,IFERROR(VLOOKUP(CostRemaining[[#This Row],[Cost]],Upgrades[],MATCH("C"&amp;CostRemaining[#Headers],Upgrades[#Headers],0),FALSE),0)*MAX(0,SUM($G21:I21)),0)</f>
        <v>0</v>
      </c>
      <c r="I73" s="102">
        <f>IF(VALUE(CostRemaining[#Headers])&lt;=$F21,IFERROR(VLOOKUP(CostRemaining[[#This Row],[Cost]],Upgrades[],MATCH("C"&amp;CostRemaining[#Headers],Upgrades[#Headers],0),FALSE),0)*MAX(0,SUM($G21:J21)),0)</f>
        <v>0</v>
      </c>
      <c r="J73" s="102">
        <f>IF(VALUE(CostRemaining[#Headers])&lt;=$F21,IFERROR(VLOOKUP(CostRemaining[[#This Row],[Cost]],Upgrades[],MATCH("C"&amp;CostRemaining[#Headers],Upgrades[#Headers],0),FALSE),0)*MAX(0,SUM($G21:K21)),0)</f>
        <v>0</v>
      </c>
      <c r="K73" s="102">
        <f>IF(VALUE(CostRemaining[#Headers])&lt;=$F21,IFERROR(VLOOKUP(CostRemaining[[#This Row],[Cost]],Upgrades[],MATCH("C"&amp;CostRemaining[#Headers],Upgrades[#Headers],0),FALSE),0)*MAX(0,SUM($G21:L21)),0)</f>
        <v>0</v>
      </c>
      <c r="L73" s="102">
        <f>IF(VALUE(CostRemaining[#Headers])&lt;=$F21,IFERROR(VLOOKUP(CostRemaining[[#This Row],[Cost]],Upgrades[],MATCH("C"&amp;CostRemaining[#Headers],Upgrades[#Headers],0),FALSE),0)*MAX(0,SUM($G21:M21)),0)</f>
        <v>0</v>
      </c>
      <c r="M73" s="102">
        <f>IF(VALUE(CostRemaining[#Headers])&lt;=$F21,IFERROR(VLOOKUP(CostRemaining[[#This Row],[Cost]],Upgrades[],MATCH("C"&amp;CostRemaining[#Headers],Upgrades[#Headers],0),FALSE),0)*MAX(0,SUM($G21:N21)),0)</f>
        <v>700000</v>
      </c>
      <c r="N73" s="102">
        <f>IF(VALUE(CostRemaining[#Headers])&lt;=$F21,IFERROR(VLOOKUP(CostRemaining[[#This Row],[Cost]],Upgrades[],MATCH("C"&amp;CostRemaining[#Headers],Upgrades[#Headers],0),FALSE),0)*MAX(0,SUM($G21:O21)),0)</f>
        <v>6000000</v>
      </c>
      <c r="O73" s="102">
        <f>IF(VALUE(CostRemaining[#Headers])&lt;=$F21,IFERROR(VLOOKUP(CostRemaining[[#This Row],[Cost]],Upgrades[],MATCH("C"&amp;CostRemaining[#Headers],Upgrades[#Headers],0),FALSE),0)*MAX(0,SUM($G21:P21)),0)</f>
        <v>0</v>
      </c>
      <c r="P73" s="102">
        <f>IF(VALUE(CostRemaining[#Headers])&lt;=$F21,IFERROR(VLOOKUP(CostRemaining[[#This Row],[Cost]],Upgrades[],MATCH("C"&amp;CostRemaining[#Headers],Upgrades[#Headers],0),FALSE),0)*MAX(0,SUM($G21:Q21)),0)</f>
        <v>0</v>
      </c>
      <c r="Q73" s="102">
        <f>IF(VALUE(CostRemaining[#Headers])&lt;=$F21,IFERROR(VLOOKUP(CostRemaining[[#This Row],[Cost]],Upgrades[],MATCH("C"&amp;CostRemaining[#Headers],Upgrades[#Headers],0),FALSE),0)*MAX(0,SUM($G21:R21)),0)</f>
        <v>0</v>
      </c>
      <c r="R73" s="102">
        <f>IF(CostRemaining[[#This Row],[MatchStr]]="IGNORE",0,SUM(CostRemaining[[#This Row],[1]:[12]]))</f>
        <v>6700000</v>
      </c>
    </row>
    <row r="74" spans="1:19">
      <c r="A74" s="47" t="s">
        <v>20</v>
      </c>
      <c r="B74" s="103" t="str">
        <f>VLOOKUP(CostRemaining[[#This Row],[Cost]],Upgrades[],2,FALSE)</f>
        <v>Building</v>
      </c>
      <c r="C74" s="103" t="str">
        <f>VLOOKUP(CostRemaining[[#This Row],[Cost]],Upgrades[],3,FALSE)</f>
        <v>Elixir</v>
      </c>
      <c r="D74" s="104" t="str">
        <f>IF((IFERROR(MATCH(CostRemaining[[#This Row],[Cost]],$O$16:$S$16,0),0)+IFERROR(MATCH(CostRemaining[[#This Row],[Cost]],$O$17:$S$17,0),0))&gt;0,"IGNORE",CostRemaining[Kind]&amp;"-"&amp;CostRemaining[Resource])</f>
        <v>Building-Elixir</v>
      </c>
      <c r="E74" s="101">
        <f>IFERROR(VLOOKUP(CostRemaining[[#This Row],[Cost]],Upgrades[],MATCH("C"&amp;MATCH(TRUE,INDEX(CostRemaining[[#This Row],[1]:[12]]&lt;&gt;0,),0),Upgrades[#Headers],0),FALSE),"")</f>
        <v>750000</v>
      </c>
      <c r="F74" s="102">
        <f>IF(VALUE(CostRemaining[#Headers])&lt;=$F22,IFERROR(VLOOKUP(CostRemaining[[#This Row],[Cost]],Upgrades[],MATCH("C"&amp;CostRemaining[#Headers],Upgrades[#Headers],0),FALSE),0)*MAX(0,SUM($G22:G22)),0)</f>
        <v>0</v>
      </c>
      <c r="G74" s="102">
        <f>IF(VALUE(CostRemaining[#Headers])&lt;=$F22,IFERROR(VLOOKUP(CostRemaining[[#This Row],[Cost]],Upgrades[],MATCH("C"&amp;CostRemaining[#Headers],Upgrades[#Headers],0),FALSE),0)*MAX(0,SUM($G22:H22)),0)</f>
        <v>0</v>
      </c>
      <c r="H74" s="102">
        <f>IF(VALUE(CostRemaining[#Headers])&lt;=$F22,IFERROR(VLOOKUP(CostRemaining[[#This Row],[Cost]],Upgrades[],MATCH("C"&amp;CostRemaining[#Headers],Upgrades[#Headers],0),FALSE),0)*MAX(0,SUM($G22:I22)),0)</f>
        <v>0</v>
      </c>
      <c r="I74" s="102">
        <f>IF(VALUE(CostRemaining[#Headers])&lt;=$F22,IFERROR(VLOOKUP(CostRemaining[[#This Row],[Cost]],Upgrades[],MATCH("C"&amp;CostRemaining[#Headers],Upgrades[#Headers],0),FALSE),0)*MAX(0,SUM($G22:J22)),0)</f>
        <v>0</v>
      </c>
      <c r="J74" s="102">
        <f>IF(VALUE(CostRemaining[#Headers])&lt;=$F22,IFERROR(VLOOKUP(CostRemaining[[#This Row],[Cost]],Upgrades[],MATCH("C"&amp;CostRemaining[#Headers],Upgrades[#Headers],0),FALSE),0)*MAX(0,SUM($G22:K22)),0)</f>
        <v>0</v>
      </c>
      <c r="K74" s="102">
        <f>IF(VALUE(CostRemaining[#Headers])&lt;=$F22,IFERROR(VLOOKUP(CostRemaining[[#This Row],[Cost]],Upgrades[],MATCH("C"&amp;CostRemaining[#Headers],Upgrades[#Headers],0),FALSE),0)*MAX(0,SUM($G22:L22)),0)</f>
        <v>750000</v>
      </c>
      <c r="L74" s="102">
        <f>IF(VALUE(CostRemaining[#Headers])&lt;=$F22,IFERROR(VLOOKUP(CostRemaining[[#This Row],[Cost]],Upgrades[],MATCH("C"&amp;CostRemaining[#Headers],Upgrades[#Headers],0),FALSE),0)*MAX(0,SUM($G22:M22)),0)</f>
        <v>0</v>
      </c>
      <c r="M74" s="102">
        <f>IF(VALUE(CostRemaining[#Headers])&lt;=$F22,IFERROR(VLOOKUP(CostRemaining[[#This Row],[Cost]],Upgrades[],MATCH("C"&amp;CostRemaining[#Headers],Upgrades[#Headers],0),FALSE),0)*MAX(0,SUM($G22:N22)),0)</f>
        <v>0</v>
      </c>
      <c r="N74" s="102">
        <f>IF(VALUE(CostRemaining[#Headers])&lt;=$F22,IFERROR(VLOOKUP(CostRemaining[[#This Row],[Cost]],Upgrades[],MATCH("C"&amp;CostRemaining[#Headers],Upgrades[#Headers],0),FALSE),0)*MAX(0,SUM($G22:O22)),0)</f>
        <v>0</v>
      </c>
      <c r="O74" s="102">
        <f>IF(VALUE(CostRemaining[#Headers])&lt;=$F22,IFERROR(VLOOKUP(CostRemaining[[#This Row],[Cost]],Upgrades[],MATCH("C"&amp;CostRemaining[#Headers],Upgrades[#Headers],0),FALSE),0)*MAX(0,SUM($G22:P22)),0)</f>
        <v>0</v>
      </c>
      <c r="P74" s="102">
        <f>IF(VALUE(CostRemaining[#Headers])&lt;=$F22,IFERROR(VLOOKUP(CostRemaining[[#This Row],[Cost]],Upgrades[],MATCH("C"&amp;CostRemaining[#Headers],Upgrades[#Headers],0),FALSE),0)*MAX(0,SUM($G22:Q22)),0)</f>
        <v>0</v>
      </c>
      <c r="Q74" s="102">
        <f>IF(VALUE(CostRemaining[#Headers])&lt;=$F22,IFERROR(VLOOKUP(CostRemaining[[#This Row],[Cost]],Upgrades[],MATCH("C"&amp;CostRemaining[#Headers],Upgrades[#Headers],0),FALSE),0)*MAX(0,SUM($G22:R22)),0)</f>
        <v>0</v>
      </c>
      <c r="R74" s="102">
        <f>IF(CostRemaining[[#This Row],[MatchStr]]="IGNORE",0,SUM(CostRemaining[[#This Row],[1]:[12]]))</f>
        <v>750000</v>
      </c>
    </row>
    <row r="75" spans="1:19">
      <c r="A75" s="47" t="s">
        <v>15</v>
      </c>
      <c r="B75" s="47" t="str">
        <f>VLOOKUP(CostRemaining[[#This Row],[Cost]],Upgrades[],2,FALSE)</f>
        <v>Building</v>
      </c>
      <c r="C75" s="47" t="str">
        <f>VLOOKUP(CostRemaining[[#This Row],[Cost]],Upgrades[],3,FALSE)</f>
        <v>Elixir</v>
      </c>
      <c r="D75" s="75" t="str">
        <f>IF((IFERROR(MATCH(CostRemaining[[#This Row],[Cost]],$O$16:$S$16,0),0)+IFERROR(MATCH(CostRemaining[[#This Row],[Cost]],$O$17:$S$17,0),0))&gt;0,"IGNORE",CostRemaining[Kind]&amp;"-"&amp;CostRemaining[Resource])</f>
        <v>Building-Elixir</v>
      </c>
      <c r="E75" s="101" t="str">
        <f>IFERROR(VLOOKUP(CostRemaining[[#This Row],[Cost]],Upgrades[],MATCH("C"&amp;MATCH(TRUE,INDEX(CostRemaining[[#This Row],[1]:[12]]&lt;&gt;0,),0),Upgrades[#Headers],0),FALSE),"")</f>
        <v/>
      </c>
      <c r="F75" s="102">
        <f>IF(VALUE(CostRemaining[#Headers])&lt;=$F23,IFERROR(VLOOKUP(CostRemaining[[#This Row],[Cost]],Upgrades[],MATCH("C"&amp;CostRemaining[#Headers],Upgrades[#Headers],0),FALSE),0)*MAX(0,SUM($G23:G23)),0)</f>
        <v>0</v>
      </c>
      <c r="G75" s="102">
        <f>IF(VALUE(CostRemaining[#Headers])&lt;=$F23,IFERROR(VLOOKUP(CostRemaining[[#This Row],[Cost]],Upgrades[],MATCH("C"&amp;CostRemaining[#Headers],Upgrades[#Headers],0),FALSE),0)*MAX(0,SUM($G23:H23)),0)</f>
        <v>0</v>
      </c>
      <c r="H75" s="102">
        <f>IF(VALUE(CostRemaining[#Headers])&lt;=$F23,IFERROR(VLOOKUP(CostRemaining[[#This Row],[Cost]],Upgrades[],MATCH("C"&amp;CostRemaining[#Headers],Upgrades[#Headers],0),FALSE),0)*MAX(0,SUM($G23:I23)),0)</f>
        <v>0</v>
      </c>
      <c r="I75" s="102">
        <f>IF(VALUE(CostRemaining[#Headers])&lt;=$F23,IFERROR(VLOOKUP(CostRemaining[[#This Row],[Cost]],Upgrades[],MATCH("C"&amp;CostRemaining[#Headers],Upgrades[#Headers],0),FALSE),0)*MAX(0,SUM($G23:J23)),0)</f>
        <v>0</v>
      </c>
      <c r="J75" s="102">
        <f>IF(VALUE(CostRemaining[#Headers])&lt;=$F23,IFERROR(VLOOKUP(CostRemaining[[#This Row],[Cost]],Upgrades[],MATCH("C"&amp;CostRemaining[#Headers],Upgrades[#Headers],0),FALSE),0)*MAX(0,SUM($G23:K23)),0)</f>
        <v>0</v>
      </c>
      <c r="K75" s="102">
        <f>IF(VALUE(CostRemaining[#Headers])&lt;=$F23,IFERROR(VLOOKUP(CostRemaining[[#This Row],[Cost]],Upgrades[],MATCH("C"&amp;CostRemaining[#Headers],Upgrades[#Headers],0),FALSE),0)*MAX(0,SUM($G23:L23)),0)</f>
        <v>0</v>
      </c>
      <c r="L75" s="102">
        <f>IF(VALUE(CostRemaining[#Headers])&lt;=$F23,IFERROR(VLOOKUP(CostRemaining[[#This Row],[Cost]],Upgrades[],MATCH("C"&amp;CostRemaining[#Headers],Upgrades[#Headers],0),FALSE),0)*MAX(0,SUM($G23:M23)),0)</f>
        <v>0</v>
      </c>
      <c r="M75" s="102">
        <f>IF(VALUE(CostRemaining[#Headers])&lt;=$F23,IFERROR(VLOOKUP(CostRemaining[[#This Row],[Cost]],Upgrades[],MATCH("C"&amp;CostRemaining[#Headers],Upgrades[#Headers],0),FALSE),0)*MAX(0,SUM($G23:N23)),0)</f>
        <v>0</v>
      </c>
      <c r="N75" s="102">
        <f>IF(VALUE(CostRemaining[#Headers])&lt;=$F23,IFERROR(VLOOKUP(CostRemaining[[#This Row],[Cost]],Upgrades[],MATCH("C"&amp;CostRemaining[#Headers],Upgrades[#Headers],0),FALSE),0)*MAX(0,SUM($G23:O23)),0)</f>
        <v>0</v>
      </c>
      <c r="O75" s="102">
        <f>IF(VALUE(CostRemaining[#Headers])&lt;=$F23,IFERROR(VLOOKUP(CostRemaining[[#This Row],[Cost]],Upgrades[],MATCH("C"&amp;CostRemaining[#Headers],Upgrades[#Headers],0),FALSE),0)*MAX(0,SUM($G23:P23)),0)</f>
        <v>0</v>
      </c>
      <c r="P75" s="102">
        <f>IF(VALUE(CostRemaining[#Headers])&lt;=$F23,IFERROR(VLOOKUP(CostRemaining[[#This Row],[Cost]],Upgrades[],MATCH("C"&amp;CostRemaining[#Headers],Upgrades[#Headers],0),FALSE),0)*MAX(0,SUM($G23:Q23)),0)</f>
        <v>0</v>
      </c>
      <c r="Q75" s="102">
        <f>IF(VALUE(CostRemaining[#Headers])&lt;=$F23,IFERROR(VLOOKUP(CostRemaining[[#This Row],[Cost]],Upgrades[],MATCH("C"&amp;CostRemaining[#Headers],Upgrades[#Headers],0),FALSE),0)*MAX(0,SUM($G23:R23)),0)</f>
        <v>0</v>
      </c>
      <c r="R75" s="102">
        <f>IF(CostRemaining[[#This Row],[MatchStr]]="IGNORE",0,SUM(CostRemaining[[#This Row],[1]:[12]]))</f>
        <v>0</v>
      </c>
    </row>
    <row r="76" spans="1:19">
      <c r="A76" s="47" t="s">
        <v>16</v>
      </c>
      <c r="B76" s="47" t="str">
        <f>VLOOKUP(CostRemaining[[#This Row],[Cost]],Upgrades[],2,FALSE)</f>
        <v>Building</v>
      </c>
      <c r="C76" s="47" t="str">
        <f>VLOOKUP(CostRemaining[[#This Row],[Cost]],Upgrades[],3,FALSE)</f>
        <v>Gold</v>
      </c>
      <c r="D76" s="75" t="str">
        <f>IF((IFERROR(MATCH(CostRemaining[[#This Row],[Cost]],$O$16:$S$16,0),0)+IFERROR(MATCH(CostRemaining[[#This Row],[Cost]],$O$17:$S$17,0),0))&gt;0,"IGNORE",CostRemaining[Kind]&amp;"-"&amp;CostRemaining[Resource])</f>
        <v>Building-Gold</v>
      </c>
      <c r="E76" s="101" t="str">
        <f>IFERROR(VLOOKUP(CostRemaining[[#This Row],[Cost]],Upgrades[],MATCH("C"&amp;MATCH(TRUE,INDEX(CostRemaining[[#This Row],[1]:[12]]&lt;&gt;0,),0),Upgrades[#Headers],0),FALSE),"")</f>
        <v/>
      </c>
      <c r="F76" s="102">
        <f>IF(VALUE(CostRemaining[#Headers])&lt;=$F24,IFERROR(VLOOKUP(CostRemaining[[#This Row],[Cost]],Upgrades[],MATCH("C"&amp;CostRemaining[#Headers],Upgrades[#Headers],0),FALSE),0)*MAX(0,SUM($G24:G24)),0)</f>
        <v>0</v>
      </c>
      <c r="G76" s="102">
        <f>IF(VALUE(CostRemaining[#Headers])&lt;=$F24,IFERROR(VLOOKUP(CostRemaining[[#This Row],[Cost]],Upgrades[],MATCH("C"&amp;CostRemaining[#Headers],Upgrades[#Headers],0),FALSE),0)*MAX(0,SUM($G24:H24)),0)</f>
        <v>0</v>
      </c>
      <c r="H76" s="102">
        <f>IF(VALUE(CostRemaining[#Headers])&lt;=$F24,IFERROR(VLOOKUP(CostRemaining[[#This Row],[Cost]],Upgrades[],MATCH("C"&amp;CostRemaining[#Headers],Upgrades[#Headers],0),FALSE),0)*MAX(0,SUM($G24:I24)),0)</f>
        <v>0</v>
      </c>
      <c r="I76" s="102">
        <f>IF(VALUE(CostRemaining[#Headers])&lt;=$F24,IFERROR(VLOOKUP(CostRemaining[[#This Row],[Cost]],Upgrades[],MATCH("C"&amp;CostRemaining[#Headers],Upgrades[#Headers],0),FALSE),0)*MAX(0,SUM($G24:J24)),0)</f>
        <v>0</v>
      </c>
      <c r="J76" s="102">
        <f>IF(VALUE(CostRemaining[#Headers])&lt;=$F24,IFERROR(VLOOKUP(CostRemaining[[#This Row],[Cost]],Upgrades[],MATCH("C"&amp;CostRemaining[#Headers],Upgrades[#Headers],0),FALSE),0)*MAX(0,SUM($G24:K24)),0)</f>
        <v>0</v>
      </c>
      <c r="K76" s="102">
        <f>IF(VALUE(CostRemaining[#Headers])&lt;=$F24,IFERROR(VLOOKUP(CostRemaining[[#This Row],[Cost]],Upgrades[],MATCH("C"&amp;CostRemaining[#Headers],Upgrades[#Headers],0),FALSE),0)*MAX(0,SUM($G24:L24)),0)</f>
        <v>0</v>
      </c>
      <c r="L76" s="102">
        <f>IF(VALUE(CostRemaining[#Headers])&lt;=$F24,IFERROR(VLOOKUP(CostRemaining[[#This Row],[Cost]],Upgrades[],MATCH("C"&amp;CostRemaining[#Headers],Upgrades[#Headers],0),FALSE),0)*MAX(0,SUM($G24:M24)),0)</f>
        <v>0</v>
      </c>
      <c r="M76" s="102">
        <f>IF(VALUE(CostRemaining[#Headers])&lt;=$F24,IFERROR(VLOOKUP(CostRemaining[[#This Row],[Cost]],Upgrades[],MATCH("C"&amp;CostRemaining[#Headers],Upgrades[#Headers],0),FALSE),0)*MAX(0,SUM($G24:N24)),0)</f>
        <v>0</v>
      </c>
      <c r="N76" s="102">
        <f>IF(VALUE(CostRemaining[#Headers])&lt;=$F24,IFERROR(VLOOKUP(CostRemaining[[#This Row],[Cost]],Upgrades[],MATCH("C"&amp;CostRemaining[#Headers],Upgrades[#Headers],0),FALSE),0)*MAX(0,SUM($G24:O24)),0)</f>
        <v>0</v>
      </c>
      <c r="O76" s="102">
        <f>IF(VALUE(CostRemaining[#Headers])&lt;=$F24,IFERROR(VLOOKUP(CostRemaining[[#This Row],[Cost]],Upgrades[],MATCH("C"&amp;CostRemaining[#Headers],Upgrades[#Headers],0),FALSE),0)*MAX(0,SUM($G24:P24)),0)</f>
        <v>0</v>
      </c>
      <c r="P76" s="102">
        <f>IF(VALUE(CostRemaining[#Headers])&lt;=$F24,IFERROR(VLOOKUP(CostRemaining[[#This Row],[Cost]],Upgrades[],MATCH("C"&amp;CostRemaining[#Headers],Upgrades[#Headers],0),FALSE),0)*MAX(0,SUM($G24:Q24)),0)</f>
        <v>0</v>
      </c>
      <c r="Q76" s="102">
        <f>IF(VALUE(CostRemaining[#Headers])&lt;=$F24,IFERROR(VLOOKUP(CostRemaining[[#This Row],[Cost]],Upgrades[],MATCH("C"&amp;CostRemaining[#Headers],Upgrades[#Headers],0),FALSE),0)*MAX(0,SUM($G24:R24)),0)</f>
        <v>0</v>
      </c>
      <c r="R76" s="102">
        <f>IF(CostRemaining[[#This Row],[MatchStr]]="IGNORE",0,SUM(CostRemaining[[#This Row],[1]:[12]]))</f>
        <v>0</v>
      </c>
    </row>
    <row r="77" spans="1:19">
      <c r="A77" s="47" t="s">
        <v>17</v>
      </c>
      <c r="B77" s="47" t="str">
        <f>VLOOKUP(CostRemaining[[#This Row],[Cost]],Upgrades[],2,FALSE)</f>
        <v>Building</v>
      </c>
      <c r="C77" s="47" t="str">
        <f>VLOOKUP(CostRemaining[[#This Row],[Cost]],Upgrades[],3,FALSE)</f>
        <v>Elixir</v>
      </c>
      <c r="D77" s="75" t="str">
        <f>IF((IFERROR(MATCH(CostRemaining[[#This Row],[Cost]],$O$16:$S$16,0),0)+IFERROR(MATCH(CostRemaining[[#This Row],[Cost]],$O$17:$S$17,0),0))&gt;0,"IGNORE",CostRemaining[Kind]&amp;"-"&amp;CostRemaining[Resource])</f>
        <v>Building-Elixir</v>
      </c>
      <c r="E77" s="101" t="str">
        <f>IFERROR(VLOOKUP(CostRemaining[[#This Row],[Cost]],Upgrades[],MATCH("C"&amp;MATCH(TRUE,INDEX(CostRemaining[[#This Row],[1]:[12]]&lt;&gt;0,),0),Upgrades[#Headers],0),FALSE),"")</f>
        <v/>
      </c>
      <c r="F77" s="102">
        <f>IF(VALUE(CostRemaining[#Headers])&lt;=$F25,IFERROR(VLOOKUP(CostRemaining[[#This Row],[Cost]],Upgrades[],MATCH("C"&amp;CostRemaining[#Headers],Upgrades[#Headers],0),FALSE),0)*MAX(0,SUM($G25:G25)),0)</f>
        <v>0</v>
      </c>
      <c r="G77" s="102">
        <f>IF(VALUE(CostRemaining[#Headers])&lt;=$F25,IFERROR(VLOOKUP(CostRemaining[[#This Row],[Cost]],Upgrades[],MATCH("C"&amp;CostRemaining[#Headers],Upgrades[#Headers],0),FALSE),0)*MAX(0,SUM($G25:H25)),0)</f>
        <v>0</v>
      </c>
      <c r="H77" s="102">
        <f>IF(VALUE(CostRemaining[#Headers])&lt;=$F25,IFERROR(VLOOKUP(CostRemaining[[#This Row],[Cost]],Upgrades[],MATCH("C"&amp;CostRemaining[#Headers],Upgrades[#Headers],0),FALSE),0)*MAX(0,SUM($G25:I25)),0)</f>
        <v>0</v>
      </c>
      <c r="I77" s="102">
        <f>IF(VALUE(CostRemaining[#Headers])&lt;=$F25,IFERROR(VLOOKUP(CostRemaining[[#This Row],[Cost]],Upgrades[],MATCH("C"&amp;CostRemaining[#Headers],Upgrades[#Headers],0),FALSE),0)*MAX(0,SUM($G25:J25)),0)</f>
        <v>0</v>
      </c>
      <c r="J77" s="102">
        <f>IF(VALUE(CostRemaining[#Headers])&lt;=$F25,IFERROR(VLOOKUP(CostRemaining[[#This Row],[Cost]],Upgrades[],MATCH("C"&amp;CostRemaining[#Headers],Upgrades[#Headers],0),FALSE),0)*MAX(0,SUM($G25:K25)),0)</f>
        <v>0</v>
      </c>
      <c r="K77" s="102">
        <f>IF(VALUE(CostRemaining[#Headers])&lt;=$F25,IFERROR(VLOOKUP(CostRemaining[[#This Row],[Cost]],Upgrades[],MATCH("C"&amp;CostRemaining[#Headers],Upgrades[#Headers],0),FALSE),0)*MAX(0,SUM($G25:L25)),0)</f>
        <v>0</v>
      </c>
      <c r="L77" s="102">
        <f>IF(VALUE(CostRemaining[#Headers])&lt;=$F25,IFERROR(VLOOKUP(CostRemaining[[#This Row],[Cost]],Upgrades[],MATCH("C"&amp;CostRemaining[#Headers],Upgrades[#Headers],0),FALSE),0)*MAX(0,SUM($G25:M25)),0)</f>
        <v>0</v>
      </c>
      <c r="M77" s="102">
        <f>IF(VALUE(CostRemaining[#Headers])&lt;=$F25,IFERROR(VLOOKUP(CostRemaining[[#This Row],[Cost]],Upgrades[],MATCH("C"&amp;CostRemaining[#Headers],Upgrades[#Headers],0),FALSE),0)*MAX(0,SUM($G25:N25)),0)</f>
        <v>0</v>
      </c>
      <c r="N77" s="102">
        <f>IF(VALUE(CostRemaining[#Headers])&lt;=$F25,IFERROR(VLOOKUP(CostRemaining[[#This Row],[Cost]],Upgrades[],MATCH("C"&amp;CostRemaining[#Headers],Upgrades[#Headers],0),FALSE),0)*MAX(0,SUM($G25:O25)),0)</f>
        <v>0</v>
      </c>
      <c r="O77" s="102">
        <f>IF(VALUE(CostRemaining[#Headers])&lt;=$F25,IFERROR(VLOOKUP(CostRemaining[[#This Row],[Cost]],Upgrades[],MATCH("C"&amp;CostRemaining[#Headers],Upgrades[#Headers],0),FALSE),0)*MAX(0,SUM($G25:P25)),0)</f>
        <v>0</v>
      </c>
      <c r="P77" s="102">
        <f>IF(VALUE(CostRemaining[#Headers])&lt;=$F25,IFERROR(VLOOKUP(CostRemaining[[#This Row],[Cost]],Upgrades[],MATCH("C"&amp;CostRemaining[#Headers],Upgrades[#Headers],0),FALSE),0)*MAX(0,SUM($G25:Q25)),0)</f>
        <v>0</v>
      </c>
      <c r="Q77" s="102">
        <f>IF(VALUE(CostRemaining[#Headers])&lt;=$F25,IFERROR(VLOOKUP(CostRemaining[[#This Row],[Cost]],Upgrades[],MATCH("C"&amp;CostRemaining[#Headers],Upgrades[#Headers],0),FALSE),0)*MAX(0,SUM($G25:R25)),0)</f>
        <v>0</v>
      </c>
      <c r="R77" s="102">
        <f>IF(CostRemaining[[#This Row],[MatchStr]]="IGNORE",0,SUM(CostRemaining[[#This Row],[1]:[12]]))</f>
        <v>0</v>
      </c>
    </row>
    <row r="78" spans="1:19">
      <c r="A78" s="47" t="s">
        <v>3</v>
      </c>
      <c r="B78" s="47" t="str">
        <f>VLOOKUP(CostRemaining[[#This Row],[Cost]],Upgrades[],2,FALSE)</f>
        <v>Building</v>
      </c>
      <c r="C78" s="47" t="str">
        <f>VLOOKUP(CostRemaining[[#This Row],[Cost]],Upgrades[],3,FALSE)</f>
        <v>Elixir</v>
      </c>
      <c r="D78" s="75" t="str">
        <f>IF((IFERROR(MATCH(CostRemaining[[#This Row],[Cost]],$O$16:$S$16,0),0)+IFERROR(MATCH(CostRemaining[[#This Row],[Cost]],$O$17:$S$17,0),0))&gt;0,"IGNORE",CostRemaining[Kind]&amp;"-"&amp;CostRemaining[Resource])</f>
        <v>IGNORE</v>
      </c>
      <c r="E78" s="101">
        <f>IFERROR(VLOOKUP(CostRemaining[[#This Row],[Cost]],Upgrades[],MATCH("C"&amp;MATCH(TRUE,INDEX(CostRemaining[[#This Row],[1]:[12]]&lt;&gt;0,),0),Upgrades[#Headers],0),FALSE),"")</f>
        <v>500000</v>
      </c>
      <c r="F78" s="102">
        <f>IF(VALUE(CostRemaining[#Headers])&lt;=$F26,IFERROR(VLOOKUP(CostRemaining[[#This Row],[Cost]],Upgrades[],MATCH("C"&amp;CostRemaining[#Headers],Upgrades[#Headers],0),FALSE),0)*MAX(0,SUM($G26:G26)),0)</f>
        <v>0</v>
      </c>
      <c r="G78" s="102">
        <f>IF(VALUE(CostRemaining[#Headers])&lt;=$F26,IFERROR(VLOOKUP(CostRemaining[[#This Row],[Cost]],Upgrades[],MATCH("C"&amp;CostRemaining[#Headers],Upgrades[#Headers],0),FALSE),0)*MAX(0,SUM($G26:H26)),0)</f>
        <v>0</v>
      </c>
      <c r="H78" s="102">
        <f>IF(VALUE(CostRemaining[#Headers])&lt;=$F26,IFERROR(VLOOKUP(CostRemaining[[#This Row],[Cost]],Upgrades[],MATCH("C"&amp;CostRemaining[#Headers],Upgrades[#Headers],0),FALSE),0)*MAX(0,SUM($G26:I26)),0)</f>
        <v>0</v>
      </c>
      <c r="I78" s="102">
        <f>IF(VALUE(CostRemaining[#Headers])&lt;=$F26,IFERROR(VLOOKUP(CostRemaining[[#This Row],[Cost]],Upgrades[],MATCH("C"&amp;CostRemaining[#Headers],Upgrades[#Headers],0),FALSE),0)*MAX(0,SUM($G26:J26)),0)</f>
        <v>0</v>
      </c>
      <c r="J78" s="102">
        <f>IF(VALUE(CostRemaining[#Headers])&lt;=$F26,IFERROR(VLOOKUP(CostRemaining[[#This Row],[Cost]],Upgrades[],MATCH("C"&amp;CostRemaining[#Headers],Upgrades[#Headers],0),FALSE),0)*MAX(0,SUM($G26:K26)),0)</f>
        <v>0</v>
      </c>
      <c r="K78" s="102">
        <f>IF(VALUE(CostRemaining[#Headers])&lt;=$F26,IFERROR(VLOOKUP(CostRemaining[[#This Row],[Cost]],Upgrades[],MATCH("C"&amp;CostRemaining[#Headers],Upgrades[#Headers],0),FALSE),0)*MAX(0,SUM($G26:L26)),0)</f>
        <v>0</v>
      </c>
      <c r="L78" s="102">
        <f>IF(VALUE(CostRemaining[#Headers])&lt;=$F26,IFERROR(VLOOKUP(CostRemaining[[#This Row],[Cost]],Upgrades[],MATCH("C"&amp;CostRemaining[#Headers],Upgrades[#Headers],0),FALSE),0)*MAX(0,SUM($G26:M26)),0)</f>
        <v>0</v>
      </c>
      <c r="M78" s="102">
        <f>IF(VALUE(CostRemaining[#Headers])&lt;=$F26,IFERROR(VLOOKUP(CostRemaining[[#This Row],[Cost]],Upgrades[],MATCH("C"&amp;CostRemaining[#Headers],Upgrades[#Headers],0),FALSE),0)*MAX(0,SUM($G26:N26)),0)</f>
        <v>0</v>
      </c>
      <c r="N78" s="102">
        <f>IF(VALUE(CostRemaining[#Headers])&lt;=$F26,IFERROR(VLOOKUP(CostRemaining[[#This Row],[Cost]],Upgrades[],MATCH("C"&amp;CostRemaining[#Headers],Upgrades[#Headers],0),FALSE),0)*MAX(0,SUM($G26:O26)),0)</f>
        <v>0</v>
      </c>
      <c r="O78" s="102">
        <f>IF(VALUE(CostRemaining[#Headers])&lt;=$F26,IFERROR(VLOOKUP(CostRemaining[[#This Row],[Cost]],Upgrades[],MATCH("C"&amp;CostRemaining[#Headers],Upgrades[#Headers],0),FALSE),0)*MAX(0,SUM($G26:P26)),0)</f>
        <v>0</v>
      </c>
      <c r="P78" s="102">
        <f>IF(VALUE(CostRemaining[#Headers])&lt;=$F26,IFERROR(VLOOKUP(CostRemaining[[#This Row],[Cost]],Upgrades[],MATCH("C"&amp;CostRemaining[#Headers],Upgrades[#Headers],0),FALSE),0)*MAX(0,SUM($G26:Q26)),0)</f>
        <v>1000000</v>
      </c>
      <c r="Q78" s="102">
        <f>IF(VALUE(CostRemaining[#Headers])&lt;=$F26,IFERROR(VLOOKUP(CostRemaining[[#This Row],[Cost]],Upgrades[],MATCH("C"&amp;CostRemaining[#Headers],Upgrades[#Headers],0),FALSE),0)*MAX(0,SUM($G26:R26)),0)</f>
        <v>0</v>
      </c>
      <c r="R78" s="102">
        <f>IF(CostRemaining[[#This Row],[MatchStr]]="IGNORE",0,SUM(CostRemaining[[#This Row],[1]:[12]]))</f>
        <v>0</v>
      </c>
    </row>
    <row r="79" spans="1:19">
      <c r="A79" s="47" t="s">
        <v>4</v>
      </c>
      <c r="B79" s="47" t="str">
        <f>VLOOKUP(CostRemaining[[#This Row],[Cost]],Upgrades[],2,FALSE)</f>
        <v>Building</v>
      </c>
      <c r="C79" s="47" t="str">
        <f>VLOOKUP(CostRemaining[[#This Row],[Cost]],Upgrades[],3,FALSE)</f>
        <v>Gold</v>
      </c>
      <c r="D79" s="75" t="str">
        <f>IF((IFERROR(MATCH(CostRemaining[[#This Row],[Cost]],$O$16:$S$16,0),0)+IFERROR(MATCH(CostRemaining[[#This Row],[Cost]],$O$17:$S$17,0),0))&gt;0,"IGNORE",CostRemaining[Kind]&amp;"-"&amp;CostRemaining[Resource])</f>
        <v>IGNORE</v>
      </c>
      <c r="E79" s="101">
        <f>IFERROR(VLOOKUP(CostRemaining[[#This Row],[Cost]],Upgrades[],MATCH("C"&amp;MATCH(TRUE,INDEX(CostRemaining[[#This Row],[1]:[12]]&lt;&gt;0,),0),Upgrades[#Headers],0),FALSE),"")</f>
        <v>500000</v>
      </c>
      <c r="F79" s="102">
        <f>IF(VALUE(CostRemaining[#Headers])&lt;=$F27,IFERROR(VLOOKUP(CostRemaining[[#This Row],[Cost]],Upgrades[],MATCH("C"&amp;CostRemaining[#Headers],Upgrades[#Headers],0),FALSE),0)*MAX(0,SUM($G27:G27)),0)</f>
        <v>0</v>
      </c>
      <c r="G79" s="102">
        <f>IF(VALUE(CostRemaining[#Headers])&lt;=$F27,IFERROR(VLOOKUP(CostRemaining[[#This Row],[Cost]],Upgrades[],MATCH("C"&amp;CostRemaining[#Headers],Upgrades[#Headers],0),FALSE),0)*MAX(0,SUM($G27:H27)),0)</f>
        <v>0</v>
      </c>
      <c r="H79" s="102">
        <f>IF(VALUE(CostRemaining[#Headers])&lt;=$F27,IFERROR(VLOOKUP(CostRemaining[[#This Row],[Cost]],Upgrades[],MATCH("C"&amp;CostRemaining[#Headers],Upgrades[#Headers],0),FALSE),0)*MAX(0,SUM($G27:I27)),0)</f>
        <v>0</v>
      </c>
      <c r="I79" s="102">
        <f>IF(VALUE(CostRemaining[#Headers])&lt;=$F27,IFERROR(VLOOKUP(CostRemaining[[#This Row],[Cost]],Upgrades[],MATCH("C"&amp;CostRemaining[#Headers],Upgrades[#Headers],0),FALSE),0)*MAX(0,SUM($G27:J27)),0)</f>
        <v>0</v>
      </c>
      <c r="J79" s="102">
        <f>IF(VALUE(CostRemaining[#Headers])&lt;=$F27,IFERROR(VLOOKUP(CostRemaining[[#This Row],[Cost]],Upgrades[],MATCH("C"&amp;CostRemaining[#Headers],Upgrades[#Headers],0),FALSE),0)*MAX(0,SUM($G27:K27)),0)</f>
        <v>0</v>
      </c>
      <c r="K79" s="102">
        <f>IF(VALUE(CostRemaining[#Headers])&lt;=$F27,IFERROR(VLOOKUP(CostRemaining[[#This Row],[Cost]],Upgrades[],MATCH("C"&amp;CostRemaining[#Headers],Upgrades[#Headers],0),FALSE),0)*MAX(0,SUM($G27:L27)),0)</f>
        <v>0</v>
      </c>
      <c r="L79" s="102">
        <f>IF(VALUE(CostRemaining[#Headers])&lt;=$F27,IFERROR(VLOOKUP(CostRemaining[[#This Row],[Cost]],Upgrades[],MATCH("C"&amp;CostRemaining[#Headers],Upgrades[#Headers],0),FALSE),0)*MAX(0,SUM($G27:M27)),0)</f>
        <v>0</v>
      </c>
      <c r="M79" s="102">
        <f>IF(VALUE(CostRemaining[#Headers])&lt;=$F27,IFERROR(VLOOKUP(CostRemaining[[#This Row],[Cost]],Upgrades[],MATCH("C"&amp;CostRemaining[#Headers],Upgrades[#Headers],0),FALSE),0)*MAX(0,SUM($G27:N27)),0)</f>
        <v>0</v>
      </c>
      <c r="N79" s="102">
        <f>IF(VALUE(CostRemaining[#Headers])&lt;=$F27,IFERROR(VLOOKUP(CostRemaining[[#This Row],[Cost]],Upgrades[],MATCH("C"&amp;CostRemaining[#Headers],Upgrades[#Headers],0),FALSE),0)*MAX(0,SUM($G27:O27)),0)</f>
        <v>0</v>
      </c>
      <c r="O79" s="102">
        <f>IF(VALUE(CostRemaining[#Headers])&lt;=$F27,IFERROR(VLOOKUP(CostRemaining[[#This Row],[Cost]],Upgrades[],MATCH("C"&amp;CostRemaining[#Headers],Upgrades[#Headers],0),FALSE),0)*MAX(0,SUM($G27:P27)),0)</f>
        <v>0</v>
      </c>
      <c r="P79" s="102">
        <f>IF(VALUE(CostRemaining[#Headers])&lt;=$F27,IFERROR(VLOOKUP(CostRemaining[[#This Row],[Cost]],Upgrades[],MATCH("C"&amp;CostRemaining[#Headers],Upgrades[#Headers],0),FALSE),0)*MAX(0,SUM($G27:Q27)),0)</f>
        <v>1000000</v>
      </c>
      <c r="Q79" s="102">
        <f>IF(VALUE(CostRemaining[#Headers])&lt;=$F27,IFERROR(VLOOKUP(CostRemaining[[#This Row],[Cost]],Upgrades[],MATCH("C"&amp;CostRemaining[#Headers],Upgrades[#Headers],0),FALSE),0)*MAX(0,SUM($G27:R27)),0)</f>
        <v>0</v>
      </c>
      <c r="R79" s="102">
        <f>IF(CostRemaining[[#This Row],[MatchStr]]="IGNORE",0,SUM(CostRemaining[[#This Row],[1]:[12]]))</f>
        <v>0</v>
      </c>
    </row>
    <row r="80" spans="1:19">
      <c r="A80" s="47" t="s">
        <v>18</v>
      </c>
      <c r="B80" s="47" t="str">
        <f>VLOOKUP(CostRemaining[[#This Row],[Cost]],Upgrades[],2,FALSE)</f>
        <v>Building</v>
      </c>
      <c r="C80" s="47" t="str">
        <f>VLOOKUP(CostRemaining[[#This Row],[Cost]],Upgrades[],3,FALSE)</f>
        <v>Elixir</v>
      </c>
      <c r="D80" s="75" t="str">
        <f>IF((IFERROR(MATCH(CostRemaining[[#This Row],[Cost]],$O$16:$S$16,0),0)+IFERROR(MATCH(CostRemaining[[#This Row],[Cost]],$O$17:$S$17,0),0))&gt;0,"IGNORE",CostRemaining[Kind]&amp;"-"&amp;CostRemaining[Resource])</f>
        <v>Building-Elixir</v>
      </c>
      <c r="E80" s="101">
        <f>IFERROR(VLOOKUP(CostRemaining[[#This Row],[Cost]],Upgrades[],MATCH("C"&amp;MATCH(TRUE,INDEX(CostRemaining[[#This Row],[1]:[12]]&lt;&gt;0,),0),Upgrades[#Headers],0),FALSE),"")</f>
        <v>1200000</v>
      </c>
      <c r="F80" s="102">
        <f>IF(VALUE(CostRemaining[#Headers])&lt;=$F28,IFERROR(VLOOKUP(CostRemaining[[#This Row],[Cost]],Upgrades[],MATCH("C"&amp;CostRemaining[#Headers],Upgrades[#Headers],0),FALSE),0)*MAX(0,SUM($G28:G28)),0)</f>
        <v>0</v>
      </c>
      <c r="G80" s="102">
        <f>IF(VALUE(CostRemaining[#Headers])&lt;=$F28,IFERROR(VLOOKUP(CostRemaining[[#This Row],[Cost]],Upgrades[],MATCH("C"&amp;CostRemaining[#Headers],Upgrades[#Headers],0),FALSE),0)*MAX(0,SUM($G28:H28)),0)</f>
        <v>1200000</v>
      </c>
      <c r="H80" s="102">
        <f>IF(VALUE(CostRemaining[#Headers])&lt;=$F28,IFERROR(VLOOKUP(CostRemaining[[#This Row],[Cost]],Upgrades[],MATCH("C"&amp;CostRemaining[#Headers],Upgrades[#Headers],0),FALSE),0)*MAX(0,SUM($G28:I28)),0)</f>
        <v>0</v>
      </c>
      <c r="I80" s="102">
        <f>IF(VALUE(CostRemaining[#Headers])&lt;=$F28,IFERROR(VLOOKUP(CostRemaining[[#This Row],[Cost]],Upgrades[],MATCH("C"&amp;CostRemaining[#Headers],Upgrades[#Headers],0),FALSE),0)*MAX(0,SUM($G28:J28)),0)</f>
        <v>0</v>
      </c>
      <c r="J80" s="102">
        <f>IF(VALUE(CostRemaining[#Headers])&lt;=$F28,IFERROR(VLOOKUP(CostRemaining[[#This Row],[Cost]],Upgrades[],MATCH("C"&amp;CostRemaining[#Headers],Upgrades[#Headers],0),FALSE),0)*MAX(0,SUM($G28:K28)),0)</f>
        <v>0</v>
      </c>
      <c r="K80" s="102">
        <f>IF(VALUE(CostRemaining[#Headers])&lt;=$F28,IFERROR(VLOOKUP(CostRemaining[[#This Row],[Cost]],Upgrades[],MATCH("C"&amp;CostRemaining[#Headers],Upgrades[#Headers],0),FALSE),0)*MAX(0,SUM($G28:L28)),0)</f>
        <v>0</v>
      </c>
      <c r="L80" s="102">
        <f>IF(VALUE(CostRemaining[#Headers])&lt;=$F28,IFERROR(VLOOKUP(CostRemaining[[#This Row],[Cost]],Upgrades[],MATCH("C"&amp;CostRemaining[#Headers],Upgrades[#Headers],0),FALSE),0)*MAX(0,SUM($G28:M28)),0)</f>
        <v>0</v>
      </c>
      <c r="M80" s="102">
        <f>IF(VALUE(CostRemaining[#Headers])&lt;=$F28,IFERROR(VLOOKUP(CostRemaining[[#This Row],[Cost]],Upgrades[],MATCH("C"&amp;CostRemaining[#Headers],Upgrades[#Headers],0),FALSE),0)*MAX(0,SUM($G28:N28)),0)</f>
        <v>0</v>
      </c>
      <c r="N80" s="102">
        <f>IF(VALUE(CostRemaining[#Headers])&lt;=$F28,IFERROR(VLOOKUP(CostRemaining[[#This Row],[Cost]],Upgrades[],MATCH("C"&amp;CostRemaining[#Headers],Upgrades[#Headers],0),FALSE),0)*MAX(0,SUM($G28:O28)),0)</f>
        <v>0</v>
      </c>
      <c r="O80" s="102">
        <f>IF(VALUE(CostRemaining[#Headers])&lt;=$F28,IFERROR(VLOOKUP(CostRemaining[[#This Row],[Cost]],Upgrades[],MATCH("C"&amp;CostRemaining[#Headers],Upgrades[#Headers],0),FALSE),0)*MAX(0,SUM($G28:P28)),0)</f>
        <v>0</v>
      </c>
      <c r="P80" s="102">
        <f>IF(VALUE(CostRemaining[#Headers])&lt;=$F28,IFERROR(VLOOKUP(CostRemaining[[#This Row],[Cost]],Upgrades[],MATCH("C"&amp;CostRemaining[#Headers],Upgrades[#Headers],0),FALSE),0)*MAX(0,SUM($G28:Q28)),0)</f>
        <v>0</v>
      </c>
      <c r="Q80" s="102">
        <f>IF(VALUE(CostRemaining[#Headers])&lt;=$F28,IFERROR(VLOOKUP(CostRemaining[[#This Row],[Cost]],Upgrades[],MATCH("C"&amp;CostRemaining[#Headers],Upgrades[#Headers],0),FALSE),0)*MAX(0,SUM($G28:R28)),0)</f>
        <v>0</v>
      </c>
      <c r="R80" s="102">
        <f>IF(CostRemaining[[#This Row],[MatchStr]]="IGNORE",0,SUM(CostRemaining[[#This Row],[1]:[12]]))</f>
        <v>1200000</v>
      </c>
    </row>
    <row r="81" spans="1:18">
      <c r="A81" s="47" t="s">
        <v>19</v>
      </c>
      <c r="B81" s="47" t="str">
        <f>VLOOKUP(CostRemaining[[#This Row],[Cost]],Upgrades[],2,FALSE)</f>
        <v>Building</v>
      </c>
      <c r="C81" s="47" t="str">
        <f>VLOOKUP(CostRemaining[[#This Row],[Cost]],Upgrades[],3,FALSE)</f>
        <v>Elixir</v>
      </c>
      <c r="D81" s="75" t="str">
        <f>IF((IFERROR(MATCH(CostRemaining[[#This Row],[Cost]],$O$16:$S$16,0),0)+IFERROR(MATCH(CostRemaining[[#This Row],[Cost]],$O$17:$S$17,0),0))&gt;0,"IGNORE",CostRemaining[Kind]&amp;"-"&amp;CostRemaining[Resource])</f>
        <v>Building-Elixir</v>
      </c>
      <c r="E81" s="101">
        <f>IFERROR(VLOOKUP(CostRemaining[[#This Row],[Cost]],Upgrades[],MATCH("C"&amp;MATCH(TRUE,INDEX(CostRemaining[[#This Row],[1]:[12]]&lt;&gt;0,),0),Upgrades[#Headers],0),FALSE),"")</f>
        <v>1250000</v>
      </c>
      <c r="F81" s="102">
        <f>IF(VALUE(CostRemaining[#Headers])&lt;=$F29,IFERROR(VLOOKUP(CostRemaining[[#This Row],[Cost]],Upgrades[],MATCH("C"&amp;CostRemaining[#Headers],Upgrades[#Headers],0),FALSE),0)*MAX(0,SUM($G29:G29)),0)</f>
        <v>0</v>
      </c>
      <c r="G81" s="102">
        <f>IF(VALUE(CostRemaining[#Headers])&lt;=$F29,IFERROR(VLOOKUP(CostRemaining[[#This Row],[Cost]],Upgrades[],MATCH("C"&amp;CostRemaining[#Headers],Upgrades[#Headers],0),FALSE),0)*MAX(0,SUM($G29:H29)),0)</f>
        <v>1250000</v>
      </c>
      <c r="H81" s="102">
        <f>IF(VALUE(CostRemaining[#Headers])&lt;=$F29,IFERROR(VLOOKUP(CostRemaining[[#This Row],[Cost]],Upgrades[],MATCH("C"&amp;CostRemaining[#Headers],Upgrades[#Headers],0),FALSE),0)*MAX(0,SUM($G29:I29)),0)</f>
        <v>0</v>
      </c>
      <c r="I81" s="102">
        <f>IF(VALUE(CostRemaining[#Headers])&lt;=$F29,IFERROR(VLOOKUP(CostRemaining[[#This Row],[Cost]],Upgrades[],MATCH("C"&amp;CostRemaining[#Headers],Upgrades[#Headers],0),FALSE),0)*MAX(0,SUM($G29:J29)),0)</f>
        <v>0</v>
      </c>
      <c r="J81" s="102">
        <f>IF(VALUE(CostRemaining[#Headers])&lt;=$F29,IFERROR(VLOOKUP(CostRemaining[[#This Row],[Cost]],Upgrades[],MATCH("C"&amp;CostRemaining[#Headers],Upgrades[#Headers],0),FALSE),0)*MAX(0,SUM($G29:K29)),0)</f>
        <v>0</v>
      </c>
      <c r="K81" s="102">
        <f>IF(VALUE(CostRemaining[#Headers])&lt;=$F29,IFERROR(VLOOKUP(CostRemaining[[#This Row],[Cost]],Upgrades[],MATCH("C"&amp;CostRemaining[#Headers],Upgrades[#Headers],0),FALSE),0)*MAX(0,SUM($G29:L29)),0)</f>
        <v>0</v>
      </c>
      <c r="L81" s="102">
        <f>IF(VALUE(CostRemaining[#Headers])&lt;=$F29,IFERROR(VLOOKUP(CostRemaining[[#This Row],[Cost]],Upgrades[],MATCH("C"&amp;CostRemaining[#Headers],Upgrades[#Headers],0),FALSE),0)*MAX(0,SUM($G29:M29)),0)</f>
        <v>0</v>
      </c>
      <c r="M81" s="102">
        <f>IF(VALUE(CostRemaining[#Headers])&lt;=$F29,IFERROR(VLOOKUP(CostRemaining[[#This Row],[Cost]],Upgrades[],MATCH("C"&amp;CostRemaining[#Headers],Upgrades[#Headers],0),FALSE),0)*MAX(0,SUM($G29:N29)),0)</f>
        <v>0</v>
      </c>
      <c r="N81" s="102">
        <f>IF(VALUE(CostRemaining[#Headers])&lt;=$F29,IFERROR(VLOOKUP(CostRemaining[[#This Row],[Cost]],Upgrades[],MATCH("C"&amp;CostRemaining[#Headers],Upgrades[#Headers],0),FALSE),0)*MAX(0,SUM($G29:O29)),0)</f>
        <v>0</v>
      </c>
      <c r="O81" s="102">
        <f>IF(VALUE(CostRemaining[#Headers])&lt;=$F29,IFERROR(VLOOKUP(CostRemaining[[#This Row],[Cost]],Upgrades[],MATCH("C"&amp;CostRemaining[#Headers],Upgrades[#Headers],0),FALSE),0)*MAX(0,SUM($G29:P29)),0)</f>
        <v>0</v>
      </c>
      <c r="P81" s="102">
        <f>IF(VALUE(CostRemaining[#Headers])&lt;=$F29,IFERROR(VLOOKUP(CostRemaining[[#This Row],[Cost]],Upgrades[],MATCH("C"&amp;CostRemaining[#Headers],Upgrades[#Headers],0),FALSE),0)*MAX(0,SUM($G29:Q29)),0)</f>
        <v>0</v>
      </c>
      <c r="Q81" s="102">
        <f>IF(VALUE(CostRemaining[#Headers])&lt;=$F29,IFERROR(VLOOKUP(CostRemaining[[#This Row],[Cost]],Upgrades[],MATCH("C"&amp;CostRemaining[#Headers],Upgrades[#Headers],0),FALSE),0)*MAX(0,SUM($G29:R29)),0)</f>
        <v>0</v>
      </c>
      <c r="R81" s="102">
        <f>IF(CostRemaining[[#This Row],[MatchStr]]="IGNORE",0,SUM(CostRemaining[[#This Row],[1]:[12]]))</f>
        <v>1250000</v>
      </c>
    </row>
    <row r="82" spans="1:18">
      <c r="A82" s="47" t="s">
        <v>22</v>
      </c>
      <c r="B82" s="47" t="str">
        <f>VLOOKUP(CostRemaining[[#This Row],[Cost]],Upgrades[],2,FALSE)</f>
        <v>Building</v>
      </c>
      <c r="C82" s="47" t="str">
        <f>VLOOKUP(CostRemaining[[#This Row],[Cost]],Upgrades[],3,FALSE)</f>
        <v>Elixir</v>
      </c>
      <c r="D82" s="75" t="str">
        <f>IF((IFERROR(MATCH(CostRemaining[[#This Row],[Cost]],$O$16:$S$16,0),0)+IFERROR(MATCH(CostRemaining[[#This Row],[Cost]],$O$17:$S$17,0),0))&gt;0,"IGNORE",CostRemaining[Kind]&amp;"-"&amp;CostRemaining[Resource])</f>
        <v>Building-Elixir</v>
      </c>
      <c r="E82" s="101" t="str">
        <f>IFERROR(VLOOKUP(CostRemaining[[#This Row],[Cost]],Upgrades[],MATCH("C"&amp;MATCH(TRUE,INDEX(CostRemaining[[#This Row],[1]:[12]]&lt;&gt;0,),0),Upgrades[#Headers],0),FALSE),"")</f>
        <v/>
      </c>
      <c r="F82" s="102">
        <f>IF(VALUE(CostRemaining[#Headers])&lt;=$F30,IFERROR(VLOOKUP(CostRemaining[[#This Row],[Cost]],Upgrades[],MATCH("C"&amp;CostRemaining[#Headers],Upgrades[#Headers],0),FALSE),0)*MAX(0,SUM($G30:G30)),0)</f>
        <v>0</v>
      </c>
      <c r="G82" s="102">
        <f>IF(VALUE(CostRemaining[#Headers])&lt;=$F30,IFERROR(VLOOKUP(CostRemaining[[#This Row],[Cost]],Upgrades[],MATCH("C"&amp;CostRemaining[#Headers],Upgrades[#Headers],0),FALSE),0)*MAX(0,SUM($G30:H30)),0)</f>
        <v>0</v>
      </c>
      <c r="H82" s="102">
        <f>IF(VALUE(CostRemaining[#Headers])&lt;=$F30,IFERROR(VLOOKUP(CostRemaining[[#This Row],[Cost]],Upgrades[],MATCH("C"&amp;CostRemaining[#Headers],Upgrades[#Headers],0),FALSE),0)*MAX(0,SUM($G30:I30)),0)</f>
        <v>0</v>
      </c>
      <c r="I82" s="102">
        <f>IF(VALUE(CostRemaining[#Headers])&lt;=$F30,IFERROR(VLOOKUP(CostRemaining[[#This Row],[Cost]],Upgrades[],MATCH("C"&amp;CostRemaining[#Headers],Upgrades[#Headers],0),FALSE),0)*MAX(0,SUM($G30:J30)),0)</f>
        <v>0</v>
      </c>
      <c r="J82" s="102">
        <f>IF(VALUE(CostRemaining[#Headers])&lt;=$F30,IFERROR(VLOOKUP(CostRemaining[[#This Row],[Cost]],Upgrades[],MATCH("C"&amp;CostRemaining[#Headers],Upgrades[#Headers],0),FALSE),0)*MAX(0,SUM($G30:K30)),0)</f>
        <v>0</v>
      </c>
      <c r="K82" s="102">
        <f>IF(VALUE(CostRemaining[#Headers])&lt;=$F30,IFERROR(VLOOKUP(CostRemaining[[#This Row],[Cost]],Upgrades[],MATCH("C"&amp;CostRemaining[#Headers],Upgrades[#Headers],0),FALSE),0)*MAX(0,SUM($G30:L30)),0)</f>
        <v>0</v>
      </c>
      <c r="L82" s="102">
        <f>IF(VALUE(CostRemaining[#Headers])&lt;=$F30,IFERROR(VLOOKUP(CostRemaining[[#This Row],[Cost]],Upgrades[],MATCH("C"&amp;CostRemaining[#Headers],Upgrades[#Headers],0),FALSE),0)*MAX(0,SUM($G30:M30)),0)</f>
        <v>0</v>
      </c>
      <c r="M82" s="102">
        <f>IF(VALUE(CostRemaining[#Headers])&lt;=$F30,IFERROR(VLOOKUP(CostRemaining[[#This Row],[Cost]],Upgrades[],MATCH("C"&amp;CostRemaining[#Headers],Upgrades[#Headers],0),FALSE),0)*MAX(0,SUM($G30:N30)),0)</f>
        <v>0</v>
      </c>
      <c r="N82" s="102">
        <f>IF(VALUE(CostRemaining[#Headers])&lt;=$F30,IFERROR(VLOOKUP(CostRemaining[[#This Row],[Cost]],Upgrades[],MATCH("C"&amp;CostRemaining[#Headers],Upgrades[#Headers],0),FALSE),0)*MAX(0,SUM($G30:O30)),0)</f>
        <v>0</v>
      </c>
      <c r="O82" s="102">
        <f>IF(VALUE(CostRemaining[#Headers])&lt;=$F30,IFERROR(VLOOKUP(CostRemaining[[#This Row],[Cost]],Upgrades[],MATCH("C"&amp;CostRemaining[#Headers],Upgrades[#Headers],0),FALSE),0)*MAX(0,SUM($G30:P30)),0)</f>
        <v>0</v>
      </c>
      <c r="P82" s="102">
        <f>IF(VALUE(CostRemaining[#Headers])&lt;=$F30,IFERROR(VLOOKUP(CostRemaining[[#This Row],[Cost]],Upgrades[],MATCH("C"&amp;CostRemaining[#Headers],Upgrades[#Headers],0),FALSE),0)*MAX(0,SUM($G30:Q30)),0)</f>
        <v>0</v>
      </c>
      <c r="Q82" s="102">
        <f>IF(VALUE(CostRemaining[#Headers])&lt;=$F30,IFERROR(VLOOKUP(CostRemaining[[#This Row],[Cost]],Upgrades[],MATCH("C"&amp;CostRemaining[#Headers],Upgrades[#Headers],0),FALSE),0)*MAX(0,SUM($G30:R30)),0)</f>
        <v>0</v>
      </c>
      <c r="R82" s="102">
        <f>IF(CostRemaining[[#This Row],[MatchStr]]="IGNORE",0,SUM(CostRemaining[[#This Row],[1]:[12]]))</f>
        <v>0</v>
      </c>
    </row>
    <row r="83" spans="1:18">
      <c r="A83" s="47" t="s">
        <v>5</v>
      </c>
      <c r="B83" s="47" t="str">
        <f>VLOOKUP(CostRemaining[[#This Row],[Cost]],Upgrades[],2,FALSE)</f>
        <v>Building</v>
      </c>
      <c r="C83" s="47" t="str">
        <f>VLOOKUP(CostRemaining[[#This Row],[Cost]],Upgrades[],3,FALSE)</f>
        <v>Gold</v>
      </c>
      <c r="D83" s="75" t="str">
        <f>IF((IFERROR(MATCH(CostRemaining[[#This Row],[Cost]],$O$16:$S$16,0),0)+IFERROR(MATCH(CostRemaining[[#This Row],[Cost]],$O$17:$S$17,0),0))&gt;0,"IGNORE",CostRemaining[Kind]&amp;"-"&amp;CostRemaining[Resource])</f>
        <v>Building-Gold</v>
      </c>
      <c r="E83" s="101" t="str">
        <f>IFERROR(VLOOKUP(CostRemaining[[#This Row],[Cost]],Upgrades[],MATCH("C"&amp;MATCH(TRUE,INDEX(CostRemaining[[#This Row],[1]:[12]]&lt;&gt;0,),0),Upgrades[#Headers],0),FALSE),"")</f>
        <v/>
      </c>
      <c r="F83" s="102">
        <f>IF(VALUE(CostRemaining[#Headers])&lt;=$F31,IFERROR(VLOOKUP(CostRemaining[[#This Row],[Cost]],Upgrades[],MATCH("C"&amp;CostRemaining[#Headers],Upgrades[#Headers],0),FALSE),0)*MAX(0,SUM($G31:G31)),0)</f>
        <v>0</v>
      </c>
      <c r="G83" s="102">
        <f>IF(VALUE(CostRemaining[#Headers])&lt;=$F31,IFERROR(VLOOKUP(CostRemaining[[#This Row],[Cost]],Upgrades[],MATCH("C"&amp;CostRemaining[#Headers],Upgrades[#Headers],0),FALSE),0)*MAX(0,SUM($G31:H31)),0)</f>
        <v>0</v>
      </c>
      <c r="H83" s="102">
        <f>IF(VALUE(CostRemaining[#Headers])&lt;=$F31,IFERROR(VLOOKUP(CostRemaining[[#This Row],[Cost]],Upgrades[],MATCH("C"&amp;CostRemaining[#Headers],Upgrades[#Headers],0),FALSE),0)*MAX(0,SUM($G31:I31)),0)</f>
        <v>0</v>
      </c>
      <c r="I83" s="102">
        <f>IF(VALUE(CostRemaining[#Headers])&lt;=$F31,IFERROR(VLOOKUP(CostRemaining[[#This Row],[Cost]],Upgrades[],MATCH("C"&amp;CostRemaining[#Headers],Upgrades[#Headers],0),FALSE),0)*MAX(0,SUM($G31:J31)),0)</f>
        <v>0</v>
      </c>
      <c r="J83" s="102">
        <f>IF(VALUE(CostRemaining[#Headers])&lt;=$F31,IFERROR(VLOOKUP(CostRemaining[[#This Row],[Cost]],Upgrades[],MATCH("C"&amp;CostRemaining[#Headers],Upgrades[#Headers],0),FALSE),0)*MAX(0,SUM($G31:K31)),0)</f>
        <v>0</v>
      </c>
      <c r="K83" s="102">
        <f>IF(VALUE(CostRemaining[#Headers])&lt;=$F31,IFERROR(VLOOKUP(CostRemaining[[#This Row],[Cost]],Upgrades[],MATCH("C"&amp;CostRemaining[#Headers],Upgrades[#Headers],0),FALSE),0)*MAX(0,SUM($G31:L31)),0)</f>
        <v>0</v>
      </c>
      <c r="L83" s="102">
        <f>IF(VALUE(CostRemaining[#Headers])&lt;=$F31,IFERROR(VLOOKUP(CostRemaining[[#This Row],[Cost]],Upgrades[],MATCH("C"&amp;CostRemaining[#Headers],Upgrades[#Headers],0),FALSE),0)*MAX(0,SUM($G31:M31)),0)</f>
        <v>0</v>
      </c>
      <c r="M83" s="102">
        <f>IF(VALUE(CostRemaining[#Headers])&lt;=$F31,IFERROR(VLOOKUP(CostRemaining[[#This Row],[Cost]],Upgrades[],MATCH("C"&amp;CostRemaining[#Headers],Upgrades[#Headers],0),FALSE),0)*MAX(0,SUM($G31:N31)),0)</f>
        <v>0</v>
      </c>
      <c r="N83" s="102">
        <f>IF(VALUE(CostRemaining[#Headers])&lt;=$F31,IFERROR(VLOOKUP(CostRemaining[[#This Row],[Cost]],Upgrades[],MATCH("C"&amp;CostRemaining[#Headers],Upgrades[#Headers],0),FALSE),0)*MAX(0,SUM($G31:O31)),0)</f>
        <v>0</v>
      </c>
      <c r="O83" s="102">
        <f>IF(VALUE(CostRemaining[#Headers])&lt;=$F31,IFERROR(VLOOKUP(CostRemaining[[#This Row],[Cost]],Upgrades[],MATCH("C"&amp;CostRemaining[#Headers],Upgrades[#Headers],0),FALSE),0)*MAX(0,SUM($G31:P31)),0)</f>
        <v>0</v>
      </c>
      <c r="P83" s="102">
        <f>IF(VALUE(CostRemaining[#Headers])&lt;=$F31,IFERROR(VLOOKUP(CostRemaining[[#This Row],[Cost]],Upgrades[],MATCH("C"&amp;CostRemaining[#Headers],Upgrades[#Headers],0),FALSE),0)*MAX(0,SUM($G31:Q31)),0)</f>
        <v>0</v>
      </c>
      <c r="Q83" s="102">
        <f>IF(VALUE(CostRemaining[#Headers])&lt;=$F31,IFERROR(VLOOKUP(CostRemaining[[#This Row],[Cost]],Upgrades[],MATCH("C"&amp;CostRemaining[#Headers],Upgrades[#Headers],0),FALSE),0)*MAX(0,SUM($G31:R31)),0)</f>
        <v>0</v>
      </c>
      <c r="R83" s="102">
        <f>IF(CostRemaining[[#This Row],[MatchStr]]="IGNORE",0,SUM(CostRemaining[[#This Row],[1]:[12]]))</f>
        <v>0</v>
      </c>
    </row>
    <row r="84" spans="1:18">
      <c r="A84" s="47" t="s">
        <v>6</v>
      </c>
      <c r="B84" s="47" t="str">
        <f>VLOOKUP(CostRemaining[[#This Row],[Cost]],Upgrades[],2,FALSE)</f>
        <v>Building</v>
      </c>
      <c r="C84" s="47" t="str">
        <f>VLOOKUP(CostRemaining[[#This Row],[Cost]],Upgrades[],3,FALSE)</f>
        <v>Gold</v>
      </c>
      <c r="D84" s="75" t="str">
        <f>IF((IFERROR(MATCH(CostRemaining[[#This Row],[Cost]],$O$16:$S$16,0),0)+IFERROR(MATCH(CostRemaining[[#This Row],[Cost]],$O$17:$S$17,0),0))&gt;0,"IGNORE",CostRemaining[Kind]&amp;"-"&amp;CostRemaining[Resource])</f>
        <v>Building-Gold</v>
      </c>
      <c r="E84" s="101" t="str">
        <f>IFERROR(VLOOKUP(CostRemaining[[#This Row],[Cost]],Upgrades[],MATCH("C"&amp;MATCH(TRUE,INDEX(CostRemaining[[#This Row],[1]:[12]]&lt;&gt;0,),0),Upgrades[#Headers],0),FALSE),"")</f>
        <v/>
      </c>
      <c r="F84" s="102">
        <f>IF(VALUE(CostRemaining[#Headers])&lt;=$F32,IFERROR(VLOOKUP(CostRemaining[[#This Row],[Cost]],Upgrades[],MATCH("C"&amp;CostRemaining[#Headers],Upgrades[#Headers],0),FALSE),0)*MAX(0,SUM($G32:G32)),0)</f>
        <v>0</v>
      </c>
      <c r="G84" s="102">
        <f>IF(VALUE(CostRemaining[#Headers])&lt;=$F32,IFERROR(VLOOKUP(CostRemaining[[#This Row],[Cost]],Upgrades[],MATCH("C"&amp;CostRemaining[#Headers],Upgrades[#Headers],0),FALSE),0)*MAX(0,SUM($G32:H32)),0)</f>
        <v>0</v>
      </c>
      <c r="H84" s="102">
        <f>IF(VALUE(CostRemaining[#Headers])&lt;=$F32,IFERROR(VLOOKUP(CostRemaining[[#This Row],[Cost]],Upgrades[],MATCH("C"&amp;CostRemaining[#Headers],Upgrades[#Headers],0),FALSE),0)*MAX(0,SUM($G32:I32)),0)</f>
        <v>0</v>
      </c>
      <c r="I84" s="102">
        <f>IF(VALUE(CostRemaining[#Headers])&lt;=$F32,IFERROR(VLOOKUP(CostRemaining[[#This Row],[Cost]],Upgrades[],MATCH("C"&amp;CostRemaining[#Headers],Upgrades[#Headers],0),FALSE),0)*MAX(0,SUM($G32:J32)),0)</f>
        <v>0</v>
      </c>
      <c r="J84" s="102">
        <f>IF(VALUE(CostRemaining[#Headers])&lt;=$F32,IFERROR(VLOOKUP(CostRemaining[[#This Row],[Cost]],Upgrades[],MATCH("C"&amp;CostRemaining[#Headers],Upgrades[#Headers],0),FALSE),0)*MAX(0,SUM($G32:K32)),0)</f>
        <v>0</v>
      </c>
      <c r="K84" s="102">
        <f>IF(VALUE(CostRemaining[#Headers])&lt;=$F32,IFERROR(VLOOKUP(CostRemaining[[#This Row],[Cost]],Upgrades[],MATCH("C"&amp;CostRemaining[#Headers],Upgrades[#Headers],0),FALSE),0)*MAX(0,SUM($G32:L32)),0)</f>
        <v>0</v>
      </c>
      <c r="L84" s="102">
        <f>IF(VALUE(CostRemaining[#Headers])&lt;=$F32,IFERROR(VLOOKUP(CostRemaining[[#This Row],[Cost]],Upgrades[],MATCH("C"&amp;CostRemaining[#Headers],Upgrades[#Headers],0),FALSE),0)*MAX(0,SUM($G32:M32)),0)</f>
        <v>0</v>
      </c>
      <c r="M84" s="102">
        <f>IF(VALUE(CostRemaining[#Headers])&lt;=$F32,IFERROR(VLOOKUP(CostRemaining[[#This Row],[Cost]],Upgrades[],MATCH("C"&amp;CostRemaining[#Headers],Upgrades[#Headers],0),FALSE),0)*MAX(0,SUM($G32:N32)),0)</f>
        <v>0</v>
      </c>
      <c r="N84" s="102">
        <f>IF(VALUE(CostRemaining[#Headers])&lt;=$F32,IFERROR(VLOOKUP(CostRemaining[[#This Row],[Cost]],Upgrades[],MATCH("C"&amp;CostRemaining[#Headers],Upgrades[#Headers],0),FALSE),0)*MAX(0,SUM($G32:O32)),0)</f>
        <v>0</v>
      </c>
      <c r="O84" s="102">
        <f>IF(VALUE(CostRemaining[#Headers])&lt;=$F32,IFERROR(VLOOKUP(CostRemaining[[#This Row],[Cost]],Upgrades[],MATCH("C"&amp;CostRemaining[#Headers],Upgrades[#Headers],0),FALSE),0)*MAX(0,SUM($G32:P32)),0)</f>
        <v>0</v>
      </c>
      <c r="P84" s="102">
        <f>IF(VALUE(CostRemaining[#Headers])&lt;=$F32,IFERROR(VLOOKUP(CostRemaining[[#This Row],[Cost]],Upgrades[],MATCH("C"&amp;CostRemaining[#Headers],Upgrades[#Headers],0),FALSE),0)*MAX(0,SUM($G32:Q32)),0)</f>
        <v>0</v>
      </c>
      <c r="Q84" s="102">
        <f>IF(VALUE(CostRemaining[#Headers])&lt;=$F32,IFERROR(VLOOKUP(CostRemaining[[#This Row],[Cost]],Upgrades[],MATCH("C"&amp;CostRemaining[#Headers],Upgrades[#Headers],0),FALSE),0)*MAX(0,SUM($G32:R32)),0)</f>
        <v>0</v>
      </c>
      <c r="R84" s="102">
        <f>IF(CostRemaining[[#This Row],[MatchStr]]="IGNORE",0,SUM(CostRemaining[[#This Row],[1]:[12]]))</f>
        <v>0</v>
      </c>
    </row>
    <row r="85" spans="1:18">
      <c r="A85" s="47" t="s">
        <v>23</v>
      </c>
      <c r="B85" s="47" t="str">
        <f>VLOOKUP(CostRemaining[[#This Row],[Cost]],Upgrades[],2,FALSE)</f>
        <v>Building</v>
      </c>
      <c r="C85" s="47" t="str">
        <f>VLOOKUP(CostRemaining[[#This Row],[Cost]],Upgrades[],3,FALSE)</f>
        <v>Gold</v>
      </c>
      <c r="D85" s="75" t="str">
        <f>IF((IFERROR(MATCH(CostRemaining[[#This Row],[Cost]],$O$16:$S$16,0),0)+IFERROR(MATCH(CostRemaining[[#This Row],[Cost]],$O$17:$S$17,0),0))&gt;0,"IGNORE",CostRemaining[Kind]&amp;"-"&amp;CostRemaining[Resource])</f>
        <v>Building-Gold</v>
      </c>
      <c r="E85" s="101">
        <f>IFERROR(VLOOKUP(CostRemaining[[#This Row],[Cost]],Upgrades[],MATCH("C"&amp;MATCH(TRUE,INDEX(CostRemaining[[#This Row],[1]:[12]]&lt;&gt;0,),0),Upgrades[#Headers],0),FALSE),"")</f>
        <v>720000</v>
      </c>
      <c r="F85" s="102">
        <f>IF(VALUE(CostRemaining[#Headers])&lt;=$F33,IFERROR(VLOOKUP(CostRemaining[[#This Row],[Cost]],Upgrades[],MATCH("C"&amp;CostRemaining[#Headers],Upgrades[#Headers],0),FALSE),0)*MAX(0,SUM($G33:G33)),0)</f>
        <v>0</v>
      </c>
      <c r="G85" s="102">
        <f>IF(VALUE(CostRemaining[#Headers])&lt;=$F33,IFERROR(VLOOKUP(CostRemaining[[#This Row],[Cost]],Upgrades[],MATCH("C"&amp;CostRemaining[#Headers],Upgrades[#Headers],0),FALSE),0)*MAX(0,SUM($G33:H33)),0)</f>
        <v>0</v>
      </c>
      <c r="H85" s="102">
        <f>IF(VALUE(CostRemaining[#Headers])&lt;=$F33,IFERROR(VLOOKUP(CostRemaining[[#This Row],[Cost]],Upgrades[],MATCH("C"&amp;CostRemaining[#Headers],Upgrades[#Headers],0),FALSE),0)*MAX(0,SUM($G33:I33)),0)</f>
        <v>0</v>
      </c>
      <c r="I85" s="102">
        <f>IF(VALUE(CostRemaining[#Headers])&lt;=$F33,IFERROR(VLOOKUP(CostRemaining[[#This Row],[Cost]],Upgrades[],MATCH("C"&amp;CostRemaining[#Headers],Upgrades[#Headers],0),FALSE),0)*MAX(0,SUM($G33:J33)),0)</f>
        <v>0</v>
      </c>
      <c r="J85" s="102">
        <f>IF(VALUE(CostRemaining[#Headers])&lt;=$F33,IFERROR(VLOOKUP(CostRemaining[[#This Row],[Cost]],Upgrades[],MATCH("C"&amp;CostRemaining[#Headers],Upgrades[#Headers],0),FALSE),0)*MAX(0,SUM($G33:K33)),0)</f>
        <v>0</v>
      </c>
      <c r="K85" s="102">
        <f>IF(VALUE(CostRemaining[#Headers])&lt;=$F33,IFERROR(VLOOKUP(CostRemaining[[#This Row],[Cost]],Upgrades[],MATCH("C"&amp;CostRemaining[#Headers],Upgrades[#Headers],0),FALSE),0)*MAX(0,SUM($G33:L33)),0)</f>
        <v>0</v>
      </c>
      <c r="L85" s="102">
        <f>IF(VALUE(CostRemaining[#Headers])&lt;=$F33,IFERROR(VLOOKUP(CostRemaining[[#This Row],[Cost]],Upgrades[],MATCH("C"&amp;CostRemaining[#Headers],Upgrades[#Headers],0),FALSE),0)*MAX(0,SUM($G33:M33)),0)</f>
        <v>0</v>
      </c>
      <c r="M85" s="102">
        <f>IF(VALUE(CostRemaining[#Headers])&lt;=$F33,IFERROR(VLOOKUP(CostRemaining[[#This Row],[Cost]],Upgrades[],MATCH("C"&amp;CostRemaining[#Headers],Upgrades[#Headers],0),FALSE),0)*MAX(0,SUM($G33:N33)),0)</f>
        <v>1440000</v>
      </c>
      <c r="N85" s="102">
        <f>IF(VALUE(CostRemaining[#Headers])&lt;=$F33,IFERROR(VLOOKUP(CostRemaining[[#This Row],[Cost]],Upgrades[],MATCH("C"&amp;CostRemaining[#Headers],Upgrades[#Headers],0),FALSE),0)*MAX(0,SUM($G33:O33)),0)</f>
        <v>0</v>
      </c>
      <c r="O85" s="102">
        <f>IF(VALUE(CostRemaining[#Headers])&lt;=$F33,IFERROR(VLOOKUP(CostRemaining[[#This Row],[Cost]],Upgrades[],MATCH("C"&amp;CostRemaining[#Headers],Upgrades[#Headers],0),FALSE),0)*MAX(0,SUM($G33:P33)),0)</f>
        <v>0</v>
      </c>
      <c r="P85" s="102">
        <f>IF(VALUE(CostRemaining[#Headers])&lt;=$F33,IFERROR(VLOOKUP(CostRemaining[[#This Row],[Cost]],Upgrades[],MATCH("C"&amp;CostRemaining[#Headers],Upgrades[#Headers],0),FALSE),0)*MAX(0,SUM($G33:Q33)),0)</f>
        <v>0</v>
      </c>
      <c r="Q85" s="102">
        <f>IF(VALUE(CostRemaining[#Headers])&lt;=$F33,IFERROR(VLOOKUP(CostRemaining[[#This Row],[Cost]],Upgrades[],MATCH("C"&amp;CostRemaining[#Headers],Upgrades[#Headers],0),FALSE),0)*MAX(0,SUM($G33:R33)),0)</f>
        <v>0</v>
      </c>
      <c r="R85" s="102">
        <f>IF(CostRemaining[[#This Row],[MatchStr]]="IGNORE",0,SUM(CostRemaining[[#This Row],[1]:[12]]))</f>
        <v>1440000</v>
      </c>
    </row>
    <row r="86" spans="1:18">
      <c r="A86" s="47" t="s">
        <v>24</v>
      </c>
      <c r="B86" s="47" t="str">
        <f>VLOOKUP(CostRemaining[[#This Row],[Cost]],Upgrades[],2,FALSE)</f>
        <v>Wall</v>
      </c>
      <c r="C86" s="47" t="str">
        <f>VLOOKUP(CostRemaining[[#This Row],[Cost]],Upgrades[],3,FALSE)</f>
        <v>Gold</v>
      </c>
      <c r="D86" s="75" t="str">
        <f>IF((IFERROR(MATCH(CostRemaining[[#This Row],[Cost]],$O$16:$S$16,0),0)+IFERROR(MATCH(CostRemaining[[#This Row],[Cost]],$O$17:$S$17,0),0))&gt;0,"IGNORE",CostRemaining[Kind]&amp;"-"&amp;CostRemaining[Resource])</f>
        <v>Wall-Gold</v>
      </c>
      <c r="E86" s="101">
        <f>IFERROR(VLOOKUP(CostRemaining[[#This Row],[Cost]],Upgrades[],MATCH("C"&amp;MATCH(TRUE,INDEX(CostRemaining[[#This Row],[1]:[12]]&lt;&gt;0,),0),Upgrades[#Headers],0),FALSE),"")</f>
        <v>75000</v>
      </c>
      <c r="F86" s="102">
        <f>IF(VALUE(CostRemaining[#Headers])&lt;=$F34,IFERROR(VLOOKUP(CostRemaining[[#This Row],[Cost]],Upgrades[],MATCH("C"&amp;CostRemaining[#Headers],Upgrades[#Headers],0),FALSE),0)*MAX(0,SUM($G34:G34)),0)</f>
        <v>0</v>
      </c>
      <c r="G86" s="102">
        <f>IF(VALUE(CostRemaining[#Headers])&lt;=$F34,IFERROR(VLOOKUP(CostRemaining[[#This Row],[Cost]],Upgrades[],MATCH("C"&amp;CostRemaining[#Headers],Upgrades[#Headers],0),FALSE),0)*MAX(0,SUM($G34:H34)),0)</f>
        <v>0</v>
      </c>
      <c r="H86" s="102">
        <f>IF(VALUE(CostRemaining[#Headers])&lt;=$F34,IFERROR(VLOOKUP(CostRemaining[[#This Row],[Cost]],Upgrades[],MATCH("C"&amp;CostRemaining[#Headers],Upgrades[#Headers],0),FALSE),0)*MAX(0,SUM($G34:I34)),0)</f>
        <v>0</v>
      </c>
      <c r="I86" s="102">
        <f>IF(VALUE(CostRemaining[#Headers])&lt;=$F34,IFERROR(VLOOKUP(CostRemaining[[#This Row],[Cost]],Upgrades[],MATCH("C"&amp;CostRemaining[#Headers],Upgrades[#Headers],0),FALSE),0)*MAX(0,SUM($G34:J34)),0)</f>
        <v>0</v>
      </c>
      <c r="J86" s="102">
        <f>IF(VALUE(CostRemaining[#Headers])&lt;=$F34,IFERROR(VLOOKUP(CostRemaining[[#This Row],[Cost]],Upgrades[],MATCH("C"&amp;CostRemaining[#Headers],Upgrades[#Headers],0),FALSE),0)*MAX(0,SUM($G34:K34)),0)</f>
        <v>0</v>
      </c>
      <c r="K86" s="102">
        <f>IF(VALUE(CostRemaining[#Headers])&lt;=$F34,IFERROR(VLOOKUP(CostRemaining[[#This Row],[Cost]],Upgrades[],MATCH("C"&amp;CostRemaining[#Headers],Upgrades[#Headers],0),FALSE),0)*MAX(0,SUM($G34:L34)),0)</f>
        <v>9825000</v>
      </c>
      <c r="L86" s="102">
        <f>IF(VALUE(CostRemaining[#Headers])&lt;=$F34,IFERROR(VLOOKUP(CostRemaining[[#This Row],[Cost]],Upgrades[],MATCH("C"&amp;CostRemaining[#Headers],Upgrades[#Headers],0),FALSE),0)*MAX(0,SUM($G34:M34)),0)</f>
        <v>34800000</v>
      </c>
      <c r="M86" s="102">
        <f>IF(VALUE(CostRemaining[#Headers])&lt;=$F34,IFERROR(VLOOKUP(CostRemaining[[#This Row],[Cost]],Upgrades[],MATCH("C"&amp;CostRemaining[#Headers],Upgrades[#Headers],0),FALSE),0)*MAX(0,SUM($G34:N34)),0)</f>
        <v>0</v>
      </c>
      <c r="N86" s="102">
        <f>IF(VALUE(CostRemaining[#Headers])&lt;=$F34,IFERROR(VLOOKUP(CostRemaining[[#This Row],[Cost]],Upgrades[],MATCH("C"&amp;CostRemaining[#Headers],Upgrades[#Headers],0),FALSE),0)*MAX(0,SUM($G34:O34)),0)</f>
        <v>0</v>
      </c>
      <c r="O86" s="102">
        <f>IF(VALUE(CostRemaining[#Headers])&lt;=$F34,IFERROR(VLOOKUP(CostRemaining[[#This Row],[Cost]],Upgrades[],MATCH("C"&amp;CostRemaining[#Headers],Upgrades[#Headers],0),FALSE),0)*MAX(0,SUM($G34:P34)),0)</f>
        <v>0</v>
      </c>
      <c r="P86" s="102">
        <f>IF(VALUE(CostRemaining[#Headers])&lt;=$F34,IFERROR(VLOOKUP(CostRemaining[[#This Row],[Cost]],Upgrades[],MATCH("C"&amp;CostRemaining[#Headers],Upgrades[#Headers],0),FALSE),0)*MAX(0,SUM($G34:Q34)),0)</f>
        <v>0</v>
      </c>
      <c r="Q86" s="102">
        <f>IF(VALUE(CostRemaining[#Headers])&lt;=$F34,IFERROR(VLOOKUP(CostRemaining[[#This Row],[Cost]],Upgrades[],MATCH("C"&amp;CostRemaining[#Headers],Upgrades[#Headers],0),FALSE),0)*MAX(0,SUM($G34:R34)),0)</f>
        <v>0</v>
      </c>
      <c r="R86" s="102">
        <f>IF(CostRemaining[[#This Row],[MatchStr]]="IGNORE",0,SUM(CostRemaining[[#This Row],[1]:[12]]))</f>
        <v>44625000</v>
      </c>
    </row>
    <row r="87" spans="1:18">
      <c r="A87" s="47" t="s">
        <v>7</v>
      </c>
      <c r="B87" s="47" t="str">
        <f>VLOOKUP(CostRemaining[[#This Row],[Cost]],Upgrades[],2,FALSE)</f>
        <v>Building</v>
      </c>
      <c r="C87" s="47" t="str">
        <f>VLOOKUP(CostRemaining[[#This Row],[Cost]],Upgrades[],3,FALSE)</f>
        <v>Gold</v>
      </c>
      <c r="D87" s="75" t="str">
        <f>IF((IFERROR(MATCH(CostRemaining[[#This Row],[Cost]],$O$16:$S$16,0),0)+IFERROR(MATCH(CostRemaining[[#This Row],[Cost]],$O$17:$S$17,0),0))&gt;0,"IGNORE",CostRemaining[Kind]&amp;"-"&amp;CostRemaining[Resource])</f>
        <v>Building-Gold</v>
      </c>
      <c r="E87" s="101" t="str">
        <f>IFERROR(VLOOKUP(CostRemaining[[#This Row],[Cost]],Upgrades[],MATCH("C"&amp;MATCH(TRUE,INDEX(CostRemaining[[#This Row],[1]:[12]]&lt;&gt;0,),0),Upgrades[#Headers],0),FALSE),"")</f>
        <v/>
      </c>
      <c r="F87" s="102">
        <f>IF(VALUE(CostRemaining[#Headers])&lt;=$F35,IFERROR(VLOOKUP(CostRemaining[[#This Row],[Cost]],Upgrades[],MATCH("C"&amp;CostRemaining[#Headers],Upgrades[#Headers],0),FALSE),0)*MAX(0,SUM($G35:G35)),0)</f>
        <v>0</v>
      </c>
      <c r="G87" s="102">
        <f>IF(VALUE(CostRemaining[#Headers])&lt;=$F35,IFERROR(VLOOKUP(CostRemaining[[#This Row],[Cost]],Upgrades[],MATCH("C"&amp;CostRemaining[#Headers],Upgrades[#Headers],0),FALSE),0)*MAX(0,SUM($G35:H35)),0)</f>
        <v>0</v>
      </c>
      <c r="H87" s="102">
        <f>IF(VALUE(CostRemaining[#Headers])&lt;=$F35,IFERROR(VLOOKUP(CostRemaining[[#This Row],[Cost]],Upgrades[],MATCH("C"&amp;CostRemaining[#Headers],Upgrades[#Headers],0),FALSE),0)*MAX(0,SUM($G35:I35)),0)</f>
        <v>0</v>
      </c>
      <c r="I87" s="102">
        <f>IF(VALUE(CostRemaining[#Headers])&lt;=$F35,IFERROR(VLOOKUP(CostRemaining[[#This Row],[Cost]],Upgrades[],MATCH("C"&amp;CostRemaining[#Headers],Upgrades[#Headers],0),FALSE),0)*MAX(0,SUM($G35:J35)),0)</f>
        <v>0</v>
      </c>
      <c r="J87" s="102">
        <f>IF(VALUE(CostRemaining[#Headers])&lt;=$F35,IFERROR(VLOOKUP(CostRemaining[[#This Row],[Cost]],Upgrades[],MATCH("C"&amp;CostRemaining[#Headers],Upgrades[#Headers],0),FALSE),0)*MAX(0,SUM($G35:K35)),0)</f>
        <v>0</v>
      </c>
      <c r="K87" s="102">
        <f>IF(VALUE(CostRemaining[#Headers])&lt;=$F35,IFERROR(VLOOKUP(CostRemaining[[#This Row],[Cost]],Upgrades[],MATCH("C"&amp;CostRemaining[#Headers],Upgrades[#Headers],0),FALSE),0)*MAX(0,SUM($G35:L35)),0)</f>
        <v>0</v>
      </c>
      <c r="L87" s="102">
        <f>IF(VALUE(CostRemaining[#Headers])&lt;=$F35,IFERROR(VLOOKUP(CostRemaining[[#This Row],[Cost]],Upgrades[],MATCH("C"&amp;CostRemaining[#Headers],Upgrades[#Headers],0),FALSE),0)*MAX(0,SUM($G35:M35)),0)</f>
        <v>0</v>
      </c>
      <c r="M87" s="102">
        <f>IF(VALUE(CostRemaining[#Headers])&lt;=$F35,IFERROR(VLOOKUP(CostRemaining[[#This Row],[Cost]],Upgrades[],MATCH("C"&amp;CostRemaining[#Headers],Upgrades[#Headers],0),FALSE),0)*MAX(0,SUM($G35:N35)),0)</f>
        <v>0</v>
      </c>
      <c r="N87" s="102">
        <f>IF(VALUE(CostRemaining[#Headers])&lt;=$F35,IFERROR(VLOOKUP(CostRemaining[[#This Row],[Cost]],Upgrades[],MATCH("C"&amp;CostRemaining[#Headers],Upgrades[#Headers],0),FALSE),0)*MAX(0,SUM($G35:O35)),0)</f>
        <v>0</v>
      </c>
      <c r="O87" s="102">
        <f>IF(VALUE(CostRemaining[#Headers])&lt;=$F35,IFERROR(VLOOKUP(CostRemaining[[#This Row],[Cost]],Upgrades[],MATCH("C"&amp;CostRemaining[#Headers],Upgrades[#Headers],0),FALSE),0)*MAX(0,SUM($G35:P35)),0)</f>
        <v>0</v>
      </c>
      <c r="P87" s="102">
        <f>IF(VALUE(CostRemaining[#Headers])&lt;=$F35,IFERROR(VLOOKUP(CostRemaining[[#This Row],[Cost]],Upgrades[],MATCH("C"&amp;CostRemaining[#Headers],Upgrades[#Headers],0),FALSE),0)*MAX(0,SUM($G35:Q35)),0)</f>
        <v>0</v>
      </c>
      <c r="Q87" s="102">
        <f>IF(VALUE(CostRemaining[#Headers])&lt;=$F35,IFERROR(VLOOKUP(CostRemaining[[#This Row],[Cost]],Upgrades[],MATCH("C"&amp;CostRemaining[#Headers],Upgrades[#Headers],0),FALSE),0)*MAX(0,SUM($G35:R35)),0)</f>
        <v>0</v>
      </c>
      <c r="R87" s="102">
        <f>IF(CostRemaining[[#This Row],[MatchStr]]="IGNORE",0,SUM(CostRemaining[[#This Row],[1]:[12]]))</f>
        <v>0</v>
      </c>
    </row>
    <row r="88" spans="1:18">
      <c r="A88" s="47" t="s">
        <v>8</v>
      </c>
      <c r="B88" s="47" t="str">
        <f>VLOOKUP(CostRemaining[[#This Row],[Cost]],Upgrades[],2,FALSE)</f>
        <v>Building</v>
      </c>
      <c r="C88" s="47" t="str">
        <f>VLOOKUP(CostRemaining[[#This Row],[Cost]],Upgrades[],3,FALSE)</f>
        <v>Gold</v>
      </c>
      <c r="D88" s="75" t="str">
        <f>IF((IFERROR(MATCH(CostRemaining[[#This Row],[Cost]],$O$16:$S$16,0),0)+IFERROR(MATCH(CostRemaining[[#This Row],[Cost]],$O$17:$S$17,0),0))&gt;0,"IGNORE",CostRemaining[Kind]&amp;"-"&amp;CostRemaining[Resource])</f>
        <v>Building-Gold</v>
      </c>
      <c r="E88" s="101" t="str">
        <f>IFERROR(VLOOKUP(CostRemaining[[#This Row],[Cost]],Upgrades[],MATCH("C"&amp;MATCH(TRUE,INDEX(CostRemaining[[#This Row],[1]:[12]]&lt;&gt;0,),0),Upgrades[#Headers],0),FALSE),"")</f>
        <v/>
      </c>
      <c r="F88" s="102">
        <f>IF(VALUE(CostRemaining[#Headers])&lt;=$F36,IFERROR(VLOOKUP(CostRemaining[[#This Row],[Cost]],Upgrades[],MATCH("C"&amp;CostRemaining[#Headers],Upgrades[#Headers],0),FALSE),0)*MAX(0,SUM($G36:G36)),0)</f>
        <v>0</v>
      </c>
      <c r="G88" s="102">
        <f>IF(VALUE(CostRemaining[#Headers])&lt;=$F36,IFERROR(VLOOKUP(CostRemaining[[#This Row],[Cost]],Upgrades[],MATCH("C"&amp;CostRemaining[#Headers],Upgrades[#Headers],0),FALSE),0)*MAX(0,SUM($G36:H36)),0)</f>
        <v>0</v>
      </c>
      <c r="H88" s="102">
        <f>IF(VALUE(CostRemaining[#Headers])&lt;=$F36,IFERROR(VLOOKUP(CostRemaining[[#This Row],[Cost]],Upgrades[],MATCH("C"&amp;CostRemaining[#Headers],Upgrades[#Headers],0),FALSE),0)*MAX(0,SUM($G36:I36)),0)</f>
        <v>0</v>
      </c>
      <c r="I88" s="102">
        <f>IF(VALUE(CostRemaining[#Headers])&lt;=$F36,IFERROR(VLOOKUP(CostRemaining[[#This Row],[Cost]],Upgrades[],MATCH("C"&amp;CostRemaining[#Headers],Upgrades[#Headers],0),FALSE),0)*MAX(0,SUM($G36:J36)),0)</f>
        <v>0</v>
      </c>
      <c r="J88" s="102">
        <f>IF(VALUE(CostRemaining[#Headers])&lt;=$F36,IFERROR(VLOOKUP(CostRemaining[[#This Row],[Cost]],Upgrades[],MATCH("C"&amp;CostRemaining[#Headers],Upgrades[#Headers],0),FALSE),0)*MAX(0,SUM($G36:K36)),0)</f>
        <v>0</v>
      </c>
      <c r="K88" s="102">
        <f>IF(VALUE(CostRemaining[#Headers])&lt;=$F36,IFERROR(VLOOKUP(CostRemaining[[#This Row],[Cost]],Upgrades[],MATCH("C"&amp;CostRemaining[#Headers],Upgrades[#Headers],0),FALSE),0)*MAX(0,SUM($G36:L36)),0)</f>
        <v>0</v>
      </c>
      <c r="L88" s="102">
        <f>IF(VALUE(CostRemaining[#Headers])&lt;=$F36,IFERROR(VLOOKUP(CostRemaining[[#This Row],[Cost]],Upgrades[],MATCH("C"&amp;CostRemaining[#Headers],Upgrades[#Headers],0),FALSE),0)*MAX(0,SUM($G36:M36)),0)</f>
        <v>0</v>
      </c>
      <c r="M88" s="102">
        <f>IF(VALUE(CostRemaining[#Headers])&lt;=$F36,IFERROR(VLOOKUP(CostRemaining[[#This Row],[Cost]],Upgrades[],MATCH("C"&amp;CostRemaining[#Headers],Upgrades[#Headers],0),FALSE),0)*MAX(0,SUM($G36:N36)),0)</f>
        <v>0</v>
      </c>
      <c r="N88" s="102">
        <f>IF(VALUE(CostRemaining[#Headers])&lt;=$F36,IFERROR(VLOOKUP(CostRemaining[[#This Row],[Cost]],Upgrades[],MATCH("C"&amp;CostRemaining[#Headers],Upgrades[#Headers],0),FALSE),0)*MAX(0,SUM($G36:O36)),0)</f>
        <v>0</v>
      </c>
      <c r="O88" s="102">
        <f>IF(VALUE(CostRemaining[#Headers])&lt;=$F36,IFERROR(VLOOKUP(CostRemaining[[#This Row],[Cost]],Upgrades[],MATCH("C"&amp;CostRemaining[#Headers],Upgrades[#Headers],0),FALSE),0)*MAX(0,SUM($G36:P36)),0)</f>
        <v>0</v>
      </c>
      <c r="P88" s="102">
        <f>IF(VALUE(CostRemaining[#Headers])&lt;=$F36,IFERROR(VLOOKUP(CostRemaining[[#This Row],[Cost]],Upgrades[],MATCH("C"&amp;CostRemaining[#Headers],Upgrades[#Headers],0),FALSE),0)*MAX(0,SUM($G36:Q36)),0)</f>
        <v>0</v>
      </c>
      <c r="Q88" s="102">
        <f>IF(VALUE(CostRemaining[#Headers])&lt;=$F36,IFERROR(VLOOKUP(CostRemaining[[#This Row],[Cost]],Upgrades[],MATCH("C"&amp;CostRemaining[#Headers],Upgrades[#Headers],0),FALSE),0)*MAX(0,SUM($G36:R36)),0)</f>
        <v>0</v>
      </c>
      <c r="R88" s="102">
        <f>IF(CostRemaining[[#This Row],[MatchStr]]="IGNORE",0,SUM(CostRemaining[[#This Row],[1]:[12]]))</f>
        <v>0</v>
      </c>
    </row>
    <row r="89" spans="1:18">
      <c r="A89" s="47" t="s">
        <v>25</v>
      </c>
      <c r="B89" s="47" t="str">
        <f>VLOOKUP(CostRemaining[[#This Row],[Cost]],Upgrades[],2,FALSE)</f>
        <v>Building</v>
      </c>
      <c r="C89" s="47" t="str">
        <f>VLOOKUP(CostRemaining[[#This Row],[Cost]],Upgrades[],3,FALSE)</f>
        <v>Gold</v>
      </c>
      <c r="D89" s="75" t="str">
        <f>IF((IFERROR(MATCH(CostRemaining[[#This Row],[Cost]],$O$16:$S$16,0),0)+IFERROR(MATCH(CostRemaining[[#This Row],[Cost]],$O$17:$S$17,0),0))&gt;0,"IGNORE",CostRemaining[Kind]&amp;"-"&amp;CostRemaining[Resource])</f>
        <v>Building-Gold</v>
      </c>
      <c r="E89" s="101">
        <f>IFERROR(VLOOKUP(CostRemaining[[#This Row],[Cost]],Upgrades[],MATCH("C"&amp;MATCH(TRUE,INDEX(CostRemaining[[#This Row],[1]:[12]]&lt;&gt;0,),0),Upgrades[#Headers],0),FALSE),"")</f>
        <v>1080000</v>
      </c>
      <c r="F89" s="102">
        <f>IF(VALUE(CostRemaining[#Headers])&lt;=$F37,IFERROR(VLOOKUP(CostRemaining[[#This Row],[Cost]],Upgrades[],MATCH("C"&amp;CostRemaining[#Headers],Upgrades[#Headers],0),FALSE),0)*MAX(0,SUM($G37:G37)),0)</f>
        <v>0</v>
      </c>
      <c r="G89" s="102">
        <f>IF(VALUE(CostRemaining[#Headers])&lt;=$F37,IFERROR(VLOOKUP(CostRemaining[[#This Row],[Cost]],Upgrades[],MATCH("C"&amp;CostRemaining[#Headers],Upgrades[#Headers],0),FALSE),0)*MAX(0,SUM($G37:H37)),0)</f>
        <v>0</v>
      </c>
      <c r="H89" s="102">
        <f>IF(VALUE(CostRemaining[#Headers])&lt;=$F37,IFERROR(VLOOKUP(CostRemaining[[#This Row],[Cost]],Upgrades[],MATCH("C"&amp;CostRemaining[#Headers],Upgrades[#Headers],0),FALSE),0)*MAX(0,SUM($G37:I37)),0)</f>
        <v>0</v>
      </c>
      <c r="I89" s="102">
        <f>IF(VALUE(CostRemaining[#Headers])&lt;=$F37,IFERROR(VLOOKUP(CostRemaining[[#This Row],[Cost]],Upgrades[],MATCH("C"&amp;CostRemaining[#Headers],Upgrades[#Headers],0),FALSE),0)*MAX(0,SUM($G37:J37)),0)</f>
        <v>0</v>
      </c>
      <c r="J89" s="102">
        <f>IF(VALUE(CostRemaining[#Headers])&lt;=$F37,IFERROR(VLOOKUP(CostRemaining[[#This Row],[Cost]],Upgrades[],MATCH("C"&amp;CostRemaining[#Headers],Upgrades[#Headers],0),FALSE),0)*MAX(0,SUM($G37:K37)),0)</f>
        <v>2160000</v>
      </c>
      <c r="K89" s="102">
        <f>IF(VALUE(CostRemaining[#Headers])&lt;=$F37,IFERROR(VLOOKUP(CostRemaining[[#This Row],[Cost]],Upgrades[],MATCH("C"&amp;CostRemaining[#Headers],Upgrades[#Headers],0),FALSE),0)*MAX(0,SUM($G37:L37)),0)</f>
        <v>0</v>
      </c>
      <c r="L89" s="102">
        <f>IF(VALUE(CostRemaining[#Headers])&lt;=$F37,IFERROR(VLOOKUP(CostRemaining[[#This Row],[Cost]],Upgrades[],MATCH("C"&amp;CostRemaining[#Headers],Upgrades[#Headers],0),FALSE),0)*MAX(0,SUM($G37:M37)),0)</f>
        <v>0</v>
      </c>
      <c r="M89" s="102">
        <f>IF(VALUE(CostRemaining[#Headers])&lt;=$F37,IFERROR(VLOOKUP(CostRemaining[[#This Row],[Cost]],Upgrades[],MATCH("C"&amp;CostRemaining[#Headers],Upgrades[#Headers],0),FALSE),0)*MAX(0,SUM($G37:N37)),0)</f>
        <v>0</v>
      </c>
      <c r="N89" s="102">
        <f>IF(VALUE(CostRemaining[#Headers])&lt;=$F37,IFERROR(VLOOKUP(CostRemaining[[#This Row],[Cost]],Upgrades[],MATCH("C"&amp;CostRemaining[#Headers],Upgrades[#Headers],0),FALSE),0)*MAX(0,SUM($G37:O37)),0)</f>
        <v>0</v>
      </c>
      <c r="O89" s="102">
        <f>IF(VALUE(CostRemaining[#Headers])&lt;=$F37,IFERROR(VLOOKUP(CostRemaining[[#This Row],[Cost]],Upgrades[],MATCH("C"&amp;CostRemaining[#Headers],Upgrades[#Headers],0),FALSE),0)*MAX(0,SUM($G37:P37)),0)</f>
        <v>0</v>
      </c>
      <c r="P89" s="102">
        <f>IF(VALUE(CostRemaining[#Headers])&lt;=$F37,IFERROR(VLOOKUP(CostRemaining[[#This Row],[Cost]],Upgrades[],MATCH("C"&amp;CostRemaining[#Headers],Upgrades[#Headers],0),FALSE),0)*MAX(0,SUM($G37:Q37)),0)</f>
        <v>0</v>
      </c>
      <c r="Q89" s="102">
        <f>IF(VALUE(CostRemaining[#Headers])&lt;=$F37,IFERROR(VLOOKUP(CostRemaining[[#This Row],[Cost]],Upgrades[],MATCH("C"&amp;CostRemaining[#Headers],Upgrades[#Headers],0),FALSE),0)*MAX(0,SUM($G37:R37)),0)</f>
        <v>0</v>
      </c>
      <c r="R89" s="102">
        <f>IF(CostRemaining[[#This Row],[MatchStr]]="IGNORE",0,SUM(CostRemaining[[#This Row],[1]:[12]]))</f>
        <v>2160000</v>
      </c>
    </row>
    <row r="90" spans="1:18">
      <c r="A90" s="47" t="s">
        <v>26</v>
      </c>
      <c r="B90" s="47" t="str">
        <f>VLOOKUP(CostRemaining[[#This Row],[Cost]],Upgrades[],2,FALSE)</f>
        <v>Building</v>
      </c>
      <c r="C90" s="47" t="str">
        <f>VLOOKUP(CostRemaining[[#This Row],[Cost]],Upgrades[],3,FALSE)</f>
        <v>Gold</v>
      </c>
      <c r="D90" s="75" t="str">
        <f>IF((IFERROR(MATCH(CostRemaining[[#This Row],[Cost]],$O$16:$S$16,0),0)+IFERROR(MATCH(CostRemaining[[#This Row],[Cost]],$O$17:$S$17,0),0))&gt;0,"IGNORE",CostRemaining[Kind]&amp;"-"&amp;CostRemaining[Resource])</f>
        <v>Building-Gold</v>
      </c>
      <c r="E90" s="101" t="str">
        <f>IFERROR(VLOOKUP(CostRemaining[[#This Row],[Cost]],Upgrades[],MATCH("C"&amp;MATCH(TRUE,INDEX(CostRemaining[[#This Row],[1]:[12]]&lt;&gt;0,),0),Upgrades[#Headers],0),FALSE),"")</f>
        <v/>
      </c>
      <c r="F90" s="102">
        <f>IF(VALUE(CostRemaining[#Headers])&lt;=$F38,IFERROR(VLOOKUP(CostRemaining[[#This Row],[Cost]],Upgrades[],MATCH("C"&amp;CostRemaining[#Headers],Upgrades[#Headers],0),FALSE),0)*MAX(0,SUM($G38:G38)),0)</f>
        <v>0</v>
      </c>
      <c r="G90" s="102">
        <f>IF(VALUE(CostRemaining[#Headers])&lt;=$F38,IFERROR(VLOOKUP(CostRemaining[[#This Row],[Cost]],Upgrades[],MATCH("C"&amp;CostRemaining[#Headers],Upgrades[#Headers],0),FALSE),0)*MAX(0,SUM($G38:H38)),0)</f>
        <v>0</v>
      </c>
      <c r="H90" s="102">
        <f>IF(VALUE(CostRemaining[#Headers])&lt;=$F38,IFERROR(VLOOKUP(CostRemaining[[#This Row],[Cost]],Upgrades[],MATCH("C"&amp;CostRemaining[#Headers],Upgrades[#Headers],0),FALSE),0)*MAX(0,SUM($G38:I38)),0)</f>
        <v>0</v>
      </c>
      <c r="I90" s="102">
        <f>IF(VALUE(CostRemaining[#Headers])&lt;=$F38,IFERROR(VLOOKUP(CostRemaining[[#This Row],[Cost]],Upgrades[],MATCH("C"&amp;CostRemaining[#Headers],Upgrades[#Headers],0),FALSE),0)*MAX(0,SUM($G38:J38)),0)</f>
        <v>0</v>
      </c>
      <c r="J90" s="102">
        <f>IF(VALUE(CostRemaining[#Headers])&lt;=$F38,IFERROR(VLOOKUP(CostRemaining[[#This Row],[Cost]],Upgrades[],MATCH("C"&amp;CostRemaining[#Headers],Upgrades[#Headers],0),FALSE),0)*MAX(0,SUM($G38:K38)),0)</f>
        <v>0</v>
      </c>
      <c r="K90" s="102">
        <f>IF(VALUE(CostRemaining[#Headers])&lt;=$F38,IFERROR(VLOOKUP(CostRemaining[[#This Row],[Cost]],Upgrades[],MATCH("C"&amp;CostRemaining[#Headers],Upgrades[#Headers],0),FALSE),0)*MAX(0,SUM($G38:L38)),0)</f>
        <v>0</v>
      </c>
      <c r="L90" s="102">
        <f>IF(VALUE(CostRemaining[#Headers])&lt;=$F38,IFERROR(VLOOKUP(CostRemaining[[#This Row],[Cost]],Upgrades[],MATCH("C"&amp;CostRemaining[#Headers],Upgrades[#Headers],0),FALSE),0)*MAX(0,SUM($G38:M38)),0)</f>
        <v>0</v>
      </c>
      <c r="M90" s="102">
        <f>IF(VALUE(CostRemaining[#Headers])&lt;=$F38,IFERROR(VLOOKUP(CostRemaining[[#This Row],[Cost]],Upgrades[],MATCH("C"&amp;CostRemaining[#Headers],Upgrades[#Headers],0),FALSE),0)*MAX(0,SUM($G38:N38)),0)</f>
        <v>0</v>
      </c>
      <c r="N90" s="102">
        <f>IF(VALUE(CostRemaining[#Headers])&lt;=$F38,IFERROR(VLOOKUP(CostRemaining[[#This Row],[Cost]],Upgrades[],MATCH("C"&amp;CostRemaining[#Headers],Upgrades[#Headers],0),FALSE),0)*MAX(0,SUM($G38:O38)),0)</f>
        <v>0</v>
      </c>
      <c r="O90" s="102">
        <f>IF(VALUE(CostRemaining[#Headers])&lt;=$F38,IFERROR(VLOOKUP(CostRemaining[[#This Row],[Cost]],Upgrades[],MATCH("C"&amp;CostRemaining[#Headers],Upgrades[#Headers],0),FALSE),0)*MAX(0,SUM($G38:P38)),0)</f>
        <v>0</v>
      </c>
      <c r="P90" s="102">
        <f>IF(VALUE(CostRemaining[#Headers])&lt;=$F38,IFERROR(VLOOKUP(CostRemaining[[#This Row],[Cost]],Upgrades[],MATCH("C"&amp;CostRemaining[#Headers],Upgrades[#Headers],0),FALSE),0)*MAX(0,SUM($G38:Q38)),0)</f>
        <v>0</v>
      </c>
      <c r="Q90" s="102">
        <f>IF(VALUE(CostRemaining[#Headers])&lt;=$F38,IFERROR(VLOOKUP(CostRemaining[[#This Row],[Cost]],Upgrades[],MATCH("C"&amp;CostRemaining[#Headers],Upgrades[#Headers],0),FALSE),0)*MAX(0,SUM($G38:R38)),0)</f>
        <v>0</v>
      </c>
      <c r="R90" s="102">
        <f>IF(CostRemaining[[#This Row],[MatchStr]]="IGNORE",0,SUM(CostRemaining[[#This Row],[1]:[12]]))</f>
        <v>0</v>
      </c>
    </row>
    <row r="91" spans="1:18">
      <c r="A91" s="47" t="s">
        <v>27</v>
      </c>
      <c r="B91" s="47" t="str">
        <f>VLOOKUP(CostRemaining[[#This Row],[Cost]],Upgrades[],2,FALSE)</f>
        <v>Building</v>
      </c>
      <c r="C91" s="47" t="str">
        <f>VLOOKUP(CostRemaining[[#This Row],[Cost]],Upgrades[],3,FALSE)</f>
        <v>Gold</v>
      </c>
      <c r="D91" s="75" t="str">
        <f>IF((IFERROR(MATCH(CostRemaining[[#This Row],[Cost]],$O$16:$S$16,0),0)+IFERROR(MATCH(CostRemaining[[#This Row],[Cost]],$O$17:$S$17,0),0))&gt;0,"IGNORE",CostRemaining[Kind]&amp;"-"&amp;CostRemaining[Resource])</f>
        <v>Building-Gold</v>
      </c>
      <c r="E91" s="101">
        <f>IFERROR(VLOOKUP(CostRemaining[[#This Row],[Cost]],Upgrades[],MATCH("C"&amp;MATCH(TRUE,INDEX(CostRemaining[[#This Row],[1]:[12]]&lt;&gt;0,),0),Upgrades[#Headers],0),FALSE),"")</f>
        <v>1280000</v>
      </c>
      <c r="F91" s="102">
        <f>IF(VALUE(CostRemaining[#Headers])&lt;=$F39,IFERROR(VLOOKUP(CostRemaining[[#This Row],[Cost]],Upgrades[],MATCH("C"&amp;CostRemaining[#Headers],Upgrades[#Headers],0),FALSE),0)*MAX(0,SUM($G39:G39)),0)</f>
        <v>0</v>
      </c>
      <c r="G91" s="102">
        <f>IF(VALUE(CostRemaining[#Headers])&lt;=$F39,IFERROR(VLOOKUP(CostRemaining[[#This Row],[Cost]],Upgrades[],MATCH("C"&amp;CostRemaining[#Headers],Upgrades[#Headers],0),FALSE),0)*MAX(0,SUM($G39:H39)),0)</f>
        <v>0</v>
      </c>
      <c r="H91" s="102">
        <f>IF(VALUE(CostRemaining[#Headers])&lt;=$F39,IFERROR(VLOOKUP(CostRemaining[[#This Row],[Cost]],Upgrades[],MATCH("C"&amp;CostRemaining[#Headers],Upgrades[#Headers],0),FALSE),0)*MAX(0,SUM($G39:I39)),0)</f>
        <v>0</v>
      </c>
      <c r="I91" s="102">
        <f>IF(VALUE(CostRemaining[#Headers])&lt;=$F39,IFERROR(VLOOKUP(CostRemaining[[#This Row],[Cost]],Upgrades[],MATCH("C"&amp;CostRemaining[#Headers],Upgrades[#Headers],0),FALSE),0)*MAX(0,SUM($G39:J39)),0)</f>
        <v>2560000</v>
      </c>
      <c r="J91" s="102">
        <f>IF(VALUE(CostRemaining[#Headers])&lt;=$F39,IFERROR(VLOOKUP(CostRemaining[[#This Row],[Cost]],Upgrades[],MATCH("C"&amp;CostRemaining[#Headers],Upgrades[#Headers],0),FALSE),0)*MAX(0,SUM($G39:K39)),0)</f>
        <v>0</v>
      </c>
      <c r="K91" s="102">
        <f>IF(VALUE(CostRemaining[#Headers])&lt;=$F39,IFERROR(VLOOKUP(CostRemaining[[#This Row],[Cost]],Upgrades[],MATCH("C"&amp;CostRemaining[#Headers],Upgrades[#Headers],0),FALSE),0)*MAX(0,SUM($G39:L39)),0)</f>
        <v>0</v>
      </c>
      <c r="L91" s="102">
        <f>IF(VALUE(CostRemaining[#Headers])&lt;=$F39,IFERROR(VLOOKUP(CostRemaining[[#This Row],[Cost]],Upgrades[],MATCH("C"&amp;CostRemaining[#Headers],Upgrades[#Headers],0),FALSE),0)*MAX(0,SUM($G39:M39)),0)</f>
        <v>0</v>
      </c>
      <c r="M91" s="102">
        <f>IF(VALUE(CostRemaining[#Headers])&lt;=$F39,IFERROR(VLOOKUP(CostRemaining[[#This Row],[Cost]],Upgrades[],MATCH("C"&amp;CostRemaining[#Headers],Upgrades[#Headers],0),FALSE),0)*MAX(0,SUM($G39:N39)),0)</f>
        <v>0</v>
      </c>
      <c r="N91" s="102">
        <f>IF(VALUE(CostRemaining[#Headers])&lt;=$F39,IFERROR(VLOOKUP(CostRemaining[[#This Row],[Cost]],Upgrades[],MATCH("C"&amp;CostRemaining[#Headers],Upgrades[#Headers],0),FALSE),0)*MAX(0,SUM($G39:O39)),0)</f>
        <v>0</v>
      </c>
      <c r="O91" s="102">
        <f>IF(VALUE(CostRemaining[#Headers])&lt;=$F39,IFERROR(VLOOKUP(CostRemaining[[#This Row],[Cost]],Upgrades[],MATCH("C"&amp;CostRemaining[#Headers],Upgrades[#Headers],0),FALSE),0)*MAX(0,SUM($G39:P39)),0)</f>
        <v>0</v>
      </c>
      <c r="P91" s="102">
        <f>IF(VALUE(CostRemaining[#Headers])&lt;=$F39,IFERROR(VLOOKUP(CostRemaining[[#This Row],[Cost]],Upgrades[],MATCH("C"&amp;CostRemaining[#Headers],Upgrades[#Headers],0),FALSE),0)*MAX(0,SUM($G39:Q39)),0)</f>
        <v>0</v>
      </c>
      <c r="Q91" s="102">
        <f>IF(VALUE(CostRemaining[#Headers])&lt;=$F39,IFERROR(VLOOKUP(CostRemaining[[#This Row],[Cost]],Upgrades[],MATCH("C"&amp;CostRemaining[#Headers],Upgrades[#Headers],0),FALSE),0)*MAX(0,SUM($G39:R39)),0)</f>
        <v>0</v>
      </c>
      <c r="R91" s="102">
        <f>IF(CostRemaining[[#This Row],[MatchStr]]="IGNORE",0,SUM(CostRemaining[[#This Row],[1]:[12]]))</f>
        <v>2560000</v>
      </c>
    </row>
    <row r="92" spans="1:18">
      <c r="A92" s="47" t="s">
        <v>9</v>
      </c>
      <c r="B92" s="47" t="str">
        <f>VLOOKUP(CostRemaining[[#This Row],[Cost]],Upgrades[],2,FALSE)</f>
        <v>Building</v>
      </c>
      <c r="C92" s="47" t="str">
        <f>VLOOKUP(CostRemaining[[#This Row],[Cost]],Upgrades[],3,FALSE)</f>
        <v>Gold</v>
      </c>
      <c r="D92" s="75" t="str">
        <f>IF((IFERROR(MATCH(CostRemaining[[#This Row],[Cost]],$O$16:$S$16,0),0)+IFERROR(MATCH(CostRemaining[[#This Row],[Cost]],$O$17:$S$17,0),0))&gt;0,"IGNORE",CostRemaining[Kind]&amp;"-"&amp;CostRemaining[Resource])</f>
        <v>Building-Gold</v>
      </c>
      <c r="E92" s="101" t="str">
        <f>IFERROR(VLOOKUP(CostRemaining[[#This Row],[Cost]],Upgrades[],MATCH("C"&amp;MATCH(TRUE,INDEX(CostRemaining[[#This Row],[1]:[12]]&lt;&gt;0,),0),Upgrades[#Headers],0),FALSE),"")</f>
        <v/>
      </c>
      <c r="F92" s="102">
        <f>IF(VALUE(CostRemaining[#Headers])&lt;=$F40,IFERROR(VLOOKUP(CostRemaining[[#This Row],[Cost]],Upgrades[],MATCH("C"&amp;CostRemaining[#Headers],Upgrades[#Headers],0),FALSE),0)*MAX(0,SUM($G40:G40)),0)</f>
        <v>0</v>
      </c>
      <c r="G92" s="102">
        <f>IF(VALUE(CostRemaining[#Headers])&lt;=$F40,IFERROR(VLOOKUP(CostRemaining[[#This Row],[Cost]],Upgrades[],MATCH("C"&amp;CostRemaining[#Headers],Upgrades[#Headers],0),FALSE),0)*MAX(0,SUM($G40:H40)),0)</f>
        <v>0</v>
      </c>
      <c r="H92" s="102">
        <f>IF(VALUE(CostRemaining[#Headers])&lt;=$F40,IFERROR(VLOOKUP(CostRemaining[[#This Row],[Cost]],Upgrades[],MATCH("C"&amp;CostRemaining[#Headers],Upgrades[#Headers],0),FALSE),0)*MAX(0,SUM($G40:I40)),0)</f>
        <v>0</v>
      </c>
      <c r="I92" s="102">
        <f>IF(VALUE(CostRemaining[#Headers])&lt;=$F40,IFERROR(VLOOKUP(CostRemaining[[#This Row],[Cost]],Upgrades[],MATCH("C"&amp;CostRemaining[#Headers],Upgrades[#Headers],0),FALSE),0)*MAX(0,SUM($G40:J40)),0)</f>
        <v>0</v>
      </c>
      <c r="J92" s="102">
        <f>IF(VALUE(CostRemaining[#Headers])&lt;=$F40,IFERROR(VLOOKUP(CostRemaining[[#This Row],[Cost]],Upgrades[],MATCH("C"&amp;CostRemaining[#Headers],Upgrades[#Headers],0),FALSE),0)*MAX(0,SUM($G40:K40)),0)</f>
        <v>0</v>
      </c>
      <c r="K92" s="102">
        <f>IF(VALUE(CostRemaining[#Headers])&lt;=$F40,IFERROR(VLOOKUP(CostRemaining[[#This Row],[Cost]],Upgrades[],MATCH("C"&amp;CostRemaining[#Headers],Upgrades[#Headers],0),FALSE),0)*MAX(0,SUM($G40:L40)),0)</f>
        <v>0</v>
      </c>
      <c r="L92" s="102">
        <f>IF(VALUE(CostRemaining[#Headers])&lt;=$F40,IFERROR(VLOOKUP(CostRemaining[[#This Row],[Cost]],Upgrades[],MATCH("C"&amp;CostRemaining[#Headers],Upgrades[#Headers],0),FALSE),0)*MAX(0,SUM($G40:M40)),0)</f>
        <v>0</v>
      </c>
      <c r="M92" s="102">
        <f>IF(VALUE(CostRemaining[#Headers])&lt;=$F40,IFERROR(VLOOKUP(CostRemaining[[#This Row],[Cost]],Upgrades[],MATCH("C"&amp;CostRemaining[#Headers],Upgrades[#Headers],0),FALSE),0)*MAX(0,SUM($G40:N40)),0)</f>
        <v>0</v>
      </c>
      <c r="N92" s="102">
        <f>IF(VALUE(CostRemaining[#Headers])&lt;=$F40,IFERROR(VLOOKUP(CostRemaining[[#This Row],[Cost]],Upgrades[],MATCH("C"&amp;CostRemaining[#Headers],Upgrades[#Headers],0),FALSE),0)*MAX(0,SUM($G40:O40)),0)</f>
        <v>0</v>
      </c>
      <c r="O92" s="102">
        <f>IF(VALUE(CostRemaining[#Headers])&lt;=$F40,IFERROR(VLOOKUP(CostRemaining[[#This Row],[Cost]],Upgrades[],MATCH("C"&amp;CostRemaining[#Headers],Upgrades[#Headers],0),FALSE),0)*MAX(0,SUM($G40:P40)),0)</f>
        <v>0</v>
      </c>
      <c r="P92" s="102">
        <f>IF(VALUE(CostRemaining[#Headers])&lt;=$F40,IFERROR(VLOOKUP(CostRemaining[[#This Row],[Cost]],Upgrades[],MATCH("C"&amp;CostRemaining[#Headers],Upgrades[#Headers],0),FALSE),0)*MAX(0,SUM($G40:Q40)),0)</f>
        <v>0</v>
      </c>
      <c r="Q92" s="102">
        <f>IF(VALUE(CostRemaining[#Headers])&lt;=$F40,IFERROR(VLOOKUP(CostRemaining[[#This Row],[Cost]],Upgrades[],MATCH("C"&amp;CostRemaining[#Headers],Upgrades[#Headers],0),FALSE),0)*MAX(0,SUM($G40:R40)),0)</f>
        <v>0</v>
      </c>
      <c r="R92" s="102">
        <f>IF(CostRemaining[[#This Row],[MatchStr]]="IGNORE",0,SUM(CostRemaining[[#This Row],[1]:[12]]))</f>
        <v>0</v>
      </c>
    </row>
    <row r="93" spans="1:18">
      <c r="A93" s="47" t="s">
        <v>10</v>
      </c>
      <c r="B93" s="47" t="str">
        <f>VLOOKUP(CostRemaining[[#This Row],[Cost]],Upgrades[],2,FALSE)</f>
        <v>Building</v>
      </c>
      <c r="C93" s="47" t="str">
        <f>VLOOKUP(CostRemaining[[#This Row],[Cost]],Upgrades[],3,FALSE)</f>
        <v>Gold</v>
      </c>
      <c r="D93" s="75" t="str">
        <f>IF((IFERROR(MATCH(CostRemaining[[#This Row],[Cost]],$O$16:$S$16,0),0)+IFERROR(MATCH(CostRemaining[[#This Row],[Cost]],$O$17:$S$17,0),0))&gt;0,"IGNORE",CostRemaining[Kind]&amp;"-"&amp;CostRemaining[Resource])</f>
        <v>Building-Gold</v>
      </c>
      <c r="E93" s="101" t="str">
        <f>IFERROR(VLOOKUP(CostRemaining[[#This Row],[Cost]],Upgrades[],MATCH("C"&amp;MATCH(TRUE,INDEX(CostRemaining[[#This Row],[1]:[12]]&lt;&gt;0,),0),Upgrades[#Headers],0),FALSE),"")</f>
        <v/>
      </c>
      <c r="F93" s="102">
        <f>IF(VALUE(CostRemaining[#Headers])&lt;=$F41,IFERROR(VLOOKUP(CostRemaining[[#This Row],[Cost]],Upgrades[],MATCH("C"&amp;CostRemaining[#Headers],Upgrades[#Headers],0),FALSE),0)*MAX(0,SUM($G41:G41)),0)</f>
        <v>0</v>
      </c>
      <c r="G93" s="102">
        <f>IF(VALUE(CostRemaining[#Headers])&lt;=$F41,IFERROR(VLOOKUP(CostRemaining[[#This Row],[Cost]],Upgrades[],MATCH("C"&amp;CostRemaining[#Headers],Upgrades[#Headers],0),FALSE),0)*MAX(0,SUM($G41:H41)),0)</f>
        <v>0</v>
      </c>
      <c r="H93" s="102">
        <f>IF(VALUE(CostRemaining[#Headers])&lt;=$F41,IFERROR(VLOOKUP(CostRemaining[[#This Row],[Cost]],Upgrades[],MATCH("C"&amp;CostRemaining[#Headers],Upgrades[#Headers],0),FALSE),0)*MAX(0,SUM($G41:I41)),0)</f>
        <v>0</v>
      </c>
      <c r="I93" s="102">
        <f>IF(VALUE(CostRemaining[#Headers])&lt;=$F41,IFERROR(VLOOKUP(CostRemaining[[#This Row],[Cost]],Upgrades[],MATCH("C"&amp;CostRemaining[#Headers],Upgrades[#Headers],0),FALSE),0)*MAX(0,SUM($G41:J41)),0)</f>
        <v>0</v>
      </c>
      <c r="J93" s="102">
        <f>IF(VALUE(CostRemaining[#Headers])&lt;=$F41,IFERROR(VLOOKUP(CostRemaining[[#This Row],[Cost]],Upgrades[],MATCH("C"&amp;CostRemaining[#Headers],Upgrades[#Headers],0),FALSE),0)*MAX(0,SUM($G41:K41)),0)</f>
        <v>0</v>
      </c>
      <c r="K93" s="102">
        <f>IF(VALUE(CostRemaining[#Headers])&lt;=$F41,IFERROR(VLOOKUP(CostRemaining[[#This Row],[Cost]],Upgrades[],MATCH("C"&amp;CostRemaining[#Headers],Upgrades[#Headers],0),FALSE),0)*MAX(0,SUM($G41:L41)),0)</f>
        <v>0</v>
      </c>
      <c r="L93" s="102">
        <f>IF(VALUE(CostRemaining[#Headers])&lt;=$F41,IFERROR(VLOOKUP(CostRemaining[[#This Row],[Cost]],Upgrades[],MATCH("C"&amp;CostRemaining[#Headers],Upgrades[#Headers],0),FALSE),0)*MAX(0,SUM($G41:M41)),0)</f>
        <v>0</v>
      </c>
      <c r="M93" s="102">
        <f>IF(VALUE(CostRemaining[#Headers])&lt;=$F41,IFERROR(VLOOKUP(CostRemaining[[#This Row],[Cost]],Upgrades[],MATCH("C"&amp;CostRemaining[#Headers],Upgrades[#Headers],0),FALSE),0)*MAX(0,SUM($G41:N41)),0)</f>
        <v>0</v>
      </c>
      <c r="N93" s="102">
        <f>IF(VALUE(CostRemaining[#Headers])&lt;=$F41,IFERROR(VLOOKUP(CostRemaining[[#This Row],[Cost]],Upgrades[],MATCH("C"&amp;CostRemaining[#Headers],Upgrades[#Headers],0),FALSE),0)*MAX(0,SUM($G41:O41)),0)</f>
        <v>0</v>
      </c>
      <c r="O93" s="102">
        <f>IF(VALUE(CostRemaining[#Headers])&lt;=$F41,IFERROR(VLOOKUP(CostRemaining[[#This Row],[Cost]],Upgrades[],MATCH("C"&amp;CostRemaining[#Headers],Upgrades[#Headers],0),FALSE),0)*MAX(0,SUM($G41:P41)),0)</f>
        <v>0</v>
      </c>
      <c r="P93" s="102">
        <f>IF(VALUE(CostRemaining[#Headers])&lt;=$F41,IFERROR(VLOOKUP(CostRemaining[[#This Row],[Cost]],Upgrades[],MATCH("C"&amp;CostRemaining[#Headers],Upgrades[#Headers],0),FALSE),0)*MAX(0,SUM($G41:Q41)),0)</f>
        <v>0</v>
      </c>
      <c r="Q93" s="102">
        <f>IF(VALUE(CostRemaining[#Headers])&lt;=$F41,IFERROR(VLOOKUP(CostRemaining[[#This Row],[Cost]],Upgrades[],MATCH("C"&amp;CostRemaining[#Headers],Upgrades[#Headers],0),FALSE),0)*MAX(0,SUM($G41:R41)),0)</f>
        <v>0</v>
      </c>
      <c r="R93" s="102">
        <f>IF(CostRemaining[[#This Row],[MatchStr]]="IGNORE",0,SUM(CostRemaining[[#This Row],[1]:[12]]))</f>
        <v>0</v>
      </c>
    </row>
    <row r="94" spans="1:18">
      <c r="A94" s="47" t="s">
        <v>28</v>
      </c>
      <c r="B94" s="47" t="str">
        <f>VLOOKUP(CostRemaining[[#This Row],[Cost]],Upgrades[],2,FALSE)</f>
        <v>Building</v>
      </c>
      <c r="C94" s="47" t="str">
        <f>VLOOKUP(CostRemaining[[#This Row],[Cost]],Upgrades[],3,FALSE)</f>
        <v>Gold</v>
      </c>
      <c r="D94" s="75" t="str">
        <f>IF((IFERROR(MATCH(CostRemaining[[#This Row],[Cost]],$O$16:$S$16,0),0)+IFERROR(MATCH(CostRemaining[[#This Row],[Cost]],$O$17:$S$17,0),0))&gt;0,"IGNORE",CostRemaining[Kind]&amp;"-"&amp;CostRemaining[Resource])</f>
        <v>Building-Gold</v>
      </c>
      <c r="E94" s="101" t="str">
        <f>IFERROR(VLOOKUP(CostRemaining[[#This Row],[Cost]],Upgrades[],MATCH("C"&amp;MATCH(TRUE,INDEX(CostRemaining[[#This Row],[1]:[12]]&lt;&gt;0,),0),Upgrades[#Headers],0),FALSE),"")</f>
        <v/>
      </c>
      <c r="F94" s="102">
        <f>IF(VALUE(CostRemaining[#Headers])&lt;=$F42,IFERROR(VLOOKUP(CostRemaining[[#This Row],[Cost]],Upgrades[],MATCH("C"&amp;CostRemaining[#Headers],Upgrades[#Headers],0),FALSE),0)*MAX(0,SUM($G42:G42)),0)</f>
        <v>0</v>
      </c>
      <c r="G94" s="102">
        <f>IF(VALUE(CostRemaining[#Headers])&lt;=$F42,IFERROR(VLOOKUP(CostRemaining[[#This Row],[Cost]],Upgrades[],MATCH("C"&amp;CostRemaining[#Headers],Upgrades[#Headers],0),FALSE),0)*MAX(0,SUM($G42:H42)),0)</f>
        <v>0</v>
      </c>
      <c r="H94" s="102">
        <f>IF(VALUE(CostRemaining[#Headers])&lt;=$F42,IFERROR(VLOOKUP(CostRemaining[[#This Row],[Cost]],Upgrades[],MATCH("C"&amp;CostRemaining[#Headers],Upgrades[#Headers],0),FALSE),0)*MAX(0,SUM($G42:I42)),0)</f>
        <v>0</v>
      </c>
      <c r="I94" s="102">
        <f>IF(VALUE(CostRemaining[#Headers])&lt;=$F42,IFERROR(VLOOKUP(CostRemaining[[#This Row],[Cost]],Upgrades[],MATCH("C"&amp;CostRemaining[#Headers],Upgrades[#Headers],0),FALSE),0)*MAX(0,SUM($G42:J42)),0)</f>
        <v>0</v>
      </c>
      <c r="J94" s="102">
        <f>IF(VALUE(CostRemaining[#Headers])&lt;=$F42,IFERROR(VLOOKUP(CostRemaining[[#This Row],[Cost]],Upgrades[],MATCH("C"&amp;CostRemaining[#Headers],Upgrades[#Headers],0),FALSE),0)*MAX(0,SUM($G42:K42)),0)</f>
        <v>0</v>
      </c>
      <c r="K94" s="102">
        <f>IF(VALUE(CostRemaining[#Headers])&lt;=$F42,IFERROR(VLOOKUP(CostRemaining[[#This Row],[Cost]],Upgrades[],MATCH("C"&amp;CostRemaining[#Headers],Upgrades[#Headers],0),FALSE),0)*MAX(0,SUM($G42:L42)),0)</f>
        <v>0</v>
      </c>
      <c r="L94" s="102">
        <f>IF(VALUE(CostRemaining[#Headers])&lt;=$F42,IFERROR(VLOOKUP(CostRemaining[[#This Row],[Cost]],Upgrades[],MATCH("C"&amp;CostRemaining[#Headers],Upgrades[#Headers],0),FALSE),0)*MAX(0,SUM($G42:M42)),0)</f>
        <v>0</v>
      </c>
      <c r="M94" s="102">
        <f>IF(VALUE(CostRemaining[#Headers])&lt;=$F42,IFERROR(VLOOKUP(CostRemaining[[#This Row],[Cost]],Upgrades[],MATCH("C"&amp;CostRemaining[#Headers],Upgrades[#Headers],0),FALSE),0)*MAX(0,SUM($G42:N42)),0)</f>
        <v>0</v>
      </c>
      <c r="N94" s="102">
        <f>IF(VALUE(CostRemaining[#Headers])&lt;=$F42,IFERROR(VLOOKUP(CostRemaining[[#This Row],[Cost]],Upgrades[],MATCH("C"&amp;CostRemaining[#Headers],Upgrades[#Headers],0),FALSE),0)*MAX(0,SUM($G42:O42)),0)</f>
        <v>0</v>
      </c>
      <c r="O94" s="102">
        <f>IF(VALUE(CostRemaining[#Headers])&lt;=$F42,IFERROR(VLOOKUP(CostRemaining[[#This Row],[Cost]],Upgrades[],MATCH("C"&amp;CostRemaining[#Headers],Upgrades[#Headers],0),FALSE),0)*MAX(0,SUM($G42:P42)),0)</f>
        <v>0</v>
      </c>
      <c r="P94" s="102">
        <f>IF(VALUE(CostRemaining[#Headers])&lt;=$F42,IFERROR(VLOOKUP(CostRemaining[[#This Row],[Cost]],Upgrades[],MATCH("C"&amp;CostRemaining[#Headers],Upgrades[#Headers],0),FALSE),0)*MAX(0,SUM($G42:Q42)),0)</f>
        <v>0</v>
      </c>
      <c r="Q94" s="102">
        <f>IF(VALUE(CostRemaining[#Headers])&lt;=$F42,IFERROR(VLOOKUP(CostRemaining[[#This Row],[Cost]],Upgrades[],MATCH("C"&amp;CostRemaining[#Headers],Upgrades[#Headers],0),FALSE),0)*MAX(0,SUM($G42:R42)),0)</f>
        <v>0</v>
      </c>
      <c r="R94" s="102">
        <f>IF(CostRemaining[[#This Row],[MatchStr]]="IGNORE",0,SUM(CostRemaining[[#This Row],[1]:[12]]))</f>
        <v>0</v>
      </c>
    </row>
    <row r="95" spans="1:18">
      <c r="A95" s="47" t="s">
        <v>11</v>
      </c>
      <c r="B95" s="47" t="str">
        <f>VLOOKUP(CostRemaining[[#This Row],[Cost]],Upgrades[],2,FALSE)</f>
        <v>Building</v>
      </c>
      <c r="C95" s="47" t="str">
        <f>VLOOKUP(CostRemaining[[#This Row],[Cost]],Upgrades[],3,FALSE)</f>
        <v>Gold</v>
      </c>
      <c r="D95" s="75" t="str">
        <f>IF((IFERROR(MATCH(CostRemaining[[#This Row],[Cost]],$O$16:$S$16,0),0)+IFERROR(MATCH(CostRemaining[[#This Row],[Cost]],$O$17:$S$17,0),0))&gt;0,"IGNORE",CostRemaining[Kind]&amp;"-"&amp;CostRemaining[Resource])</f>
        <v>Building-Gold</v>
      </c>
      <c r="E95" s="101">
        <f>IFERROR(VLOOKUP(CostRemaining[[#This Row],[Cost]],Upgrades[],MATCH("C"&amp;MATCH(TRUE,INDEX(CostRemaining[[#This Row],[1]:[12]]&lt;&gt;0,),0),Upgrades[#Headers],0),FALSE),"")</f>
        <v>1250000</v>
      </c>
      <c r="F95" s="102">
        <f>IF(VALUE(CostRemaining[#Headers])&lt;=$F43,IFERROR(VLOOKUP(CostRemaining[[#This Row],[Cost]],Upgrades[],MATCH("C"&amp;CostRemaining[#Headers],Upgrades[#Headers],0),FALSE),0)*MAX(0,SUM($G43:G43)),0)</f>
        <v>0</v>
      </c>
      <c r="G95" s="102">
        <f>IF(VALUE(CostRemaining[#Headers])&lt;=$F43,IFERROR(VLOOKUP(CostRemaining[[#This Row],[Cost]],Upgrades[],MATCH("C"&amp;CostRemaining[#Headers],Upgrades[#Headers],0),FALSE),0)*MAX(0,SUM($G43:H43)),0)</f>
        <v>2500000</v>
      </c>
      <c r="H95" s="102">
        <f>IF(VALUE(CostRemaining[#Headers])&lt;=$F43,IFERROR(VLOOKUP(CostRemaining[[#This Row],[Cost]],Upgrades[],MATCH("C"&amp;CostRemaining[#Headers],Upgrades[#Headers],0),FALSE),0)*MAX(0,SUM($G43:I43)),0)</f>
        <v>3000000</v>
      </c>
      <c r="I95" s="102">
        <f>IF(VALUE(CostRemaining[#Headers])&lt;=$F43,IFERROR(VLOOKUP(CostRemaining[[#This Row],[Cost]],Upgrades[],MATCH("C"&amp;CostRemaining[#Headers],Upgrades[#Headers],0),FALSE),0)*MAX(0,SUM($G43:J43)),0)</f>
        <v>0</v>
      </c>
      <c r="J95" s="102">
        <f>IF(VALUE(CostRemaining[#Headers])&lt;=$F43,IFERROR(VLOOKUP(CostRemaining[[#This Row],[Cost]],Upgrades[],MATCH("C"&amp;CostRemaining[#Headers],Upgrades[#Headers],0),FALSE),0)*MAX(0,SUM($G43:K43)),0)</f>
        <v>0</v>
      </c>
      <c r="K95" s="102">
        <f>IF(VALUE(CostRemaining[#Headers])&lt;=$F43,IFERROR(VLOOKUP(CostRemaining[[#This Row],[Cost]],Upgrades[],MATCH("C"&amp;CostRemaining[#Headers],Upgrades[#Headers],0),FALSE),0)*MAX(0,SUM($G43:L43)),0)</f>
        <v>0</v>
      </c>
      <c r="L95" s="102">
        <f>IF(VALUE(CostRemaining[#Headers])&lt;=$F43,IFERROR(VLOOKUP(CostRemaining[[#This Row],[Cost]],Upgrades[],MATCH("C"&amp;CostRemaining[#Headers],Upgrades[#Headers],0),FALSE),0)*MAX(0,SUM($G43:M43)),0)</f>
        <v>0</v>
      </c>
      <c r="M95" s="102">
        <f>IF(VALUE(CostRemaining[#Headers])&lt;=$F43,IFERROR(VLOOKUP(CostRemaining[[#This Row],[Cost]],Upgrades[],MATCH("C"&amp;CostRemaining[#Headers],Upgrades[#Headers],0),FALSE),0)*MAX(0,SUM($G43:N43)),0)</f>
        <v>0</v>
      </c>
      <c r="N95" s="102">
        <f>IF(VALUE(CostRemaining[#Headers])&lt;=$F43,IFERROR(VLOOKUP(CostRemaining[[#This Row],[Cost]],Upgrades[],MATCH("C"&amp;CostRemaining[#Headers],Upgrades[#Headers],0),FALSE),0)*MAX(0,SUM($G43:O43)),0)</f>
        <v>0</v>
      </c>
      <c r="O95" s="102">
        <f>IF(VALUE(CostRemaining[#Headers])&lt;=$F43,IFERROR(VLOOKUP(CostRemaining[[#This Row],[Cost]],Upgrades[],MATCH("C"&amp;CostRemaining[#Headers],Upgrades[#Headers],0),FALSE),0)*MAX(0,SUM($G43:P43)),0)</f>
        <v>0</v>
      </c>
      <c r="P95" s="102">
        <f>IF(VALUE(CostRemaining[#Headers])&lt;=$F43,IFERROR(VLOOKUP(CostRemaining[[#This Row],[Cost]],Upgrades[],MATCH("C"&amp;CostRemaining[#Headers],Upgrades[#Headers],0),FALSE),0)*MAX(0,SUM($G43:Q43)),0)</f>
        <v>0</v>
      </c>
      <c r="Q95" s="102">
        <f>IF(VALUE(CostRemaining[#Headers])&lt;=$F43,IFERROR(VLOOKUP(CostRemaining[[#This Row],[Cost]],Upgrades[],MATCH("C"&amp;CostRemaining[#Headers],Upgrades[#Headers],0),FALSE),0)*MAX(0,SUM($G43:R43)),0)</f>
        <v>0</v>
      </c>
      <c r="R95" s="102">
        <f>IF(CostRemaining[[#This Row],[MatchStr]]="IGNORE",0,SUM(CostRemaining[[#This Row],[1]:[12]]))</f>
        <v>5500000</v>
      </c>
    </row>
    <row r="96" spans="1:18">
      <c r="A96" s="47" t="s">
        <v>12</v>
      </c>
      <c r="B96" s="47" t="str">
        <f>VLOOKUP(CostRemaining[[#This Row],[Cost]],Upgrades[],2,FALSE)</f>
        <v>Building</v>
      </c>
      <c r="C96" s="47" t="str">
        <f>VLOOKUP(CostRemaining[[#This Row],[Cost]],Upgrades[],3,FALSE)</f>
        <v>Gold</v>
      </c>
      <c r="D96" s="75" t="str">
        <f>IF((IFERROR(MATCH(CostRemaining[[#This Row],[Cost]],$O$16:$S$16,0),0)+IFERROR(MATCH(CostRemaining[[#This Row],[Cost]],$O$17:$S$17,0),0))&gt;0,"IGNORE",CostRemaining[Kind]&amp;"-"&amp;CostRemaining[Resource])</f>
        <v>Building-Gold</v>
      </c>
      <c r="E96" s="101" t="str">
        <f>IFERROR(VLOOKUP(CostRemaining[[#This Row],[Cost]],Upgrades[],MATCH("C"&amp;MATCH(TRUE,INDEX(CostRemaining[[#This Row],[1]:[12]]&lt;&gt;0,),0),Upgrades[#Headers],0),FALSE),"")</f>
        <v/>
      </c>
      <c r="F96" s="102">
        <f>IF(VALUE(CostRemaining[#Headers])&lt;=$F44,IFERROR(VLOOKUP(CostRemaining[[#This Row],[Cost]],Upgrades[],MATCH("C"&amp;CostRemaining[#Headers],Upgrades[#Headers],0),FALSE),0)*MAX(0,SUM($G44:G44)),0)</f>
        <v>0</v>
      </c>
      <c r="G96" s="102">
        <f>IF(VALUE(CostRemaining[#Headers])&lt;=$F44,IFERROR(VLOOKUP(CostRemaining[[#This Row],[Cost]],Upgrades[],MATCH("C"&amp;CostRemaining[#Headers],Upgrades[#Headers],0),FALSE),0)*MAX(0,SUM($G44:H44)),0)</f>
        <v>0</v>
      </c>
      <c r="H96" s="102">
        <f>IF(VALUE(CostRemaining[#Headers])&lt;=$F44,IFERROR(VLOOKUP(CostRemaining[[#This Row],[Cost]],Upgrades[],MATCH("C"&amp;CostRemaining[#Headers],Upgrades[#Headers],0),FALSE),0)*MAX(0,SUM($G44:I44)),0)</f>
        <v>0</v>
      </c>
      <c r="I96" s="102">
        <f>IF(VALUE(CostRemaining[#Headers])&lt;=$F44,IFERROR(VLOOKUP(CostRemaining[[#This Row],[Cost]],Upgrades[],MATCH("C"&amp;CostRemaining[#Headers],Upgrades[#Headers],0),FALSE),0)*MAX(0,SUM($G44:J44)),0)</f>
        <v>0</v>
      </c>
      <c r="J96" s="102">
        <f>IF(VALUE(CostRemaining[#Headers])&lt;=$F44,IFERROR(VLOOKUP(CostRemaining[[#This Row],[Cost]],Upgrades[],MATCH("C"&amp;CostRemaining[#Headers],Upgrades[#Headers],0),FALSE),0)*MAX(0,SUM($G44:K44)),0)</f>
        <v>0</v>
      </c>
      <c r="K96" s="102">
        <f>IF(VALUE(CostRemaining[#Headers])&lt;=$F44,IFERROR(VLOOKUP(CostRemaining[[#This Row],[Cost]],Upgrades[],MATCH("C"&amp;CostRemaining[#Headers],Upgrades[#Headers],0),FALSE),0)*MAX(0,SUM($G44:L44)),0)</f>
        <v>0</v>
      </c>
      <c r="L96" s="102">
        <f>IF(VALUE(CostRemaining[#Headers])&lt;=$F44,IFERROR(VLOOKUP(CostRemaining[[#This Row],[Cost]],Upgrades[],MATCH("C"&amp;CostRemaining[#Headers],Upgrades[#Headers],0),FALSE),0)*MAX(0,SUM($G44:M44)),0)</f>
        <v>0</v>
      </c>
      <c r="M96" s="102">
        <f>IF(VALUE(CostRemaining[#Headers])&lt;=$F44,IFERROR(VLOOKUP(CostRemaining[[#This Row],[Cost]],Upgrades[],MATCH("C"&amp;CostRemaining[#Headers],Upgrades[#Headers],0),FALSE),0)*MAX(0,SUM($G44:N44)),0)</f>
        <v>0</v>
      </c>
      <c r="N96" s="102">
        <f>IF(VALUE(CostRemaining[#Headers])&lt;=$F44,IFERROR(VLOOKUP(CostRemaining[[#This Row],[Cost]],Upgrades[],MATCH("C"&amp;CostRemaining[#Headers],Upgrades[#Headers],0),FALSE),0)*MAX(0,SUM($G44:O44)),0)</f>
        <v>0</v>
      </c>
      <c r="O96" s="102">
        <f>IF(VALUE(CostRemaining[#Headers])&lt;=$F44,IFERROR(VLOOKUP(CostRemaining[[#This Row],[Cost]],Upgrades[],MATCH("C"&amp;CostRemaining[#Headers],Upgrades[#Headers],0),FALSE),0)*MAX(0,SUM($G44:P44)),0)</f>
        <v>0</v>
      </c>
      <c r="P96" s="102">
        <f>IF(VALUE(CostRemaining[#Headers])&lt;=$F44,IFERROR(VLOOKUP(CostRemaining[[#This Row],[Cost]],Upgrades[],MATCH("C"&amp;CostRemaining[#Headers],Upgrades[#Headers],0),FALSE),0)*MAX(0,SUM($G44:Q44)),0)</f>
        <v>0</v>
      </c>
      <c r="Q96" s="102">
        <f>IF(VALUE(CostRemaining[#Headers])&lt;=$F44,IFERROR(VLOOKUP(CostRemaining[[#This Row],[Cost]],Upgrades[],MATCH("C"&amp;CostRemaining[#Headers],Upgrades[#Headers],0),FALSE),0)*MAX(0,SUM($G44:R44)),0)</f>
        <v>0</v>
      </c>
      <c r="R96" s="102">
        <f>IF(CostRemaining[[#This Row],[MatchStr]]="IGNORE",0,SUM(CostRemaining[[#This Row],[1]:[12]]))</f>
        <v>0</v>
      </c>
    </row>
    <row r="97" spans="1:18">
      <c r="A97" s="47" t="s">
        <v>29</v>
      </c>
      <c r="B97" s="47" t="str">
        <f>VLOOKUP(CostRemaining[[#This Row],[Cost]],Upgrades[],2,FALSE)</f>
        <v>Building</v>
      </c>
      <c r="C97" s="47" t="str">
        <f>VLOOKUP(CostRemaining[[#This Row],[Cost]],Upgrades[],3,FALSE)</f>
        <v>Gold</v>
      </c>
      <c r="D97" s="75" t="str">
        <f>IF((IFERROR(MATCH(CostRemaining[[#This Row],[Cost]],$O$16:$S$16,0),0)+IFERROR(MATCH(CostRemaining[[#This Row],[Cost]],$O$17:$S$17,0),0))&gt;0,"IGNORE",CostRemaining[Kind]&amp;"-"&amp;CostRemaining[Resource])</f>
        <v>Building-Gold</v>
      </c>
      <c r="E97" s="101" t="str">
        <f>IFERROR(VLOOKUP(CostRemaining[[#This Row],[Cost]],Upgrades[],MATCH("C"&amp;MATCH(TRUE,INDEX(CostRemaining[[#This Row],[1]:[12]]&lt;&gt;0,),0),Upgrades[#Headers],0),FALSE),"")</f>
        <v/>
      </c>
      <c r="F97" s="102">
        <f>IF(VALUE(CostRemaining[#Headers])&lt;=$F45,IFERROR(VLOOKUP(CostRemaining[[#This Row],[Cost]],Upgrades[],MATCH("C"&amp;CostRemaining[#Headers],Upgrades[#Headers],0),FALSE),0)*MAX(0,SUM($G45:G45)),0)</f>
        <v>0</v>
      </c>
      <c r="G97" s="102">
        <f>IF(VALUE(CostRemaining[#Headers])&lt;=$F45,IFERROR(VLOOKUP(CostRemaining[[#This Row],[Cost]],Upgrades[],MATCH("C"&amp;CostRemaining[#Headers],Upgrades[#Headers],0),FALSE),0)*MAX(0,SUM($G45:H45)),0)</f>
        <v>0</v>
      </c>
      <c r="H97" s="102">
        <f>IF(VALUE(CostRemaining[#Headers])&lt;=$F45,IFERROR(VLOOKUP(CostRemaining[[#This Row],[Cost]],Upgrades[],MATCH("C"&amp;CostRemaining[#Headers],Upgrades[#Headers],0),FALSE),0)*MAX(0,SUM($G45:I45)),0)</f>
        <v>0</v>
      </c>
      <c r="I97" s="102">
        <f>IF(VALUE(CostRemaining[#Headers])&lt;=$F45,IFERROR(VLOOKUP(CostRemaining[[#This Row],[Cost]],Upgrades[],MATCH("C"&amp;CostRemaining[#Headers],Upgrades[#Headers],0),FALSE),0)*MAX(0,SUM($G45:J45)),0)</f>
        <v>0</v>
      </c>
      <c r="J97" s="102">
        <f>IF(VALUE(CostRemaining[#Headers])&lt;=$F45,IFERROR(VLOOKUP(CostRemaining[[#This Row],[Cost]],Upgrades[],MATCH("C"&amp;CostRemaining[#Headers],Upgrades[#Headers],0),FALSE),0)*MAX(0,SUM($G45:K45)),0)</f>
        <v>0</v>
      </c>
      <c r="K97" s="102">
        <f>IF(VALUE(CostRemaining[#Headers])&lt;=$F45,IFERROR(VLOOKUP(CostRemaining[[#This Row],[Cost]],Upgrades[],MATCH("C"&amp;CostRemaining[#Headers],Upgrades[#Headers],0),FALSE),0)*MAX(0,SUM($G45:L45)),0)</f>
        <v>0</v>
      </c>
      <c r="L97" s="102">
        <f>IF(VALUE(CostRemaining[#Headers])&lt;=$F45,IFERROR(VLOOKUP(CostRemaining[[#This Row],[Cost]],Upgrades[],MATCH("C"&amp;CostRemaining[#Headers],Upgrades[#Headers],0),FALSE),0)*MAX(0,SUM($G45:M45)),0)</f>
        <v>0</v>
      </c>
      <c r="M97" s="102">
        <f>IF(VALUE(CostRemaining[#Headers])&lt;=$F45,IFERROR(VLOOKUP(CostRemaining[[#This Row],[Cost]],Upgrades[],MATCH("C"&amp;CostRemaining[#Headers],Upgrades[#Headers],0),FALSE),0)*MAX(0,SUM($G45:N45)),0)</f>
        <v>0</v>
      </c>
      <c r="N97" s="102">
        <f>IF(VALUE(CostRemaining[#Headers])&lt;=$F45,IFERROR(VLOOKUP(CostRemaining[[#This Row],[Cost]],Upgrades[],MATCH("C"&amp;CostRemaining[#Headers],Upgrades[#Headers],0),FALSE),0)*MAX(0,SUM($G45:O45)),0)</f>
        <v>0</v>
      </c>
      <c r="O97" s="102">
        <f>IF(VALUE(CostRemaining[#Headers])&lt;=$F45,IFERROR(VLOOKUP(CostRemaining[[#This Row],[Cost]],Upgrades[],MATCH("C"&amp;CostRemaining[#Headers],Upgrades[#Headers],0),FALSE),0)*MAX(0,SUM($G45:P45)),0)</f>
        <v>0</v>
      </c>
      <c r="P97" s="102">
        <f>IF(VALUE(CostRemaining[#Headers])&lt;=$F45,IFERROR(VLOOKUP(CostRemaining[[#This Row],[Cost]],Upgrades[],MATCH("C"&amp;CostRemaining[#Headers],Upgrades[#Headers],0),FALSE),0)*MAX(0,SUM($G45:Q45)),0)</f>
        <v>0</v>
      </c>
      <c r="Q97" s="102">
        <f>IF(VALUE(CostRemaining[#Headers])&lt;=$F45,IFERROR(VLOOKUP(CostRemaining[[#This Row],[Cost]],Upgrades[],MATCH("C"&amp;CostRemaining[#Headers],Upgrades[#Headers],0),FALSE),0)*MAX(0,SUM($G45:R45)),0)</f>
        <v>0</v>
      </c>
      <c r="R97" s="102">
        <f>IF(CostRemaining[[#This Row],[MatchStr]]="IGNORE",0,SUM(CostRemaining[[#This Row],[1]:[12]]))</f>
        <v>0</v>
      </c>
    </row>
    <row r="98" spans="1:18">
      <c r="A98" s="47" t="s">
        <v>107</v>
      </c>
      <c r="B98" s="103" t="str">
        <f>VLOOKUP(CostRemaining[[#This Row],[Cost]],Upgrades[],2,FALSE)</f>
        <v>Building</v>
      </c>
      <c r="C98" s="103" t="str">
        <f>VLOOKUP(CostRemaining[[#This Row],[Cost]],Upgrades[],3,FALSE)</f>
        <v>Dark Elixir</v>
      </c>
      <c r="D98" s="104" t="str">
        <f>IF((IFERROR(MATCH(CostRemaining[[#This Row],[Cost]],$O$16:$S$16,0),0)+IFERROR(MATCH(CostRemaining[[#This Row],[Cost]],$O$17:$S$17,0),0))&gt;0,"IGNORE",CostRemaining[Kind]&amp;"-"&amp;CostRemaining[Resource])</f>
        <v>Building-Dark Elixir</v>
      </c>
      <c r="E98" s="101" t="str">
        <f>IFERROR(VLOOKUP(CostRemaining[[#This Row],[Cost]],Upgrades[],MATCH("C"&amp;MATCH(TRUE,INDEX(CostRemaining[[#This Row],[1]:[12]]&lt;&gt;0,),0),Upgrades[#Headers],0),FALSE),"")</f>
        <v/>
      </c>
      <c r="F98" s="102">
        <f>IF(VALUE(CostRemaining[#Headers])&lt;=$F46,IFERROR(VLOOKUP(CostRemaining[[#This Row],[Cost]],Upgrades[],MATCH("C"&amp;CostRemaining[#Headers],Upgrades[#Headers],0),FALSE),0)*MAX(0,SUM($G46:G46)),0)</f>
        <v>0</v>
      </c>
      <c r="G98" s="102">
        <f>IF(VALUE(CostRemaining[#Headers])&lt;=$F46,IFERROR(VLOOKUP(CostRemaining[[#This Row],[Cost]],Upgrades[],MATCH("C"&amp;CostRemaining[#Headers],Upgrades[#Headers],0),FALSE),0)*MAX(0,SUM($G46:H46)),0)</f>
        <v>0</v>
      </c>
      <c r="H98" s="102">
        <f>IF(VALUE(CostRemaining[#Headers])&lt;=$F46,IFERROR(VLOOKUP(CostRemaining[[#This Row],[Cost]],Upgrades[],MATCH("C"&amp;CostRemaining[#Headers],Upgrades[#Headers],0),FALSE),0)*MAX(0,SUM($G46:I46)),0)</f>
        <v>0</v>
      </c>
      <c r="I98" s="102">
        <f>IF(VALUE(CostRemaining[#Headers])&lt;=$F46,IFERROR(VLOOKUP(CostRemaining[[#This Row],[Cost]],Upgrades[],MATCH("C"&amp;CostRemaining[#Headers],Upgrades[#Headers],0),FALSE),0)*MAX(0,SUM($G46:J46)),0)</f>
        <v>0</v>
      </c>
      <c r="J98" s="102">
        <f>IF(VALUE(CostRemaining[#Headers])&lt;=$F46,IFERROR(VLOOKUP(CostRemaining[[#This Row],[Cost]],Upgrades[],MATCH("C"&amp;CostRemaining[#Headers],Upgrades[#Headers],0),FALSE),0)*MAX(0,SUM($G46:K46)),0)</f>
        <v>0</v>
      </c>
      <c r="K98" s="102">
        <f>IF(VALUE(CostRemaining[#Headers])&lt;=$F46,IFERROR(VLOOKUP(CostRemaining[[#This Row],[Cost]],Upgrades[],MATCH("C"&amp;CostRemaining[#Headers],Upgrades[#Headers],0),FALSE),0)*MAX(0,SUM($G46:L46)),0)</f>
        <v>0</v>
      </c>
      <c r="L98" s="102">
        <f>IF(VALUE(CostRemaining[#Headers])&lt;=$F46,IFERROR(VLOOKUP(CostRemaining[[#This Row],[Cost]],Upgrades[],MATCH("C"&amp;CostRemaining[#Headers],Upgrades[#Headers],0),FALSE),0)*MAX(0,SUM($G46:M46)),0)</f>
        <v>0</v>
      </c>
      <c r="M98" s="102">
        <f>IF(VALUE(CostRemaining[#Headers])&lt;=$F46,IFERROR(VLOOKUP(CostRemaining[[#This Row],[Cost]],Upgrades[],MATCH("C"&amp;CostRemaining[#Headers],Upgrades[#Headers],0),FALSE),0)*MAX(0,SUM($G46:N46)),0)</f>
        <v>0</v>
      </c>
      <c r="N98" s="102">
        <f>IF(VALUE(CostRemaining[#Headers])&lt;=$F46,IFERROR(VLOOKUP(CostRemaining[[#This Row],[Cost]],Upgrades[],MATCH("C"&amp;CostRemaining[#Headers],Upgrades[#Headers],0),FALSE),0)*MAX(0,SUM($G46:O46)),0)</f>
        <v>0</v>
      </c>
      <c r="O98" s="102">
        <f>IF(VALUE(CostRemaining[#Headers])&lt;=$F46,IFERROR(VLOOKUP(CostRemaining[[#This Row],[Cost]],Upgrades[],MATCH("C"&amp;CostRemaining[#Headers],Upgrades[#Headers],0),FALSE),0)*MAX(0,SUM($G46:P46)),0)</f>
        <v>0</v>
      </c>
      <c r="P98" s="102">
        <f>IF(VALUE(CostRemaining[#Headers])&lt;=$F46,IFERROR(VLOOKUP(CostRemaining[[#This Row],[Cost]],Upgrades[],MATCH("C"&amp;CostRemaining[#Headers],Upgrades[#Headers],0),FALSE),0)*MAX(0,SUM($G46:Q46)),0)</f>
        <v>0</v>
      </c>
      <c r="Q98" s="102">
        <f>IF(VALUE(CostRemaining[#Headers])&lt;=$F46,IFERROR(VLOOKUP(CostRemaining[[#This Row],[Cost]],Upgrades[],MATCH("C"&amp;CostRemaining[#Headers],Upgrades[#Headers],0),FALSE),0)*MAX(0,SUM($G46:R46)),0)</f>
        <v>0</v>
      </c>
      <c r="R98" s="102">
        <f>IF(CostRemaining[[#This Row],[MatchStr]]="IGNORE",0,SUM(CostRemaining[[#This Row],[1]:[12]]))</f>
        <v>0</v>
      </c>
    </row>
    <row r="99" spans="1:18">
      <c r="A99" s="47" t="s">
        <v>108</v>
      </c>
      <c r="B99" s="103" t="str">
        <f>VLOOKUP(CostRemaining[[#This Row],[Cost]],Upgrades[],2,FALSE)</f>
        <v>Building</v>
      </c>
      <c r="C99" s="103" t="str">
        <f>VLOOKUP(CostRemaining[[#This Row],[Cost]],Upgrades[],3,FALSE)</f>
        <v>Dark Elixir</v>
      </c>
      <c r="D99" s="104" t="str">
        <f>IF((IFERROR(MATCH(CostRemaining[[#This Row],[Cost]],$O$16:$S$16,0),0)+IFERROR(MATCH(CostRemaining[[#This Row],[Cost]],$O$17:$S$17,0),0))&gt;0,"IGNORE",CostRemaining[Kind]&amp;"-"&amp;CostRemaining[Resource])</f>
        <v>Building-Dark Elixir</v>
      </c>
      <c r="E99" s="101" t="str">
        <f>IFERROR(VLOOKUP(CostRemaining[[#This Row],[Cost]],Upgrades[],MATCH("C"&amp;MATCH(TRUE,INDEX(CostRemaining[[#This Row],[1]:[12]]&lt;&gt;0,),0),Upgrades[#Headers],0),FALSE),"")</f>
        <v/>
      </c>
      <c r="F99" s="102">
        <f>IF(VALUE(CostRemaining[#Headers])&lt;=$F47,IFERROR(VLOOKUP(CostRemaining[[#This Row],[Cost]],Upgrades[],MATCH("C"&amp;CostRemaining[#Headers],Upgrades[#Headers],0),FALSE),0)*MAX(0,SUM($G47:G47)),0)</f>
        <v>0</v>
      </c>
      <c r="G99" s="102">
        <f>IF(VALUE(CostRemaining[#Headers])&lt;=$F47,IFERROR(VLOOKUP(CostRemaining[[#This Row],[Cost]],Upgrades[],MATCH("C"&amp;CostRemaining[#Headers],Upgrades[#Headers],0),FALSE),0)*MAX(0,SUM($G47:H47)),0)</f>
        <v>0</v>
      </c>
      <c r="H99" s="102">
        <f>IF(VALUE(CostRemaining[#Headers])&lt;=$F47,IFERROR(VLOOKUP(CostRemaining[[#This Row],[Cost]],Upgrades[],MATCH("C"&amp;CostRemaining[#Headers],Upgrades[#Headers],0),FALSE),0)*MAX(0,SUM($G47:I47)),0)</f>
        <v>0</v>
      </c>
      <c r="I99" s="102">
        <f>IF(VALUE(CostRemaining[#Headers])&lt;=$F47,IFERROR(VLOOKUP(CostRemaining[[#This Row],[Cost]],Upgrades[],MATCH("C"&amp;CostRemaining[#Headers],Upgrades[#Headers],0),FALSE),0)*MAX(0,SUM($G47:J47)),0)</f>
        <v>0</v>
      </c>
      <c r="J99" s="102">
        <f>IF(VALUE(CostRemaining[#Headers])&lt;=$F47,IFERROR(VLOOKUP(CostRemaining[[#This Row],[Cost]],Upgrades[],MATCH("C"&amp;CostRemaining[#Headers],Upgrades[#Headers],0),FALSE),0)*MAX(0,SUM($G47:K47)),0)</f>
        <v>0</v>
      </c>
      <c r="K99" s="102">
        <f>IF(VALUE(CostRemaining[#Headers])&lt;=$F47,IFERROR(VLOOKUP(CostRemaining[[#This Row],[Cost]],Upgrades[],MATCH("C"&amp;CostRemaining[#Headers],Upgrades[#Headers],0),FALSE),0)*MAX(0,SUM($G47:L47)),0)</f>
        <v>0</v>
      </c>
      <c r="L99" s="102">
        <f>IF(VALUE(CostRemaining[#Headers])&lt;=$F47,IFERROR(VLOOKUP(CostRemaining[[#This Row],[Cost]],Upgrades[],MATCH("C"&amp;CostRemaining[#Headers],Upgrades[#Headers],0),FALSE),0)*MAX(0,SUM($G47:M47)),0)</f>
        <v>0</v>
      </c>
      <c r="M99" s="102">
        <f>IF(VALUE(CostRemaining[#Headers])&lt;=$F47,IFERROR(VLOOKUP(CostRemaining[[#This Row],[Cost]],Upgrades[],MATCH("C"&amp;CostRemaining[#Headers],Upgrades[#Headers],0),FALSE),0)*MAX(0,SUM($G47:N47)),0)</f>
        <v>0</v>
      </c>
      <c r="N99" s="102">
        <f>IF(VALUE(CostRemaining[#Headers])&lt;=$F47,IFERROR(VLOOKUP(CostRemaining[[#This Row],[Cost]],Upgrades[],MATCH("C"&amp;CostRemaining[#Headers],Upgrades[#Headers],0),FALSE),0)*MAX(0,SUM($G47:O47)),0)</f>
        <v>0</v>
      </c>
      <c r="O99" s="102">
        <f>IF(VALUE(CostRemaining[#Headers])&lt;=$F47,IFERROR(VLOOKUP(CostRemaining[[#This Row],[Cost]],Upgrades[],MATCH("C"&amp;CostRemaining[#Headers],Upgrades[#Headers],0),FALSE),0)*MAX(0,SUM($G47:P47)),0)</f>
        <v>0</v>
      </c>
      <c r="P99" s="102">
        <f>IF(VALUE(CostRemaining[#Headers])&lt;=$F47,IFERROR(VLOOKUP(CostRemaining[[#This Row],[Cost]],Upgrades[],MATCH("C"&amp;CostRemaining[#Headers],Upgrades[#Headers],0),FALSE),0)*MAX(0,SUM($G47:Q47)),0)</f>
        <v>0</v>
      </c>
      <c r="Q99" s="102">
        <f>IF(VALUE(CostRemaining[#Headers])&lt;=$F47,IFERROR(VLOOKUP(CostRemaining[[#This Row],[Cost]],Upgrades[],MATCH("C"&amp;CostRemaining[#Headers],Upgrades[#Headers],0),FALSE),0)*MAX(0,SUM($G47:R47)),0)</f>
        <v>0</v>
      </c>
      <c r="R99" s="102">
        <f>IF(CostRemaining[[#This Row],[MatchStr]]="IGNORE",0,SUM(CostRemaining[[#This Row],[1]:[12]]))</f>
        <v>0</v>
      </c>
    </row>
    <row r="100" spans="1:18">
      <c r="A100" s="47" t="s">
        <v>84</v>
      </c>
      <c r="B100" s="103" t="str">
        <f>VLOOKUP(CostRemaining[[#This Row],[Cost]],Upgrades[],2,FALSE)</f>
        <v>Upgrade</v>
      </c>
      <c r="C100" s="103" t="str">
        <f>VLOOKUP(CostRemaining[[#This Row],[Cost]],Upgrades[],3,FALSE)</f>
        <v>Elixir</v>
      </c>
      <c r="D100" s="104" t="str">
        <f>IF((IFERROR(MATCH(CostRemaining[[#This Row],[Cost]],$O$16:$S$16,0),0)+IFERROR(MATCH(CostRemaining[[#This Row],[Cost]],$O$17:$S$17,0),0))&gt;0,"IGNORE",CostRemaining[Kind]&amp;"-"&amp;CostRemaining[Resource])</f>
        <v>Upgrade-Elixir</v>
      </c>
      <c r="E100" s="101" t="str">
        <f>IFERROR(VLOOKUP(CostRemaining[[#This Row],[Cost]],Upgrades[],MATCH("C"&amp;MATCH(TRUE,INDEX(CostRemaining[[#This Row],[1]:[12]]&lt;&gt;0,),0),Upgrades[#Headers],0),FALSE),"")</f>
        <v/>
      </c>
      <c r="F100" s="102">
        <f>IF(VALUE(CostRemaining[#Headers])&lt;=$F48,IFERROR(VLOOKUP(CostRemaining[[#This Row],[Cost]],Upgrades[],MATCH("C"&amp;CostRemaining[#Headers],Upgrades[#Headers],0),FALSE),0)*MAX(0,SUM($G48:G48)),0)</f>
        <v>0</v>
      </c>
      <c r="G100" s="102">
        <f>IF(VALUE(CostRemaining[#Headers])&lt;=$F48,IFERROR(VLOOKUP(CostRemaining[[#This Row],[Cost]],Upgrades[],MATCH("C"&amp;CostRemaining[#Headers],Upgrades[#Headers],0),FALSE),0)*MAX(0,SUM($G48:H48)),0)</f>
        <v>0</v>
      </c>
      <c r="H100" s="102">
        <f>IF(VALUE(CostRemaining[#Headers])&lt;=$F48,IFERROR(VLOOKUP(CostRemaining[[#This Row],[Cost]],Upgrades[],MATCH("C"&amp;CostRemaining[#Headers],Upgrades[#Headers],0),FALSE),0)*MAX(0,SUM($G48:I48)),0)</f>
        <v>0</v>
      </c>
      <c r="I100" s="102">
        <f>IF(VALUE(CostRemaining[#Headers])&lt;=$F48,IFERROR(VLOOKUP(CostRemaining[[#This Row],[Cost]],Upgrades[],MATCH("C"&amp;CostRemaining[#Headers],Upgrades[#Headers],0),FALSE),0)*MAX(0,SUM($G48:J48)),0)</f>
        <v>0</v>
      </c>
      <c r="J100" s="102">
        <f>IF(VALUE(CostRemaining[#Headers])&lt;=$F48,IFERROR(VLOOKUP(CostRemaining[[#This Row],[Cost]],Upgrades[],MATCH("C"&amp;CostRemaining[#Headers],Upgrades[#Headers],0),FALSE),0)*MAX(0,SUM($G48:K48)),0)</f>
        <v>0</v>
      </c>
      <c r="K100" s="102">
        <f>IF(VALUE(CostRemaining[#Headers])&lt;=$F48,IFERROR(VLOOKUP(CostRemaining[[#This Row],[Cost]],Upgrades[],MATCH("C"&amp;CostRemaining[#Headers],Upgrades[#Headers],0),FALSE),0)*MAX(0,SUM($G48:L48)),0)</f>
        <v>0</v>
      </c>
      <c r="L100" s="102">
        <f>IF(VALUE(CostRemaining[#Headers])&lt;=$F48,IFERROR(VLOOKUP(CostRemaining[[#This Row],[Cost]],Upgrades[],MATCH("C"&amp;CostRemaining[#Headers],Upgrades[#Headers],0),FALSE),0)*MAX(0,SUM($G48:M48)),0)</f>
        <v>0</v>
      </c>
      <c r="M100" s="102">
        <f>IF(VALUE(CostRemaining[#Headers])&lt;=$F48,IFERROR(VLOOKUP(CostRemaining[[#This Row],[Cost]],Upgrades[],MATCH("C"&amp;CostRemaining[#Headers],Upgrades[#Headers],0),FALSE),0)*MAX(0,SUM($G48:N48)),0)</f>
        <v>0</v>
      </c>
      <c r="N100" s="102">
        <f>IF(VALUE(CostRemaining[#Headers])&lt;=$F48,IFERROR(VLOOKUP(CostRemaining[[#This Row],[Cost]],Upgrades[],MATCH("C"&amp;CostRemaining[#Headers],Upgrades[#Headers],0),FALSE),0)*MAX(0,SUM($G48:O48)),0)</f>
        <v>0</v>
      </c>
      <c r="O100" s="102">
        <f>IF(VALUE(CostRemaining[#Headers])&lt;=$F48,IFERROR(VLOOKUP(CostRemaining[[#This Row],[Cost]],Upgrades[],MATCH("C"&amp;CostRemaining[#Headers],Upgrades[#Headers],0),FALSE),0)*MAX(0,SUM($G48:P48)),0)</f>
        <v>0</v>
      </c>
      <c r="P100" s="102">
        <f>IF(VALUE(CostRemaining[#Headers])&lt;=$F48,IFERROR(VLOOKUP(CostRemaining[[#This Row],[Cost]],Upgrades[],MATCH("C"&amp;CostRemaining[#Headers],Upgrades[#Headers],0),FALSE),0)*MAX(0,SUM($G48:Q48)),0)</f>
        <v>0</v>
      </c>
      <c r="Q100" s="102">
        <f>IF(VALUE(CostRemaining[#Headers])&lt;=$F48,IFERROR(VLOOKUP(CostRemaining[[#This Row],[Cost]],Upgrades[],MATCH("C"&amp;CostRemaining[#Headers],Upgrades[#Headers],0),FALSE),0)*MAX(0,SUM($G48:R48)),0)</f>
        <v>0</v>
      </c>
      <c r="R100" s="102">
        <f>IF(CostRemaining[[#This Row],[MatchStr]]="IGNORE",0,SUM(CostRemaining[[#This Row],[1]:[12]]))</f>
        <v>0</v>
      </c>
    </row>
    <row r="101" spans="1:18">
      <c r="A101" s="47" t="s">
        <v>85</v>
      </c>
      <c r="B101" s="103" t="str">
        <f>VLOOKUP(CostRemaining[[#This Row],[Cost]],Upgrades[],2,FALSE)</f>
        <v>Upgrade</v>
      </c>
      <c r="C101" s="103" t="str">
        <f>VLOOKUP(CostRemaining[[#This Row],[Cost]],Upgrades[],3,FALSE)</f>
        <v>Elixir</v>
      </c>
      <c r="D101" s="104" t="str">
        <f>IF((IFERROR(MATCH(CostRemaining[[#This Row],[Cost]],$O$16:$S$16,0),0)+IFERROR(MATCH(CostRemaining[[#This Row],[Cost]],$O$17:$S$17,0),0))&gt;0,"IGNORE",CostRemaining[Kind]&amp;"-"&amp;CostRemaining[Resource])</f>
        <v>Upgrade-Elixir</v>
      </c>
      <c r="E101" s="101" t="str">
        <f>IFERROR(VLOOKUP(CostRemaining[[#This Row],[Cost]],Upgrades[],MATCH("C"&amp;MATCH(TRUE,INDEX(CostRemaining[[#This Row],[1]:[12]]&lt;&gt;0,),0),Upgrades[#Headers],0),FALSE),"")</f>
        <v/>
      </c>
      <c r="F101" s="102">
        <f>IF(VALUE(CostRemaining[#Headers])&lt;=$F49,IFERROR(VLOOKUP(CostRemaining[[#This Row],[Cost]],Upgrades[],MATCH("C"&amp;CostRemaining[#Headers],Upgrades[#Headers],0),FALSE),0)*MAX(0,SUM($G49:G49)),0)</f>
        <v>0</v>
      </c>
      <c r="G101" s="102">
        <f>IF(VALUE(CostRemaining[#Headers])&lt;=$F49,IFERROR(VLOOKUP(CostRemaining[[#This Row],[Cost]],Upgrades[],MATCH("C"&amp;CostRemaining[#Headers],Upgrades[#Headers],0),FALSE),0)*MAX(0,SUM($G49:H49)),0)</f>
        <v>0</v>
      </c>
      <c r="H101" s="102">
        <f>IF(VALUE(CostRemaining[#Headers])&lt;=$F49,IFERROR(VLOOKUP(CostRemaining[[#This Row],[Cost]],Upgrades[],MATCH("C"&amp;CostRemaining[#Headers],Upgrades[#Headers],0),FALSE),0)*MAX(0,SUM($G49:I49)),0)</f>
        <v>0</v>
      </c>
      <c r="I101" s="102">
        <f>IF(VALUE(CostRemaining[#Headers])&lt;=$F49,IFERROR(VLOOKUP(CostRemaining[[#This Row],[Cost]],Upgrades[],MATCH("C"&amp;CostRemaining[#Headers],Upgrades[#Headers],0),FALSE),0)*MAX(0,SUM($G49:J49)),0)</f>
        <v>0</v>
      </c>
      <c r="J101" s="102">
        <f>IF(VALUE(CostRemaining[#Headers])&lt;=$F49,IFERROR(VLOOKUP(CostRemaining[[#This Row],[Cost]],Upgrades[],MATCH("C"&amp;CostRemaining[#Headers],Upgrades[#Headers],0),FALSE),0)*MAX(0,SUM($G49:K49)),0)</f>
        <v>0</v>
      </c>
      <c r="K101" s="102">
        <f>IF(VALUE(CostRemaining[#Headers])&lt;=$F49,IFERROR(VLOOKUP(CostRemaining[[#This Row],[Cost]],Upgrades[],MATCH("C"&amp;CostRemaining[#Headers],Upgrades[#Headers],0),FALSE),0)*MAX(0,SUM($G49:L49)),0)</f>
        <v>0</v>
      </c>
      <c r="L101" s="102">
        <f>IF(VALUE(CostRemaining[#Headers])&lt;=$F49,IFERROR(VLOOKUP(CostRemaining[[#This Row],[Cost]],Upgrades[],MATCH("C"&amp;CostRemaining[#Headers],Upgrades[#Headers],0),FALSE),0)*MAX(0,SUM($G49:M49)),0)</f>
        <v>0</v>
      </c>
      <c r="M101" s="102">
        <f>IF(VALUE(CostRemaining[#Headers])&lt;=$F49,IFERROR(VLOOKUP(CostRemaining[[#This Row],[Cost]],Upgrades[],MATCH("C"&amp;CostRemaining[#Headers],Upgrades[#Headers],0),FALSE),0)*MAX(0,SUM($G49:N49)),0)</f>
        <v>0</v>
      </c>
      <c r="N101" s="102">
        <f>IF(VALUE(CostRemaining[#Headers])&lt;=$F49,IFERROR(VLOOKUP(CostRemaining[[#This Row],[Cost]],Upgrades[],MATCH("C"&amp;CostRemaining[#Headers],Upgrades[#Headers],0),FALSE),0)*MAX(0,SUM($G49:O49)),0)</f>
        <v>0</v>
      </c>
      <c r="O101" s="102">
        <f>IF(VALUE(CostRemaining[#Headers])&lt;=$F49,IFERROR(VLOOKUP(CostRemaining[[#This Row],[Cost]],Upgrades[],MATCH("C"&amp;CostRemaining[#Headers],Upgrades[#Headers],0),FALSE),0)*MAX(0,SUM($G49:P49)),0)</f>
        <v>0</v>
      </c>
      <c r="P101" s="102">
        <f>IF(VALUE(CostRemaining[#Headers])&lt;=$F49,IFERROR(VLOOKUP(CostRemaining[[#This Row],[Cost]],Upgrades[],MATCH("C"&amp;CostRemaining[#Headers],Upgrades[#Headers],0),FALSE),0)*MAX(0,SUM($G49:Q49)),0)</f>
        <v>0</v>
      </c>
      <c r="Q101" s="102">
        <f>IF(VALUE(CostRemaining[#Headers])&lt;=$F49,IFERROR(VLOOKUP(CostRemaining[[#This Row],[Cost]],Upgrades[],MATCH("C"&amp;CostRemaining[#Headers],Upgrades[#Headers],0),FALSE),0)*MAX(0,SUM($G49:R49)),0)</f>
        <v>0</v>
      </c>
      <c r="R101" s="102">
        <f>IF(CostRemaining[[#This Row],[MatchStr]]="IGNORE",0,SUM(CostRemaining[[#This Row],[1]:[12]]))</f>
        <v>0</v>
      </c>
    </row>
    <row r="102" spans="1:18">
      <c r="A102" s="47" t="s">
        <v>86</v>
      </c>
      <c r="B102" s="103" t="str">
        <f>VLOOKUP(CostRemaining[[#This Row],[Cost]],Upgrades[],2,FALSE)</f>
        <v>Upgrade</v>
      </c>
      <c r="C102" s="103" t="str">
        <f>VLOOKUP(CostRemaining[[#This Row],[Cost]],Upgrades[],3,FALSE)</f>
        <v>Elixir</v>
      </c>
      <c r="D102" s="104" t="str">
        <f>IF((IFERROR(MATCH(CostRemaining[[#This Row],[Cost]],$O$16:$S$16,0),0)+IFERROR(MATCH(CostRemaining[[#This Row],[Cost]],$O$17:$S$17,0),0))&gt;0,"IGNORE",CostRemaining[Kind]&amp;"-"&amp;CostRemaining[Resource])</f>
        <v>Upgrade-Elixir</v>
      </c>
      <c r="E102" s="101">
        <f>IFERROR(VLOOKUP(CostRemaining[[#This Row],[Cost]],Upgrades[],MATCH("C"&amp;MATCH(TRUE,INDEX(CostRemaining[[#This Row],[1]:[12]]&lt;&gt;0,),0),Upgrades[#Headers],0),FALSE),"")</f>
        <v>750000</v>
      </c>
      <c r="F102" s="102">
        <f>IF(VALUE(CostRemaining[#Headers])&lt;=$F50,IFERROR(VLOOKUP(CostRemaining[[#This Row],[Cost]],Upgrades[],MATCH("C"&amp;CostRemaining[#Headers],Upgrades[#Headers],0),FALSE),0)*MAX(0,SUM($G50:G50)),0)</f>
        <v>0</v>
      </c>
      <c r="G102" s="102">
        <f>IF(VALUE(CostRemaining[#Headers])&lt;=$F50,IFERROR(VLOOKUP(CostRemaining[[#This Row],[Cost]],Upgrades[],MATCH("C"&amp;CostRemaining[#Headers],Upgrades[#Headers],0),FALSE),0)*MAX(0,SUM($G50:H50)),0)</f>
        <v>0</v>
      </c>
      <c r="H102" s="102">
        <f>IF(VALUE(CostRemaining[#Headers])&lt;=$F50,IFERROR(VLOOKUP(CostRemaining[[#This Row],[Cost]],Upgrades[],MATCH("C"&amp;CostRemaining[#Headers],Upgrades[#Headers],0),FALSE),0)*MAX(0,SUM($G50:I50)),0)</f>
        <v>0</v>
      </c>
      <c r="I102" s="102">
        <f>IF(VALUE(CostRemaining[#Headers])&lt;=$F50,IFERROR(VLOOKUP(CostRemaining[[#This Row],[Cost]],Upgrades[],MATCH("C"&amp;CostRemaining[#Headers],Upgrades[#Headers],0),FALSE),0)*MAX(0,SUM($G50:J50)),0)</f>
        <v>750000</v>
      </c>
      <c r="J102" s="102">
        <f>IF(VALUE(CostRemaining[#Headers])&lt;=$F50,IFERROR(VLOOKUP(CostRemaining[[#This Row],[Cost]],Upgrades[],MATCH("C"&amp;CostRemaining[#Headers],Upgrades[#Headers],0),FALSE),0)*MAX(0,SUM($G50:K50)),0)</f>
        <v>0</v>
      </c>
      <c r="K102" s="102">
        <f>IF(VALUE(CostRemaining[#Headers])&lt;=$F50,IFERROR(VLOOKUP(CostRemaining[[#This Row],[Cost]],Upgrades[],MATCH("C"&amp;CostRemaining[#Headers],Upgrades[#Headers],0),FALSE),0)*MAX(0,SUM($G50:L50)),0)</f>
        <v>0</v>
      </c>
      <c r="L102" s="102">
        <f>IF(VALUE(CostRemaining[#Headers])&lt;=$F50,IFERROR(VLOOKUP(CostRemaining[[#This Row],[Cost]],Upgrades[],MATCH("C"&amp;CostRemaining[#Headers],Upgrades[#Headers],0),FALSE),0)*MAX(0,SUM($G50:M50)),0)</f>
        <v>0</v>
      </c>
      <c r="M102" s="102">
        <f>IF(VALUE(CostRemaining[#Headers])&lt;=$F50,IFERROR(VLOOKUP(CostRemaining[[#This Row],[Cost]],Upgrades[],MATCH("C"&amp;CostRemaining[#Headers],Upgrades[#Headers],0),FALSE),0)*MAX(0,SUM($G50:N50)),0)</f>
        <v>0</v>
      </c>
      <c r="N102" s="102">
        <f>IF(VALUE(CostRemaining[#Headers])&lt;=$F50,IFERROR(VLOOKUP(CostRemaining[[#This Row],[Cost]],Upgrades[],MATCH("C"&amp;CostRemaining[#Headers],Upgrades[#Headers],0),FALSE),0)*MAX(0,SUM($G50:O50)),0)</f>
        <v>0</v>
      </c>
      <c r="O102" s="102">
        <f>IF(VALUE(CostRemaining[#Headers])&lt;=$F50,IFERROR(VLOOKUP(CostRemaining[[#This Row],[Cost]],Upgrades[],MATCH("C"&amp;CostRemaining[#Headers],Upgrades[#Headers],0),FALSE),0)*MAX(0,SUM($G50:P50)),0)</f>
        <v>0</v>
      </c>
      <c r="P102" s="102">
        <f>IF(VALUE(CostRemaining[#Headers])&lt;=$F50,IFERROR(VLOOKUP(CostRemaining[[#This Row],[Cost]],Upgrades[],MATCH("C"&amp;CostRemaining[#Headers],Upgrades[#Headers],0),FALSE),0)*MAX(0,SUM($G50:Q50)),0)</f>
        <v>0</v>
      </c>
      <c r="Q102" s="102">
        <f>IF(VALUE(CostRemaining[#Headers])&lt;=$F50,IFERROR(VLOOKUP(CostRemaining[[#This Row],[Cost]],Upgrades[],MATCH("C"&amp;CostRemaining[#Headers],Upgrades[#Headers],0),FALSE),0)*MAX(0,SUM($G50:R50)),0)</f>
        <v>0</v>
      </c>
      <c r="R102" s="102">
        <f>IF(CostRemaining[[#This Row],[MatchStr]]="IGNORE",0,SUM(CostRemaining[[#This Row],[1]:[12]]))</f>
        <v>750000</v>
      </c>
    </row>
    <row r="103" spans="1:18">
      <c r="A103" s="47" t="s">
        <v>87</v>
      </c>
      <c r="B103" s="103" t="str">
        <f>VLOOKUP(CostRemaining[[#This Row],[Cost]],Upgrades[],2,FALSE)</f>
        <v>Upgrade</v>
      </c>
      <c r="C103" s="103" t="str">
        <f>VLOOKUP(CostRemaining[[#This Row],[Cost]],Upgrades[],3,FALSE)</f>
        <v>Elixir</v>
      </c>
      <c r="D103" s="104" t="str">
        <f>IF((IFERROR(MATCH(CostRemaining[[#This Row],[Cost]],$O$16:$S$16,0),0)+IFERROR(MATCH(CostRemaining[[#This Row],[Cost]],$O$17:$S$17,0),0))&gt;0,"IGNORE",CostRemaining[Kind]&amp;"-"&amp;CostRemaining[Resource])</f>
        <v>Upgrade-Elixir</v>
      </c>
      <c r="E103" s="101" t="str">
        <f>IFERROR(VLOOKUP(CostRemaining[[#This Row],[Cost]],Upgrades[],MATCH("C"&amp;MATCH(TRUE,INDEX(CostRemaining[[#This Row],[1]:[12]]&lt;&gt;0,),0),Upgrades[#Headers],0),FALSE),"")</f>
        <v/>
      </c>
      <c r="F103" s="102">
        <f>IF(VALUE(CostRemaining[#Headers])&lt;=$F51,IFERROR(VLOOKUP(CostRemaining[[#This Row],[Cost]],Upgrades[],MATCH("C"&amp;CostRemaining[#Headers],Upgrades[#Headers],0),FALSE),0)*MAX(0,SUM($G51:G51)),0)</f>
        <v>0</v>
      </c>
      <c r="G103" s="102">
        <f>IF(VALUE(CostRemaining[#Headers])&lt;=$F51,IFERROR(VLOOKUP(CostRemaining[[#This Row],[Cost]],Upgrades[],MATCH("C"&amp;CostRemaining[#Headers],Upgrades[#Headers],0),FALSE),0)*MAX(0,SUM($G51:H51)),0)</f>
        <v>0</v>
      </c>
      <c r="H103" s="102">
        <f>IF(VALUE(CostRemaining[#Headers])&lt;=$F51,IFERROR(VLOOKUP(CostRemaining[[#This Row],[Cost]],Upgrades[],MATCH("C"&amp;CostRemaining[#Headers],Upgrades[#Headers],0),FALSE),0)*MAX(0,SUM($G51:I51)),0)</f>
        <v>0</v>
      </c>
      <c r="I103" s="102">
        <f>IF(VALUE(CostRemaining[#Headers])&lt;=$F51,IFERROR(VLOOKUP(CostRemaining[[#This Row],[Cost]],Upgrades[],MATCH("C"&amp;CostRemaining[#Headers],Upgrades[#Headers],0),FALSE),0)*MAX(0,SUM($G51:J51)),0)</f>
        <v>0</v>
      </c>
      <c r="J103" s="102">
        <f>IF(VALUE(CostRemaining[#Headers])&lt;=$F51,IFERROR(VLOOKUP(CostRemaining[[#This Row],[Cost]],Upgrades[],MATCH("C"&amp;CostRemaining[#Headers],Upgrades[#Headers],0),FALSE),0)*MAX(0,SUM($G51:K51)),0)</f>
        <v>0</v>
      </c>
      <c r="K103" s="102">
        <f>IF(VALUE(CostRemaining[#Headers])&lt;=$F51,IFERROR(VLOOKUP(CostRemaining[[#This Row],[Cost]],Upgrades[],MATCH("C"&amp;CostRemaining[#Headers],Upgrades[#Headers],0),FALSE),0)*MAX(0,SUM($G51:L51)),0)</f>
        <v>0</v>
      </c>
      <c r="L103" s="102">
        <f>IF(VALUE(CostRemaining[#Headers])&lt;=$F51,IFERROR(VLOOKUP(CostRemaining[[#This Row],[Cost]],Upgrades[],MATCH("C"&amp;CostRemaining[#Headers],Upgrades[#Headers],0),FALSE),0)*MAX(0,SUM($G51:M51)),0)</f>
        <v>0</v>
      </c>
      <c r="M103" s="102">
        <f>IF(VALUE(CostRemaining[#Headers])&lt;=$F51,IFERROR(VLOOKUP(CostRemaining[[#This Row],[Cost]],Upgrades[],MATCH("C"&amp;CostRemaining[#Headers],Upgrades[#Headers],0),FALSE),0)*MAX(0,SUM($G51:N51)),0)</f>
        <v>0</v>
      </c>
      <c r="N103" s="102">
        <f>IF(VALUE(CostRemaining[#Headers])&lt;=$F51,IFERROR(VLOOKUP(CostRemaining[[#This Row],[Cost]],Upgrades[],MATCH("C"&amp;CostRemaining[#Headers],Upgrades[#Headers],0),FALSE),0)*MAX(0,SUM($G51:O51)),0)</f>
        <v>0</v>
      </c>
      <c r="O103" s="102">
        <f>IF(VALUE(CostRemaining[#Headers])&lt;=$F51,IFERROR(VLOOKUP(CostRemaining[[#This Row],[Cost]],Upgrades[],MATCH("C"&amp;CostRemaining[#Headers],Upgrades[#Headers],0),FALSE),0)*MAX(0,SUM($G51:P51)),0)</f>
        <v>0</v>
      </c>
      <c r="P103" s="102">
        <f>IF(VALUE(CostRemaining[#Headers])&lt;=$F51,IFERROR(VLOOKUP(CostRemaining[[#This Row],[Cost]],Upgrades[],MATCH("C"&amp;CostRemaining[#Headers],Upgrades[#Headers],0),FALSE),0)*MAX(0,SUM($G51:Q51)),0)</f>
        <v>0</v>
      </c>
      <c r="Q103" s="102">
        <f>IF(VALUE(CostRemaining[#Headers])&lt;=$F51,IFERROR(VLOOKUP(CostRemaining[[#This Row],[Cost]],Upgrades[],MATCH("C"&amp;CostRemaining[#Headers],Upgrades[#Headers],0),FALSE),0)*MAX(0,SUM($G51:R51)),0)</f>
        <v>0</v>
      </c>
      <c r="R103" s="102">
        <f>IF(CostRemaining[[#This Row],[MatchStr]]="IGNORE",0,SUM(CostRemaining[[#This Row],[1]:[12]]))</f>
        <v>0</v>
      </c>
    </row>
    <row r="104" spans="1:18">
      <c r="A104" s="47" t="s">
        <v>88</v>
      </c>
      <c r="B104" s="103" t="str">
        <f>VLOOKUP(CostRemaining[[#This Row],[Cost]],Upgrades[],2,FALSE)</f>
        <v>Upgrade</v>
      </c>
      <c r="C104" s="103" t="str">
        <f>VLOOKUP(CostRemaining[[#This Row],[Cost]],Upgrades[],3,FALSE)</f>
        <v>Elixir</v>
      </c>
      <c r="D104" s="104" t="str">
        <f>IF((IFERROR(MATCH(CostRemaining[[#This Row],[Cost]],$O$16:$S$16,0),0)+IFERROR(MATCH(CostRemaining[[#This Row],[Cost]],$O$17:$S$17,0),0))&gt;0,"IGNORE",CostRemaining[Kind]&amp;"-"&amp;CostRemaining[Resource])</f>
        <v>Upgrade-Elixir</v>
      </c>
      <c r="E104" s="101">
        <f>IFERROR(VLOOKUP(CostRemaining[[#This Row],[Cost]],Upgrades[],MATCH("C"&amp;MATCH(TRUE,INDEX(CostRemaining[[#This Row],[1]:[12]]&lt;&gt;0,),0),Upgrades[#Headers],0),FALSE),"")</f>
        <v>750000</v>
      </c>
      <c r="F104" s="102">
        <f>IF(VALUE(CostRemaining[#Headers])&lt;=$F52,IFERROR(VLOOKUP(CostRemaining[[#This Row],[Cost]],Upgrades[],MATCH("C"&amp;CostRemaining[#Headers],Upgrades[#Headers],0),FALSE),0)*MAX(0,SUM($G52:G52)),0)</f>
        <v>0</v>
      </c>
      <c r="G104" s="102">
        <f>IF(VALUE(CostRemaining[#Headers])&lt;=$F52,IFERROR(VLOOKUP(CostRemaining[[#This Row],[Cost]],Upgrades[],MATCH("C"&amp;CostRemaining[#Headers],Upgrades[#Headers],0),FALSE),0)*MAX(0,SUM($G52:H52)),0)</f>
        <v>0</v>
      </c>
      <c r="H104" s="102">
        <f>IF(VALUE(CostRemaining[#Headers])&lt;=$F52,IFERROR(VLOOKUP(CostRemaining[[#This Row],[Cost]],Upgrades[],MATCH("C"&amp;CostRemaining[#Headers],Upgrades[#Headers],0),FALSE),0)*MAX(0,SUM($G52:I52)),0)</f>
        <v>0</v>
      </c>
      <c r="I104" s="102">
        <f>IF(VALUE(CostRemaining[#Headers])&lt;=$F52,IFERROR(VLOOKUP(CostRemaining[[#This Row],[Cost]],Upgrades[],MATCH("C"&amp;CostRemaining[#Headers],Upgrades[#Headers],0),FALSE),0)*MAX(0,SUM($G52:J52)),0)</f>
        <v>750000</v>
      </c>
      <c r="J104" s="102">
        <f>IF(VALUE(CostRemaining[#Headers])&lt;=$F52,IFERROR(VLOOKUP(CostRemaining[[#This Row],[Cost]],Upgrades[],MATCH("C"&amp;CostRemaining[#Headers],Upgrades[#Headers],0),FALSE),0)*MAX(0,SUM($G52:K52)),0)</f>
        <v>0</v>
      </c>
      <c r="K104" s="102">
        <f>IF(VALUE(CostRemaining[#Headers])&lt;=$F52,IFERROR(VLOOKUP(CostRemaining[[#This Row],[Cost]],Upgrades[],MATCH("C"&amp;CostRemaining[#Headers],Upgrades[#Headers],0),FALSE),0)*MAX(0,SUM($G52:L52)),0)</f>
        <v>0</v>
      </c>
      <c r="L104" s="102">
        <f>IF(VALUE(CostRemaining[#Headers])&lt;=$F52,IFERROR(VLOOKUP(CostRemaining[[#This Row],[Cost]],Upgrades[],MATCH("C"&amp;CostRemaining[#Headers],Upgrades[#Headers],0),FALSE),0)*MAX(0,SUM($G52:M52)),0)</f>
        <v>0</v>
      </c>
      <c r="M104" s="102">
        <f>IF(VALUE(CostRemaining[#Headers])&lt;=$F52,IFERROR(VLOOKUP(CostRemaining[[#This Row],[Cost]],Upgrades[],MATCH("C"&amp;CostRemaining[#Headers],Upgrades[#Headers],0),FALSE),0)*MAX(0,SUM($G52:N52)),0)</f>
        <v>0</v>
      </c>
      <c r="N104" s="102">
        <f>IF(VALUE(CostRemaining[#Headers])&lt;=$F52,IFERROR(VLOOKUP(CostRemaining[[#This Row],[Cost]],Upgrades[],MATCH("C"&amp;CostRemaining[#Headers],Upgrades[#Headers],0),FALSE),0)*MAX(0,SUM($G52:O52)),0)</f>
        <v>0</v>
      </c>
      <c r="O104" s="102">
        <f>IF(VALUE(CostRemaining[#Headers])&lt;=$F52,IFERROR(VLOOKUP(CostRemaining[[#This Row],[Cost]],Upgrades[],MATCH("C"&amp;CostRemaining[#Headers],Upgrades[#Headers],0),FALSE),0)*MAX(0,SUM($G52:P52)),0)</f>
        <v>0</v>
      </c>
      <c r="P104" s="102">
        <f>IF(VALUE(CostRemaining[#Headers])&lt;=$F52,IFERROR(VLOOKUP(CostRemaining[[#This Row],[Cost]],Upgrades[],MATCH("C"&amp;CostRemaining[#Headers],Upgrades[#Headers],0),FALSE),0)*MAX(0,SUM($G52:Q52)),0)</f>
        <v>0</v>
      </c>
      <c r="Q104" s="102">
        <f>IF(VALUE(CostRemaining[#Headers])&lt;=$F52,IFERROR(VLOOKUP(CostRemaining[[#This Row],[Cost]],Upgrades[],MATCH("C"&amp;CostRemaining[#Headers],Upgrades[#Headers],0),FALSE),0)*MAX(0,SUM($G52:R52)),0)</f>
        <v>0</v>
      </c>
      <c r="R104" s="102">
        <f>IF(CostRemaining[[#This Row],[MatchStr]]="IGNORE",0,SUM(CostRemaining[[#This Row],[1]:[12]]))</f>
        <v>750000</v>
      </c>
    </row>
    <row r="105" spans="1:18">
      <c r="A105" s="47" t="s">
        <v>89</v>
      </c>
      <c r="B105" s="103" t="str">
        <f>VLOOKUP(CostRemaining[[#This Row],[Cost]],Upgrades[],2,FALSE)</f>
        <v>Upgrade</v>
      </c>
      <c r="C105" s="103" t="str">
        <f>VLOOKUP(CostRemaining[[#This Row],[Cost]],Upgrades[],3,FALSE)</f>
        <v>Elixir</v>
      </c>
      <c r="D105" s="104" t="str">
        <f>IF((IFERROR(MATCH(CostRemaining[[#This Row],[Cost]],$O$16:$S$16,0),0)+IFERROR(MATCH(CostRemaining[[#This Row],[Cost]],$O$17:$S$17,0),0))&gt;0,"IGNORE",CostRemaining[Kind]&amp;"-"&amp;CostRemaining[Resource])</f>
        <v>IGNORE</v>
      </c>
      <c r="E105" s="101">
        <f>IFERROR(VLOOKUP(CostRemaining[[#This Row],[Cost]],Upgrades[],MATCH("C"&amp;MATCH(TRUE,INDEX(CostRemaining[[#This Row],[1]:[12]]&lt;&gt;0,),0),Upgrades[#Headers],0),FALSE),"")</f>
        <v>450000</v>
      </c>
      <c r="F105" s="102">
        <f>IF(VALUE(CostRemaining[#Headers])&lt;=$F53,IFERROR(VLOOKUP(CostRemaining[[#This Row],[Cost]],Upgrades[],MATCH("C"&amp;CostRemaining[#Headers],Upgrades[#Headers],0),FALSE),0)*MAX(0,SUM($G53:G53)),0)</f>
        <v>0</v>
      </c>
      <c r="G105" s="102">
        <f>IF(VALUE(CostRemaining[#Headers])&lt;=$F53,IFERROR(VLOOKUP(CostRemaining[[#This Row],[Cost]],Upgrades[],MATCH("C"&amp;CostRemaining[#Headers],Upgrades[#Headers],0),FALSE),0)*MAX(0,SUM($G53:H53)),0)</f>
        <v>0</v>
      </c>
      <c r="H105" s="102">
        <f>IF(VALUE(CostRemaining[#Headers])&lt;=$F53,IFERROR(VLOOKUP(CostRemaining[[#This Row],[Cost]],Upgrades[],MATCH("C"&amp;CostRemaining[#Headers],Upgrades[#Headers],0),FALSE),0)*MAX(0,SUM($G53:I53)),0)</f>
        <v>450000</v>
      </c>
      <c r="I105" s="102">
        <f>IF(VALUE(CostRemaining[#Headers])&lt;=$F53,IFERROR(VLOOKUP(CostRemaining[[#This Row],[Cost]],Upgrades[],MATCH("C"&amp;CostRemaining[#Headers],Upgrades[#Headers],0),FALSE),0)*MAX(0,SUM($G53:J53)),0)</f>
        <v>1350000</v>
      </c>
      <c r="J105" s="102">
        <f>IF(VALUE(CostRemaining[#Headers])&lt;=$F53,IFERROR(VLOOKUP(CostRemaining[[#This Row],[Cost]],Upgrades[],MATCH("C"&amp;CostRemaining[#Headers],Upgrades[#Headers],0),FALSE),0)*MAX(0,SUM($G53:K53)),0)</f>
        <v>0</v>
      </c>
      <c r="K105" s="102">
        <f>IF(VALUE(CostRemaining[#Headers])&lt;=$F53,IFERROR(VLOOKUP(CostRemaining[[#This Row],[Cost]],Upgrades[],MATCH("C"&amp;CostRemaining[#Headers],Upgrades[#Headers],0),FALSE),0)*MAX(0,SUM($G53:L53)),0)</f>
        <v>0</v>
      </c>
      <c r="L105" s="102">
        <f>IF(VALUE(CostRemaining[#Headers])&lt;=$F53,IFERROR(VLOOKUP(CostRemaining[[#This Row],[Cost]],Upgrades[],MATCH("C"&amp;CostRemaining[#Headers],Upgrades[#Headers],0),FALSE),0)*MAX(0,SUM($G53:M53)),0)</f>
        <v>0</v>
      </c>
      <c r="M105" s="102">
        <f>IF(VALUE(CostRemaining[#Headers])&lt;=$F53,IFERROR(VLOOKUP(CostRemaining[[#This Row],[Cost]],Upgrades[],MATCH("C"&amp;CostRemaining[#Headers],Upgrades[#Headers],0),FALSE),0)*MAX(0,SUM($G53:N53)),0)</f>
        <v>0</v>
      </c>
      <c r="N105" s="102">
        <f>IF(VALUE(CostRemaining[#Headers])&lt;=$F53,IFERROR(VLOOKUP(CostRemaining[[#This Row],[Cost]],Upgrades[],MATCH("C"&amp;CostRemaining[#Headers],Upgrades[#Headers],0),FALSE),0)*MAX(0,SUM($G53:O53)),0)</f>
        <v>0</v>
      </c>
      <c r="O105" s="102">
        <f>IF(VALUE(CostRemaining[#Headers])&lt;=$F53,IFERROR(VLOOKUP(CostRemaining[[#This Row],[Cost]],Upgrades[],MATCH("C"&amp;CostRemaining[#Headers],Upgrades[#Headers],0),FALSE),0)*MAX(0,SUM($G53:P53)),0)</f>
        <v>0</v>
      </c>
      <c r="P105" s="102">
        <f>IF(VALUE(CostRemaining[#Headers])&lt;=$F53,IFERROR(VLOOKUP(CostRemaining[[#This Row],[Cost]],Upgrades[],MATCH("C"&amp;CostRemaining[#Headers],Upgrades[#Headers],0),FALSE),0)*MAX(0,SUM($G53:Q53)),0)</f>
        <v>0</v>
      </c>
      <c r="Q105" s="102">
        <f>IF(VALUE(CostRemaining[#Headers])&lt;=$F53,IFERROR(VLOOKUP(CostRemaining[[#This Row],[Cost]],Upgrades[],MATCH("C"&amp;CostRemaining[#Headers],Upgrades[#Headers],0),FALSE),0)*MAX(0,SUM($G53:R53)),0)</f>
        <v>0</v>
      </c>
      <c r="R105" s="102">
        <f>IF(CostRemaining[[#This Row],[MatchStr]]="IGNORE",0,SUM(CostRemaining[[#This Row],[1]:[12]]))</f>
        <v>0</v>
      </c>
    </row>
    <row r="106" spans="1:18">
      <c r="A106" s="47" t="s">
        <v>90</v>
      </c>
      <c r="B106" s="103" t="str">
        <f>VLOOKUP(CostRemaining[[#This Row],[Cost]],Upgrades[],2,FALSE)</f>
        <v>Upgrade</v>
      </c>
      <c r="C106" s="103" t="str">
        <f>VLOOKUP(CostRemaining[[#This Row],[Cost]],Upgrades[],3,FALSE)</f>
        <v>Elixir</v>
      </c>
      <c r="D106" s="104" t="str">
        <f>IF((IFERROR(MATCH(CostRemaining[[#This Row],[Cost]],$O$16:$S$16,0),0)+IFERROR(MATCH(CostRemaining[[#This Row],[Cost]],$O$17:$S$17,0),0))&gt;0,"IGNORE",CostRemaining[Kind]&amp;"-"&amp;CostRemaining[Resource])</f>
        <v>Upgrade-Elixir</v>
      </c>
      <c r="E106" s="101">
        <f>IFERROR(VLOOKUP(CostRemaining[[#This Row],[Cost]],Upgrades[],MATCH("C"&amp;MATCH(TRUE,INDEX(CostRemaining[[#This Row],[1]:[12]]&lt;&gt;0,),0),Upgrades[#Headers],0),FALSE),"")</f>
        <v>1350000</v>
      </c>
      <c r="F106" s="102">
        <f>IF(VALUE(CostRemaining[#Headers])&lt;=$F54,IFERROR(VLOOKUP(CostRemaining[[#This Row],[Cost]],Upgrades[],MATCH("C"&amp;CostRemaining[#Headers],Upgrades[#Headers],0),FALSE),0)*MAX(0,SUM($G54:G54)),0)</f>
        <v>0</v>
      </c>
      <c r="G106" s="102">
        <f>IF(VALUE(CostRemaining[#Headers])&lt;=$F54,IFERROR(VLOOKUP(CostRemaining[[#This Row],[Cost]],Upgrades[],MATCH("C"&amp;CostRemaining[#Headers],Upgrades[#Headers],0),FALSE),0)*MAX(0,SUM($G54:H54)),0)</f>
        <v>0</v>
      </c>
      <c r="H106" s="102">
        <f>IF(VALUE(CostRemaining[#Headers])&lt;=$F54,IFERROR(VLOOKUP(CostRemaining[[#This Row],[Cost]],Upgrades[],MATCH("C"&amp;CostRemaining[#Headers],Upgrades[#Headers],0),FALSE),0)*MAX(0,SUM($G54:I54)),0)</f>
        <v>0</v>
      </c>
      <c r="I106" s="102">
        <f>IF(VALUE(CostRemaining[#Headers])&lt;=$F54,IFERROR(VLOOKUP(CostRemaining[[#This Row],[Cost]],Upgrades[],MATCH("C"&amp;CostRemaining[#Headers],Upgrades[#Headers],0),FALSE),0)*MAX(0,SUM($G54:J54)),0)</f>
        <v>1350000</v>
      </c>
      <c r="J106" s="102">
        <f>IF(VALUE(CostRemaining[#Headers])&lt;=$F54,IFERROR(VLOOKUP(CostRemaining[[#This Row],[Cost]],Upgrades[],MATCH("C"&amp;CostRemaining[#Headers],Upgrades[#Headers],0),FALSE),0)*MAX(0,SUM($G54:K54)),0)</f>
        <v>0</v>
      </c>
      <c r="K106" s="102">
        <f>IF(VALUE(CostRemaining[#Headers])&lt;=$F54,IFERROR(VLOOKUP(CostRemaining[[#This Row],[Cost]],Upgrades[],MATCH("C"&amp;CostRemaining[#Headers],Upgrades[#Headers],0),FALSE),0)*MAX(0,SUM($G54:L54)),0)</f>
        <v>0</v>
      </c>
      <c r="L106" s="102">
        <f>IF(VALUE(CostRemaining[#Headers])&lt;=$F54,IFERROR(VLOOKUP(CostRemaining[[#This Row],[Cost]],Upgrades[],MATCH("C"&amp;CostRemaining[#Headers],Upgrades[#Headers],0),FALSE),0)*MAX(0,SUM($G54:M54)),0)</f>
        <v>0</v>
      </c>
      <c r="M106" s="102">
        <f>IF(VALUE(CostRemaining[#Headers])&lt;=$F54,IFERROR(VLOOKUP(CostRemaining[[#This Row],[Cost]],Upgrades[],MATCH("C"&amp;CostRemaining[#Headers],Upgrades[#Headers],0),FALSE),0)*MAX(0,SUM($G54:N54)),0)</f>
        <v>0</v>
      </c>
      <c r="N106" s="102">
        <f>IF(VALUE(CostRemaining[#Headers])&lt;=$F54,IFERROR(VLOOKUP(CostRemaining[[#This Row],[Cost]],Upgrades[],MATCH("C"&amp;CostRemaining[#Headers],Upgrades[#Headers],0),FALSE),0)*MAX(0,SUM($G54:O54)),0)</f>
        <v>0</v>
      </c>
      <c r="O106" s="102">
        <f>IF(VALUE(CostRemaining[#Headers])&lt;=$F54,IFERROR(VLOOKUP(CostRemaining[[#This Row],[Cost]],Upgrades[],MATCH("C"&amp;CostRemaining[#Headers],Upgrades[#Headers],0),FALSE),0)*MAX(0,SUM($G54:P54)),0)</f>
        <v>0</v>
      </c>
      <c r="P106" s="102">
        <f>IF(VALUE(CostRemaining[#Headers])&lt;=$F54,IFERROR(VLOOKUP(CostRemaining[[#This Row],[Cost]],Upgrades[],MATCH("C"&amp;CostRemaining[#Headers],Upgrades[#Headers],0),FALSE),0)*MAX(0,SUM($G54:Q54)),0)</f>
        <v>0</v>
      </c>
      <c r="Q106" s="102">
        <f>IF(VALUE(CostRemaining[#Headers])&lt;=$F54,IFERROR(VLOOKUP(CostRemaining[[#This Row],[Cost]],Upgrades[],MATCH("C"&amp;CostRemaining[#Headers],Upgrades[#Headers],0),FALSE),0)*MAX(0,SUM($G54:R54)),0)</f>
        <v>0</v>
      </c>
      <c r="R106" s="102">
        <f>IF(CostRemaining[[#This Row],[MatchStr]]="IGNORE",0,SUM(CostRemaining[[#This Row],[1]:[12]]))</f>
        <v>1350000</v>
      </c>
    </row>
    <row r="107" spans="1:18">
      <c r="A107" s="47" t="s">
        <v>91</v>
      </c>
      <c r="B107" s="103" t="str">
        <f>VLOOKUP(CostRemaining[[#This Row],[Cost]],Upgrades[],2,FALSE)</f>
        <v>Upgrade</v>
      </c>
      <c r="C107" s="103" t="str">
        <f>VLOOKUP(CostRemaining[[#This Row],[Cost]],Upgrades[],3,FALSE)</f>
        <v>Elixir</v>
      </c>
      <c r="D107" s="104" t="str">
        <f>IF((IFERROR(MATCH(CostRemaining[[#This Row],[Cost]],$O$16:$S$16,0),0)+IFERROR(MATCH(CostRemaining[[#This Row],[Cost]],$O$17:$S$17,0),0))&gt;0,"IGNORE",CostRemaining[Kind]&amp;"-"&amp;CostRemaining[Resource])</f>
        <v>Upgrade-Elixir</v>
      </c>
      <c r="E107" s="101" t="str">
        <f>IFERROR(VLOOKUP(CostRemaining[[#This Row],[Cost]],Upgrades[],MATCH("C"&amp;MATCH(TRUE,INDEX(CostRemaining[[#This Row],[1]:[12]]&lt;&gt;0,),0),Upgrades[#Headers],0),FALSE),"")</f>
        <v/>
      </c>
      <c r="F107" s="102">
        <f>IF(VALUE(CostRemaining[#Headers])&lt;=$F55,IFERROR(VLOOKUP(CostRemaining[[#This Row],[Cost]],Upgrades[],MATCH("C"&amp;CostRemaining[#Headers],Upgrades[#Headers],0),FALSE),0)*MAX(0,SUM($G55:G55)),0)</f>
        <v>0</v>
      </c>
      <c r="G107" s="102">
        <f>IF(VALUE(CostRemaining[#Headers])&lt;=$F55,IFERROR(VLOOKUP(CostRemaining[[#This Row],[Cost]],Upgrades[],MATCH("C"&amp;CostRemaining[#Headers],Upgrades[#Headers],0),FALSE),0)*MAX(0,SUM($G55:H55)),0)</f>
        <v>0</v>
      </c>
      <c r="H107" s="102">
        <f>IF(VALUE(CostRemaining[#Headers])&lt;=$F55,IFERROR(VLOOKUP(CostRemaining[[#This Row],[Cost]],Upgrades[],MATCH("C"&amp;CostRemaining[#Headers],Upgrades[#Headers],0),FALSE),0)*MAX(0,SUM($G55:I55)),0)</f>
        <v>0</v>
      </c>
      <c r="I107" s="102">
        <f>IF(VALUE(CostRemaining[#Headers])&lt;=$F55,IFERROR(VLOOKUP(CostRemaining[[#This Row],[Cost]],Upgrades[],MATCH("C"&amp;CostRemaining[#Headers],Upgrades[#Headers],0),FALSE),0)*MAX(0,SUM($G55:J55)),0)</f>
        <v>0</v>
      </c>
      <c r="J107" s="102">
        <f>IF(VALUE(CostRemaining[#Headers])&lt;=$F55,IFERROR(VLOOKUP(CostRemaining[[#This Row],[Cost]],Upgrades[],MATCH("C"&amp;CostRemaining[#Headers],Upgrades[#Headers],0),FALSE),0)*MAX(0,SUM($G55:K55)),0)</f>
        <v>0</v>
      </c>
      <c r="K107" s="102">
        <f>IF(VALUE(CostRemaining[#Headers])&lt;=$F55,IFERROR(VLOOKUP(CostRemaining[[#This Row],[Cost]],Upgrades[],MATCH("C"&amp;CostRemaining[#Headers],Upgrades[#Headers],0),FALSE),0)*MAX(0,SUM($G55:L55)),0)</f>
        <v>0</v>
      </c>
      <c r="L107" s="102">
        <f>IF(VALUE(CostRemaining[#Headers])&lt;=$F55,IFERROR(VLOOKUP(CostRemaining[[#This Row],[Cost]],Upgrades[],MATCH("C"&amp;CostRemaining[#Headers],Upgrades[#Headers],0),FALSE),0)*MAX(0,SUM($G55:M55)),0)</f>
        <v>0</v>
      </c>
      <c r="M107" s="102">
        <f>IF(VALUE(CostRemaining[#Headers])&lt;=$F55,IFERROR(VLOOKUP(CostRemaining[[#This Row],[Cost]],Upgrades[],MATCH("C"&amp;CostRemaining[#Headers],Upgrades[#Headers],0),FALSE),0)*MAX(0,SUM($G55:N55)),0)</f>
        <v>0</v>
      </c>
      <c r="N107" s="102">
        <f>IF(VALUE(CostRemaining[#Headers])&lt;=$F55,IFERROR(VLOOKUP(CostRemaining[[#This Row],[Cost]],Upgrades[],MATCH("C"&amp;CostRemaining[#Headers],Upgrades[#Headers],0),FALSE),0)*MAX(0,SUM($G55:O55)),0)</f>
        <v>0</v>
      </c>
      <c r="O107" s="102">
        <f>IF(VALUE(CostRemaining[#Headers])&lt;=$F55,IFERROR(VLOOKUP(CostRemaining[[#This Row],[Cost]],Upgrades[],MATCH("C"&amp;CostRemaining[#Headers],Upgrades[#Headers],0),FALSE),0)*MAX(0,SUM($G55:P55)),0)</f>
        <v>0</v>
      </c>
      <c r="P107" s="102">
        <f>IF(VALUE(CostRemaining[#Headers])&lt;=$F55,IFERROR(VLOOKUP(CostRemaining[[#This Row],[Cost]],Upgrades[],MATCH("C"&amp;CostRemaining[#Headers],Upgrades[#Headers],0),FALSE),0)*MAX(0,SUM($G55:Q55)),0)</f>
        <v>0</v>
      </c>
      <c r="Q107" s="102">
        <f>IF(VALUE(CostRemaining[#Headers])&lt;=$F55,IFERROR(VLOOKUP(CostRemaining[[#This Row],[Cost]],Upgrades[],MATCH("C"&amp;CostRemaining[#Headers],Upgrades[#Headers],0),FALSE),0)*MAX(0,SUM($G55:R55)),0)</f>
        <v>0</v>
      </c>
      <c r="R107" s="102">
        <f>IF(CostRemaining[[#This Row],[MatchStr]]="IGNORE",0,SUM(CostRemaining[[#This Row],[1]:[12]]))</f>
        <v>0</v>
      </c>
    </row>
    <row r="108" spans="1:18">
      <c r="A108" s="47" t="s">
        <v>92</v>
      </c>
      <c r="B108" s="103" t="str">
        <f>VLOOKUP(CostRemaining[[#This Row],[Cost]],Upgrades[],2,FALSE)</f>
        <v>Upgrade</v>
      </c>
      <c r="C108" s="103" t="str">
        <f>VLOOKUP(CostRemaining[[#This Row],[Cost]],Upgrades[],3,FALSE)</f>
        <v>Elixir</v>
      </c>
      <c r="D108" s="104" t="str">
        <f>IF((IFERROR(MATCH(CostRemaining[[#This Row],[Cost]],$O$16:$S$16,0),0)+IFERROR(MATCH(CostRemaining[[#This Row],[Cost]],$O$17:$S$17,0),0))&gt;0,"IGNORE",CostRemaining[Kind]&amp;"-"&amp;CostRemaining[Resource])</f>
        <v>Upgrade-Elixir</v>
      </c>
      <c r="E108" s="101">
        <f>IFERROR(VLOOKUP(CostRemaining[[#This Row],[Cost]],Upgrades[],MATCH("C"&amp;MATCH(TRUE,INDEX(CostRemaining[[#This Row],[1]:[12]]&lt;&gt;0,),0),Upgrades[#Headers],0),FALSE),"")</f>
        <v>2000000</v>
      </c>
      <c r="F108" s="102">
        <f>IF(VALUE(CostRemaining[#Headers])&lt;=$F56,IFERROR(VLOOKUP(CostRemaining[[#This Row],[Cost]],Upgrades[],MATCH("C"&amp;CostRemaining[#Headers],Upgrades[#Headers],0),FALSE),0)*MAX(0,SUM($G56:G56)),0)</f>
        <v>0</v>
      </c>
      <c r="G108" s="102">
        <f>IF(VALUE(CostRemaining[#Headers])&lt;=$F56,IFERROR(VLOOKUP(CostRemaining[[#This Row],[Cost]],Upgrades[],MATCH("C"&amp;CostRemaining[#Headers],Upgrades[#Headers],0),FALSE),0)*MAX(0,SUM($G56:H56)),0)</f>
        <v>2000000</v>
      </c>
      <c r="H108" s="102">
        <f>IF(VALUE(CostRemaining[#Headers])&lt;=$F56,IFERROR(VLOOKUP(CostRemaining[[#This Row],[Cost]],Upgrades[],MATCH("C"&amp;CostRemaining[#Headers],Upgrades[#Headers],0),FALSE),0)*MAX(0,SUM($G56:I56)),0)</f>
        <v>0</v>
      </c>
      <c r="I108" s="102">
        <f>IF(VALUE(CostRemaining[#Headers])&lt;=$F56,IFERROR(VLOOKUP(CostRemaining[[#This Row],[Cost]],Upgrades[],MATCH("C"&amp;CostRemaining[#Headers],Upgrades[#Headers],0),FALSE),0)*MAX(0,SUM($G56:J56)),0)</f>
        <v>0</v>
      </c>
      <c r="J108" s="102">
        <f>IF(VALUE(CostRemaining[#Headers])&lt;=$F56,IFERROR(VLOOKUP(CostRemaining[[#This Row],[Cost]],Upgrades[],MATCH("C"&amp;CostRemaining[#Headers],Upgrades[#Headers],0),FALSE),0)*MAX(0,SUM($G56:K56)),0)</f>
        <v>0</v>
      </c>
      <c r="K108" s="102">
        <f>IF(VALUE(CostRemaining[#Headers])&lt;=$F56,IFERROR(VLOOKUP(CostRemaining[[#This Row],[Cost]],Upgrades[],MATCH("C"&amp;CostRemaining[#Headers],Upgrades[#Headers],0),FALSE),0)*MAX(0,SUM($G56:L56)),0)</f>
        <v>0</v>
      </c>
      <c r="L108" s="102">
        <f>IF(VALUE(CostRemaining[#Headers])&lt;=$F56,IFERROR(VLOOKUP(CostRemaining[[#This Row],[Cost]],Upgrades[],MATCH("C"&amp;CostRemaining[#Headers],Upgrades[#Headers],0),FALSE),0)*MAX(0,SUM($G56:M56)),0)</f>
        <v>0</v>
      </c>
      <c r="M108" s="102">
        <f>IF(VALUE(CostRemaining[#Headers])&lt;=$F56,IFERROR(VLOOKUP(CostRemaining[[#This Row],[Cost]],Upgrades[],MATCH("C"&amp;CostRemaining[#Headers],Upgrades[#Headers],0),FALSE),0)*MAX(0,SUM($G56:N56)),0)</f>
        <v>0</v>
      </c>
      <c r="N108" s="102">
        <f>IF(VALUE(CostRemaining[#Headers])&lt;=$F56,IFERROR(VLOOKUP(CostRemaining[[#This Row],[Cost]],Upgrades[],MATCH("C"&amp;CostRemaining[#Headers],Upgrades[#Headers],0),FALSE),0)*MAX(0,SUM($G56:O56)),0)</f>
        <v>0</v>
      </c>
      <c r="O108" s="102">
        <f>IF(VALUE(CostRemaining[#Headers])&lt;=$F56,IFERROR(VLOOKUP(CostRemaining[[#This Row],[Cost]],Upgrades[],MATCH("C"&amp;CostRemaining[#Headers],Upgrades[#Headers],0),FALSE),0)*MAX(0,SUM($G56:P56)),0)</f>
        <v>0</v>
      </c>
      <c r="P108" s="102">
        <f>IF(VALUE(CostRemaining[#Headers])&lt;=$F56,IFERROR(VLOOKUP(CostRemaining[[#This Row],[Cost]],Upgrades[],MATCH("C"&amp;CostRemaining[#Headers],Upgrades[#Headers],0),FALSE),0)*MAX(0,SUM($G56:Q56)),0)</f>
        <v>0</v>
      </c>
      <c r="Q108" s="102">
        <f>IF(VALUE(CostRemaining[#Headers])&lt;=$F56,IFERROR(VLOOKUP(CostRemaining[[#This Row],[Cost]],Upgrades[],MATCH("C"&amp;CostRemaining[#Headers],Upgrades[#Headers],0),FALSE),0)*MAX(0,SUM($G56:R56)),0)</f>
        <v>0</v>
      </c>
      <c r="R108" s="102">
        <f>IF(CostRemaining[[#This Row],[MatchStr]]="IGNORE",0,SUM(CostRemaining[[#This Row],[1]:[12]]))</f>
        <v>2000000</v>
      </c>
    </row>
    <row r="109" spans="1:18">
      <c r="A109" s="47" t="s">
        <v>93</v>
      </c>
      <c r="B109" s="103" t="str">
        <f>VLOOKUP(CostRemaining[[#This Row],[Cost]],Upgrades[],2,FALSE)</f>
        <v>Upgrade</v>
      </c>
      <c r="C109" s="103" t="str">
        <f>VLOOKUP(CostRemaining[[#This Row],[Cost]],Upgrades[],3,FALSE)</f>
        <v>Elixir</v>
      </c>
      <c r="D109" s="104" t="str">
        <f>IF((IFERROR(MATCH(CostRemaining[[#This Row],[Cost]],$O$16:$S$16,0),0)+IFERROR(MATCH(CostRemaining[[#This Row],[Cost]],$O$17:$S$17,0),0))&gt;0,"IGNORE",CostRemaining[Kind]&amp;"-"&amp;CostRemaining[Resource])</f>
        <v>Upgrade-Elixir</v>
      </c>
      <c r="E109" s="101" t="str">
        <f>IFERROR(VLOOKUP(CostRemaining[[#This Row],[Cost]],Upgrades[],MATCH("C"&amp;MATCH(TRUE,INDEX(CostRemaining[[#This Row],[1]:[12]]&lt;&gt;0,),0),Upgrades[#Headers],0),FALSE),"")</f>
        <v/>
      </c>
      <c r="F109" s="102">
        <f>IF(VALUE(CostRemaining[#Headers])&lt;=$F57,IFERROR(VLOOKUP(CostRemaining[[#This Row],[Cost]],Upgrades[],MATCH("C"&amp;CostRemaining[#Headers],Upgrades[#Headers],0),FALSE),0)*MAX(0,SUM($G57:G57)),0)</f>
        <v>0</v>
      </c>
      <c r="G109" s="102">
        <f>IF(VALUE(CostRemaining[#Headers])&lt;=$F57,IFERROR(VLOOKUP(CostRemaining[[#This Row],[Cost]],Upgrades[],MATCH("C"&amp;CostRemaining[#Headers],Upgrades[#Headers],0),FALSE),0)*MAX(0,SUM($G57:H57)),0)</f>
        <v>0</v>
      </c>
      <c r="H109" s="102">
        <f>IF(VALUE(CostRemaining[#Headers])&lt;=$F57,IFERROR(VLOOKUP(CostRemaining[[#This Row],[Cost]],Upgrades[],MATCH("C"&amp;CostRemaining[#Headers],Upgrades[#Headers],0),FALSE),0)*MAX(0,SUM($G57:I57)),0)</f>
        <v>0</v>
      </c>
      <c r="I109" s="102">
        <f>IF(VALUE(CostRemaining[#Headers])&lt;=$F57,IFERROR(VLOOKUP(CostRemaining[[#This Row],[Cost]],Upgrades[],MATCH("C"&amp;CostRemaining[#Headers],Upgrades[#Headers],0),FALSE),0)*MAX(0,SUM($G57:J57)),0)</f>
        <v>0</v>
      </c>
      <c r="J109" s="102">
        <f>IF(VALUE(CostRemaining[#Headers])&lt;=$F57,IFERROR(VLOOKUP(CostRemaining[[#This Row],[Cost]],Upgrades[],MATCH("C"&amp;CostRemaining[#Headers],Upgrades[#Headers],0),FALSE),0)*MAX(0,SUM($G57:K57)),0)</f>
        <v>0</v>
      </c>
      <c r="K109" s="102">
        <f>IF(VALUE(CostRemaining[#Headers])&lt;=$F57,IFERROR(VLOOKUP(CostRemaining[[#This Row],[Cost]],Upgrades[],MATCH("C"&amp;CostRemaining[#Headers],Upgrades[#Headers],0),FALSE),0)*MAX(0,SUM($G57:L57)),0)</f>
        <v>0</v>
      </c>
      <c r="L109" s="102">
        <f>IF(VALUE(CostRemaining[#Headers])&lt;=$F57,IFERROR(VLOOKUP(CostRemaining[[#This Row],[Cost]],Upgrades[],MATCH("C"&amp;CostRemaining[#Headers],Upgrades[#Headers],0),FALSE),0)*MAX(0,SUM($G57:M57)),0)</f>
        <v>0</v>
      </c>
      <c r="M109" s="102">
        <f>IF(VALUE(CostRemaining[#Headers])&lt;=$F57,IFERROR(VLOOKUP(CostRemaining[[#This Row],[Cost]],Upgrades[],MATCH("C"&amp;CostRemaining[#Headers],Upgrades[#Headers],0),FALSE),0)*MAX(0,SUM($G57:N57)),0)</f>
        <v>0</v>
      </c>
      <c r="N109" s="102">
        <f>IF(VALUE(CostRemaining[#Headers])&lt;=$F57,IFERROR(VLOOKUP(CostRemaining[[#This Row],[Cost]],Upgrades[],MATCH("C"&amp;CostRemaining[#Headers],Upgrades[#Headers],0),FALSE),0)*MAX(0,SUM($G57:O57)),0)</f>
        <v>0</v>
      </c>
      <c r="O109" s="102">
        <f>IF(VALUE(CostRemaining[#Headers])&lt;=$F57,IFERROR(VLOOKUP(CostRemaining[[#This Row],[Cost]],Upgrades[],MATCH("C"&amp;CostRemaining[#Headers],Upgrades[#Headers],0),FALSE),0)*MAX(0,SUM($G57:P57)),0)</f>
        <v>0</v>
      </c>
      <c r="P109" s="102">
        <f>IF(VALUE(CostRemaining[#Headers])&lt;=$F57,IFERROR(VLOOKUP(CostRemaining[[#This Row],[Cost]],Upgrades[],MATCH("C"&amp;CostRemaining[#Headers],Upgrades[#Headers],0),FALSE),0)*MAX(0,SUM($G57:Q57)),0)</f>
        <v>0</v>
      </c>
      <c r="Q109" s="102">
        <f>IF(VALUE(CostRemaining[#Headers])&lt;=$F57,IFERROR(VLOOKUP(CostRemaining[[#This Row],[Cost]],Upgrades[],MATCH("C"&amp;CostRemaining[#Headers],Upgrades[#Headers],0),FALSE),0)*MAX(0,SUM($G57:R57)),0)</f>
        <v>0</v>
      </c>
      <c r="R109" s="102">
        <f>IF(CostRemaining[[#This Row],[MatchStr]]="IGNORE",0,SUM(CostRemaining[[#This Row],[1]:[12]]))</f>
        <v>0</v>
      </c>
    </row>
    <row r="110" spans="1:18">
      <c r="A110" s="47" t="s">
        <v>94</v>
      </c>
      <c r="B110" s="103" t="str">
        <f>VLOOKUP(CostRemaining[[#This Row],[Cost]],Upgrades[],2,FALSE)</f>
        <v>Upgrade</v>
      </c>
      <c r="C110" s="103" t="str">
        <f>VLOOKUP(CostRemaining[[#This Row],[Cost]],Upgrades[],3,FALSE)</f>
        <v>Elixir</v>
      </c>
      <c r="D110" s="104" t="str">
        <f>IF((IFERROR(MATCH(CostRemaining[[#This Row],[Cost]],$O$16:$S$16,0),0)+IFERROR(MATCH(CostRemaining[[#This Row],[Cost]],$O$17:$S$17,0),0))&gt;0,"IGNORE",CostRemaining[Kind]&amp;"-"&amp;CostRemaining[Resource])</f>
        <v>Upgrade-Elixir</v>
      </c>
      <c r="E110" s="101">
        <f>IFERROR(VLOOKUP(CostRemaining[[#This Row],[Cost]],Upgrades[],MATCH("C"&amp;MATCH(TRUE,INDEX(CostRemaining[[#This Row],[1]:[12]]&lt;&gt;0,),0),Upgrades[#Headers],0),FALSE),"")</f>
        <v>1000000</v>
      </c>
      <c r="F110" s="102">
        <f>IF(VALUE(CostRemaining[#Headers])&lt;=$F58,IFERROR(VLOOKUP(CostRemaining[[#This Row],[Cost]],Upgrades[],MATCH("C"&amp;CostRemaining[#Headers],Upgrades[#Headers],0),FALSE),0)*MAX(0,SUM($G58:G58)),0)</f>
        <v>0</v>
      </c>
      <c r="G110" s="102">
        <f>IF(VALUE(CostRemaining[#Headers])&lt;=$F58,IFERROR(VLOOKUP(CostRemaining[[#This Row],[Cost]],Upgrades[],MATCH("C"&amp;CostRemaining[#Headers],Upgrades[#Headers],0),FALSE),0)*MAX(0,SUM($G58:H58)),0)</f>
        <v>0</v>
      </c>
      <c r="H110" s="102">
        <f>IF(VALUE(CostRemaining[#Headers])&lt;=$F58,IFERROR(VLOOKUP(CostRemaining[[#This Row],[Cost]],Upgrades[],MATCH("C"&amp;CostRemaining[#Headers],Upgrades[#Headers],0),FALSE),0)*MAX(0,SUM($G58:I58)),0)</f>
        <v>0</v>
      </c>
      <c r="I110" s="102">
        <f>IF(VALUE(CostRemaining[#Headers])&lt;=$F58,IFERROR(VLOOKUP(CostRemaining[[#This Row],[Cost]],Upgrades[],MATCH("C"&amp;CostRemaining[#Headers],Upgrades[#Headers],0),FALSE),0)*MAX(0,SUM($G58:J58)),0)</f>
        <v>1000000</v>
      </c>
      <c r="J110" s="102">
        <f>IF(VALUE(CostRemaining[#Headers])&lt;=$F58,IFERROR(VLOOKUP(CostRemaining[[#This Row],[Cost]],Upgrades[],MATCH("C"&amp;CostRemaining[#Headers],Upgrades[#Headers],0),FALSE),0)*MAX(0,SUM($G58:K58)),0)</f>
        <v>0</v>
      </c>
      <c r="K110" s="102">
        <f>IF(VALUE(CostRemaining[#Headers])&lt;=$F58,IFERROR(VLOOKUP(CostRemaining[[#This Row],[Cost]],Upgrades[],MATCH("C"&amp;CostRemaining[#Headers],Upgrades[#Headers],0),FALSE),0)*MAX(0,SUM($G58:L58)),0)</f>
        <v>0</v>
      </c>
      <c r="L110" s="102">
        <f>IF(VALUE(CostRemaining[#Headers])&lt;=$F58,IFERROR(VLOOKUP(CostRemaining[[#This Row],[Cost]],Upgrades[],MATCH("C"&amp;CostRemaining[#Headers],Upgrades[#Headers],0),FALSE),0)*MAX(0,SUM($G58:M58)),0)</f>
        <v>0</v>
      </c>
      <c r="M110" s="102">
        <f>IF(VALUE(CostRemaining[#Headers])&lt;=$F58,IFERROR(VLOOKUP(CostRemaining[[#This Row],[Cost]],Upgrades[],MATCH("C"&amp;CostRemaining[#Headers],Upgrades[#Headers],0),FALSE),0)*MAX(0,SUM($G58:N58)),0)</f>
        <v>0</v>
      </c>
      <c r="N110" s="102">
        <f>IF(VALUE(CostRemaining[#Headers])&lt;=$F58,IFERROR(VLOOKUP(CostRemaining[[#This Row],[Cost]],Upgrades[],MATCH("C"&amp;CostRemaining[#Headers],Upgrades[#Headers],0),FALSE),0)*MAX(0,SUM($G58:O58)),0)</f>
        <v>0</v>
      </c>
      <c r="O110" s="102">
        <f>IF(VALUE(CostRemaining[#Headers])&lt;=$F58,IFERROR(VLOOKUP(CostRemaining[[#This Row],[Cost]],Upgrades[],MATCH("C"&amp;CostRemaining[#Headers],Upgrades[#Headers],0),FALSE),0)*MAX(0,SUM($G58:P58)),0)</f>
        <v>0</v>
      </c>
      <c r="P110" s="102">
        <f>IF(VALUE(CostRemaining[#Headers])&lt;=$F58,IFERROR(VLOOKUP(CostRemaining[[#This Row],[Cost]],Upgrades[],MATCH("C"&amp;CostRemaining[#Headers],Upgrades[#Headers],0),FALSE),0)*MAX(0,SUM($G58:Q58)),0)</f>
        <v>0</v>
      </c>
      <c r="Q110" s="102">
        <f>IF(VALUE(CostRemaining[#Headers])&lt;=$F58,IFERROR(VLOOKUP(CostRemaining[[#This Row],[Cost]],Upgrades[],MATCH("C"&amp;CostRemaining[#Headers],Upgrades[#Headers],0),FALSE),0)*MAX(0,SUM($G58:R58)),0)</f>
        <v>0</v>
      </c>
      <c r="R110" s="102">
        <f>IF(CostRemaining[[#This Row],[MatchStr]]="IGNORE",0,SUM(CostRemaining[[#This Row],[1]:[12]]))</f>
        <v>1000000</v>
      </c>
    </row>
    <row r="111" spans="1:18">
      <c r="A111" s="47" t="s">
        <v>95</v>
      </c>
      <c r="B111" s="103" t="str">
        <f>VLOOKUP(CostRemaining[[#This Row],[Cost]],Upgrades[],2,FALSE)</f>
        <v>Upgrade</v>
      </c>
      <c r="C111" s="103" t="str">
        <f>VLOOKUP(CostRemaining[[#This Row],[Cost]],Upgrades[],3,FALSE)</f>
        <v>Elixir</v>
      </c>
      <c r="D111" s="104" t="str">
        <f>IF((IFERROR(MATCH(CostRemaining[[#This Row],[Cost]],$O$16:$S$16,0),0)+IFERROR(MATCH(CostRemaining[[#This Row],[Cost]],$O$17:$S$17,0),0))&gt;0,"IGNORE",CostRemaining[Kind]&amp;"-"&amp;CostRemaining[Resource])</f>
        <v>Upgrade-Elixir</v>
      </c>
      <c r="E111" s="101">
        <f>IFERROR(VLOOKUP(CostRemaining[[#This Row],[Cost]],Upgrades[],MATCH("C"&amp;MATCH(TRUE,INDEX(CostRemaining[[#This Row],[1]:[12]]&lt;&gt;0,),0),Upgrades[#Headers],0),FALSE),"")</f>
        <v>1200000</v>
      </c>
      <c r="F111" s="102">
        <f>IF(VALUE(CostRemaining[#Headers])&lt;=$F59,IFERROR(VLOOKUP(CostRemaining[[#This Row],[Cost]],Upgrades[],MATCH("C"&amp;CostRemaining[#Headers],Upgrades[#Headers],0),FALSE),0)*MAX(0,SUM($G59:G59)),0)</f>
        <v>0</v>
      </c>
      <c r="G111" s="102">
        <f>IF(VALUE(CostRemaining[#Headers])&lt;=$F59,IFERROR(VLOOKUP(CostRemaining[[#This Row],[Cost]],Upgrades[],MATCH("C"&amp;CostRemaining[#Headers],Upgrades[#Headers],0),FALSE),0)*MAX(0,SUM($G59:H59)),0)</f>
        <v>0</v>
      </c>
      <c r="H111" s="102">
        <f>IF(VALUE(CostRemaining[#Headers])&lt;=$F59,IFERROR(VLOOKUP(CostRemaining[[#This Row],[Cost]],Upgrades[],MATCH("C"&amp;CostRemaining[#Headers],Upgrades[#Headers],0),FALSE),0)*MAX(0,SUM($G59:I59)),0)</f>
        <v>0</v>
      </c>
      <c r="I111" s="102">
        <f>IF(VALUE(CostRemaining[#Headers])&lt;=$F59,IFERROR(VLOOKUP(CostRemaining[[#This Row],[Cost]],Upgrades[],MATCH("C"&amp;CostRemaining[#Headers],Upgrades[#Headers],0),FALSE),0)*MAX(0,SUM($G59:J59)),0)</f>
        <v>1200000</v>
      </c>
      <c r="J111" s="102">
        <f>IF(VALUE(CostRemaining[#Headers])&lt;=$F59,IFERROR(VLOOKUP(CostRemaining[[#This Row],[Cost]],Upgrades[],MATCH("C"&amp;CostRemaining[#Headers],Upgrades[#Headers],0),FALSE),0)*MAX(0,SUM($G59:K59)),0)</f>
        <v>0</v>
      </c>
      <c r="K111" s="102">
        <f>IF(VALUE(CostRemaining[#Headers])&lt;=$F59,IFERROR(VLOOKUP(CostRemaining[[#This Row],[Cost]],Upgrades[],MATCH("C"&amp;CostRemaining[#Headers],Upgrades[#Headers],0),FALSE),0)*MAX(0,SUM($G59:L59)),0)</f>
        <v>0</v>
      </c>
      <c r="L111" s="102">
        <f>IF(VALUE(CostRemaining[#Headers])&lt;=$F59,IFERROR(VLOOKUP(CostRemaining[[#This Row],[Cost]],Upgrades[],MATCH("C"&amp;CostRemaining[#Headers],Upgrades[#Headers],0),FALSE),0)*MAX(0,SUM($G59:M59)),0)</f>
        <v>0</v>
      </c>
      <c r="M111" s="102">
        <f>IF(VALUE(CostRemaining[#Headers])&lt;=$F59,IFERROR(VLOOKUP(CostRemaining[[#This Row],[Cost]],Upgrades[],MATCH("C"&amp;CostRemaining[#Headers],Upgrades[#Headers],0),FALSE),0)*MAX(0,SUM($G59:N59)),0)</f>
        <v>0</v>
      </c>
      <c r="N111" s="102">
        <f>IF(VALUE(CostRemaining[#Headers])&lt;=$F59,IFERROR(VLOOKUP(CostRemaining[[#This Row],[Cost]],Upgrades[],MATCH("C"&amp;CostRemaining[#Headers],Upgrades[#Headers],0),FALSE),0)*MAX(0,SUM($G59:O59)),0)</f>
        <v>0</v>
      </c>
      <c r="O111" s="102">
        <f>IF(VALUE(CostRemaining[#Headers])&lt;=$F59,IFERROR(VLOOKUP(CostRemaining[[#This Row],[Cost]],Upgrades[],MATCH("C"&amp;CostRemaining[#Headers],Upgrades[#Headers],0),FALSE),0)*MAX(0,SUM($G59:P59)),0)</f>
        <v>0</v>
      </c>
      <c r="P111" s="102">
        <f>IF(VALUE(CostRemaining[#Headers])&lt;=$F59,IFERROR(VLOOKUP(CostRemaining[[#This Row],[Cost]],Upgrades[],MATCH("C"&amp;CostRemaining[#Headers],Upgrades[#Headers],0),FALSE),0)*MAX(0,SUM($G59:Q59)),0)</f>
        <v>0</v>
      </c>
      <c r="Q111" s="102">
        <f>IF(VALUE(CostRemaining[#Headers])&lt;=$F59,IFERROR(VLOOKUP(CostRemaining[[#This Row],[Cost]],Upgrades[],MATCH("C"&amp;CostRemaining[#Headers],Upgrades[#Headers],0),FALSE),0)*MAX(0,SUM($G59:R59)),0)</f>
        <v>0</v>
      </c>
      <c r="R111" s="102">
        <f>IF(CostRemaining[[#This Row],[MatchStr]]="IGNORE",0,SUM(CostRemaining[[#This Row],[1]:[12]]))</f>
        <v>1200000</v>
      </c>
    </row>
    <row r="112" spans="1:18">
      <c r="A112" s="47" t="s">
        <v>96</v>
      </c>
      <c r="B112" s="103" t="str">
        <f>VLOOKUP(CostRemaining[[#This Row],[Cost]],Upgrades[],2,FALSE)</f>
        <v>Upgrade</v>
      </c>
      <c r="C112" s="103" t="str">
        <f>VLOOKUP(CostRemaining[[#This Row],[Cost]],Upgrades[],3,FALSE)</f>
        <v>Elixir</v>
      </c>
      <c r="D112" s="104" t="str">
        <f>IF((IFERROR(MATCH(CostRemaining[[#This Row],[Cost]],$O$16:$S$16,0),0)+IFERROR(MATCH(CostRemaining[[#This Row],[Cost]],$O$17:$S$17,0),0))&gt;0,"IGNORE",CostRemaining[Kind]&amp;"-"&amp;CostRemaining[Resource])</f>
        <v>Upgrade-Elixir</v>
      </c>
      <c r="E112" s="101">
        <f>IFERROR(VLOOKUP(CostRemaining[[#This Row],[Cost]],Upgrades[],MATCH("C"&amp;MATCH(TRUE,INDEX(CostRemaining[[#This Row],[1]:[12]]&lt;&gt;0,),0),Upgrades[#Headers],0),FALSE),"")</f>
        <v>900000</v>
      </c>
      <c r="F112" s="102">
        <f>IF(VALUE(CostRemaining[#Headers])&lt;=$F60,IFERROR(VLOOKUP(CostRemaining[[#This Row],[Cost]],Upgrades[],MATCH("C"&amp;CostRemaining[#Headers],Upgrades[#Headers],0),FALSE),0)*MAX(0,SUM($G60:G60)),0)</f>
        <v>0</v>
      </c>
      <c r="G112" s="102">
        <f>IF(VALUE(CostRemaining[#Headers])&lt;=$F60,IFERROR(VLOOKUP(CostRemaining[[#This Row],[Cost]],Upgrades[],MATCH("C"&amp;CostRemaining[#Headers],Upgrades[#Headers],0),FALSE),0)*MAX(0,SUM($G60:H60)),0)</f>
        <v>0</v>
      </c>
      <c r="H112" s="102">
        <f>IF(VALUE(CostRemaining[#Headers])&lt;=$F60,IFERROR(VLOOKUP(CostRemaining[[#This Row],[Cost]],Upgrades[],MATCH("C"&amp;CostRemaining[#Headers],Upgrades[#Headers],0),FALSE),0)*MAX(0,SUM($G60:I60)),0)</f>
        <v>900000</v>
      </c>
      <c r="I112" s="102">
        <f>IF(VALUE(CostRemaining[#Headers])&lt;=$F60,IFERROR(VLOOKUP(CostRemaining[[#This Row],[Cost]],Upgrades[],MATCH("C"&amp;CostRemaining[#Headers],Upgrades[#Headers],0),FALSE),0)*MAX(0,SUM($G60:J60)),0)</f>
        <v>1800000</v>
      </c>
      <c r="J112" s="102">
        <f>IF(VALUE(CostRemaining[#Headers])&lt;=$F60,IFERROR(VLOOKUP(CostRemaining[[#This Row],[Cost]],Upgrades[],MATCH("C"&amp;CostRemaining[#Headers],Upgrades[#Headers],0),FALSE),0)*MAX(0,SUM($G60:K60)),0)</f>
        <v>0</v>
      </c>
      <c r="K112" s="102">
        <f>IF(VALUE(CostRemaining[#Headers])&lt;=$F60,IFERROR(VLOOKUP(CostRemaining[[#This Row],[Cost]],Upgrades[],MATCH("C"&amp;CostRemaining[#Headers],Upgrades[#Headers],0),FALSE),0)*MAX(0,SUM($G60:L60)),0)</f>
        <v>0</v>
      </c>
      <c r="L112" s="102">
        <f>IF(VALUE(CostRemaining[#Headers])&lt;=$F60,IFERROR(VLOOKUP(CostRemaining[[#This Row],[Cost]],Upgrades[],MATCH("C"&amp;CostRemaining[#Headers],Upgrades[#Headers],0),FALSE),0)*MAX(0,SUM($G60:M60)),0)</f>
        <v>0</v>
      </c>
      <c r="M112" s="102">
        <f>IF(VALUE(CostRemaining[#Headers])&lt;=$F60,IFERROR(VLOOKUP(CostRemaining[[#This Row],[Cost]],Upgrades[],MATCH("C"&amp;CostRemaining[#Headers],Upgrades[#Headers],0),FALSE),0)*MAX(0,SUM($G60:N60)),0)</f>
        <v>0</v>
      </c>
      <c r="N112" s="102">
        <f>IF(VALUE(CostRemaining[#Headers])&lt;=$F60,IFERROR(VLOOKUP(CostRemaining[[#This Row],[Cost]],Upgrades[],MATCH("C"&amp;CostRemaining[#Headers],Upgrades[#Headers],0),FALSE),0)*MAX(0,SUM($G60:O60)),0)</f>
        <v>0</v>
      </c>
      <c r="O112" s="102">
        <f>IF(VALUE(CostRemaining[#Headers])&lt;=$F60,IFERROR(VLOOKUP(CostRemaining[[#This Row],[Cost]],Upgrades[],MATCH("C"&amp;CostRemaining[#Headers],Upgrades[#Headers],0),FALSE),0)*MAX(0,SUM($G60:P60)),0)</f>
        <v>0</v>
      </c>
      <c r="P112" s="102">
        <f>IF(VALUE(CostRemaining[#Headers])&lt;=$F60,IFERROR(VLOOKUP(CostRemaining[[#This Row],[Cost]],Upgrades[],MATCH("C"&amp;CostRemaining[#Headers],Upgrades[#Headers],0),FALSE),0)*MAX(0,SUM($G60:Q60)),0)</f>
        <v>0</v>
      </c>
      <c r="Q112" s="102">
        <f>IF(VALUE(CostRemaining[#Headers])&lt;=$F60,IFERROR(VLOOKUP(CostRemaining[[#This Row],[Cost]],Upgrades[],MATCH("C"&amp;CostRemaining[#Headers],Upgrades[#Headers],0),FALSE),0)*MAX(0,SUM($G60:R60)),0)</f>
        <v>0</v>
      </c>
      <c r="R112" s="102">
        <f>IF(CostRemaining[[#This Row],[MatchStr]]="IGNORE",0,SUM(CostRemaining[[#This Row],[1]:[12]]))</f>
        <v>2700000</v>
      </c>
    </row>
    <row r="113" spans="1:18">
      <c r="A113" s="47" t="s">
        <v>97</v>
      </c>
      <c r="B113" s="103" t="str">
        <f>VLOOKUP(CostRemaining[[#This Row],[Cost]],Upgrades[],2,FALSE)</f>
        <v>Upgrade</v>
      </c>
      <c r="C113" s="103" t="str">
        <f>VLOOKUP(CostRemaining[[#This Row],[Cost]],Upgrades[],3,FALSE)</f>
        <v>Elixir</v>
      </c>
      <c r="D113" s="104" t="str">
        <f>IF((IFERROR(MATCH(CostRemaining[[#This Row],[Cost]],$O$16:$S$16,0),0)+IFERROR(MATCH(CostRemaining[[#This Row],[Cost]],$O$17:$S$17,0),0))&gt;0,"IGNORE",CostRemaining[Kind]&amp;"-"&amp;CostRemaining[Resource])</f>
        <v>Upgrade-Elixir</v>
      </c>
      <c r="E113" s="101" t="str">
        <f>IFERROR(VLOOKUP(CostRemaining[[#This Row],[Cost]],Upgrades[],MATCH("C"&amp;MATCH(TRUE,INDEX(CostRemaining[[#This Row],[1]:[12]]&lt;&gt;0,),0),Upgrades[#Headers],0),FALSE),"")</f>
        <v/>
      </c>
      <c r="F113" s="102">
        <f>IF(VALUE(CostRemaining[#Headers])&lt;=$F61,IFERROR(VLOOKUP(CostRemaining[[#This Row],[Cost]],Upgrades[],MATCH("C"&amp;CostRemaining[#Headers],Upgrades[#Headers],0),FALSE),0)*MAX(0,SUM($G61:G61)),0)</f>
        <v>0</v>
      </c>
      <c r="G113" s="102">
        <f>IF(VALUE(CostRemaining[#Headers])&lt;=$F61,IFERROR(VLOOKUP(CostRemaining[[#This Row],[Cost]],Upgrades[],MATCH("C"&amp;CostRemaining[#Headers],Upgrades[#Headers],0),FALSE),0)*MAX(0,SUM($G61:H61)),0)</f>
        <v>0</v>
      </c>
      <c r="H113" s="102">
        <f>IF(VALUE(CostRemaining[#Headers])&lt;=$F61,IFERROR(VLOOKUP(CostRemaining[[#This Row],[Cost]],Upgrades[],MATCH("C"&amp;CostRemaining[#Headers],Upgrades[#Headers],0),FALSE),0)*MAX(0,SUM($G61:I61)),0)</f>
        <v>0</v>
      </c>
      <c r="I113" s="102">
        <f>IF(VALUE(CostRemaining[#Headers])&lt;=$F61,IFERROR(VLOOKUP(CostRemaining[[#This Row],[Cost]],Upgrades[],MATCH("C"&amp;CostRemaining[#Headers],Upgrades[#Headers],0),FALSE),0)*MAX(0,SUM($G61:J61)),0)</f>
        <v>0</v>
      </c>
      <c r="J113" s="102">
        <f>IF(VALUE(CostRemaining[#Headers])&lt;=$F61,IFERROR(VLOOKUP(CostRemaining[[#This Row],[Cost]],Upgrades[],MATCH("C"&amp;CostRemaining[#Headers],Upgrades[#Headers],0),FALSE),0)*MAX(0,SUM($G61:K61)),0)</f>
        <v>0</v>
      </c>
      <c r="K113" s="102">
        <f>IF(VALUE(CostRemaining[#Headers])&lt;=$F61,IFERROR(VLOOKUP(CostRemaining[[#This Row],[Cost]],Upgrades[],MATCH("C"&amp;CostRemaining[#Headers],Upgrades[#Headers],0),FALSE),0)*MAX(0,SUM($G61:L61)),0)</f>
        <v>0</v>
      </c>
      <c r="L113" s="102">
        <f>IF(VALUE(CostRemaining[#Headers])&lt;=$F61,IFERROR(VLOOKUP(CostRemaining[[#This Row],[Cost]],Upgrades[],MATCH("C"&amp;CostRemaining[#Headers],Upgrades[#Headers],0),FALSE),0)*MAX(0,SUM($G61:M61)),0)</f>
        <v>0</v>
      </c>
      <c r="M113" s="102">
        <f>IF(VALUE(CostRemaining[#Headers])&lt;=$F61,IFERROR(VLOOKUP(CostRemaining[[#This Row],[Cost]],Upgrades[],MATCH("C"&amp;CostRemaining[#Headers],Upgrades[#Headers],0),FALSE),0)*MAX(0,SUM($G61:N61)),0)</f>
        <v>0</v>
      </c>
      <c r="N113" s="102">
        <f>IF(VALUE(CostRemaining[#Headers])&lt;=$F61,IFERROR(VLOOKUP(CostRemaining[[#This Row],[Cost]],Upgrades[],MATCH("C"&amp;CostRemaining[#Headers],Upgrades[#Headers],0),FALSE),0)*MAX(0,SUM($G61:O61)),0)</f>
        <v>0</v>
      </c>
      <c r="O113" s="102">
        <f>IF(VALUE(CostRemaining[#Headers])&lt;=$F61,IFERROR(VLOOKUP(CostRemaining[[#This Row],[Cost]],Upgrades[],MATCH("C"&amp;CostRemaining[#Headers],Upgrades[#Headers],0),FALSE),0)*MAX(0,SUM($G61:P61)),0)</f>
        <v>0</v>
      </c>
      <c r="P113" s="102">
        <f>IF(VALUE(CostRemaining[#Headers])&lt;=$F61,IFERROR(VLOOKUP(CostRemaining[[#This Row],[Cost]],Upgrades[],MATCH("C"&amp;CostRemaining[#Headers],Upgrades[#Headers],0),FALSE),0)*MAX(0,SUM($G61:Q61)),0)</f>
        <v>0</v>
      </c>
      <c r="Q113" s="102">
        <f>IF(VALUE(CostRemaining[#Headers])&lt;=$F61,IFERROR(VLOOKUP(CostRemaining[[#This Row],[Cost]],Upgrades[],MATCH("C"&amp;CostRemaining[#Headers],Upgrades[#Headers],0),FALSE),0)*MAX(0,SUM($G61:R61)),0)</f>
        <v>0</v>
      </c>
      <c r="R113" s="102">
        <f>IF(CostRemaining[[#This Row],[MatchStr]]="IGNORE",0,SUM(CostRemaining[[#This Row],[1]:[12]]))</f>
        <v>0</v>
      </c>
    </row>
    <row r="114" spans="1:18">
      <c r="A114" s="47" t="s">
        <v>98</v>
      </c>
      <c r="B114" s="103" t="str">
        <f>VLOOKUP(CostRemaining[[#This Row],[Cost]],Upgrades[],2,FALSE)</f>
        <v>Upgrade</v>
      </c>
      <c r="C114" s="103" t="str">
        <f>VLOOKUP(CostRemaining[[#This Row],[Cost]],Upgrades[],3,FALSE)</f>
        <v>Elixir</v>
      </c>
      <c r="D114" s="104" t="str">
        <f>IF((IFERROR(MATCH(CostRemaining[[#This Row],[Cost]],$O$16:$S$16,0),0)+IFERROR(MATCH(CostRemaining[[#This Row],[Cost]],$O$17:$S$17,0),0))&gt;0,"IGNORE",CostRemaining[Kind]&amp;"-"&amp;CostRemaining[Resource])</f>
        <v>Upgrade-Elixir</v>
      </c>
      <c r="E114" s="101" t="str">
        <f>IFERROR(VLOOKUP(CostRemaining[[#This Row],[Cost]],Upgrades[],MATCH("C"&amp;MATCH(TRUE,INDEX(CostRemaining[[#This Row],[1]:[12]]&lt;&gt;0,),0),Upgrades[#Headers],0),FALSE),"")</f>
        <v/>
      </c>
      <c r="F114" s="102">
        <f>IF(VALUE(CostRemaining[#Headers])&lt;=$F62,IFERROR(VLOOKUP(CostRemaining[[#This Row],[Cost]],Upgrades[],MATCH("C"&amp;CostRemaining[#Headers],Upgrades[#Headers],0),FALSE),0)*MAX(0,SUM($G62:G62)),0)</f>
        <v>0</v>
      </c>
      <c r="G114" s="102">
        <f>IF(VALUE(CostRemaining[#Headers])&lt;=$F62,IFERROR(VLOOKUP(CostRemaining[[#This Row],[Cost]],Upgrades[],MATCH("C"&amp;CostRemaining[#Headers],Upgrades[#Headers],0),FALSE),0)*MAX(0,SUM($G62:H62)),0)</f>
        <v>0</v>
      </c>
      <c r="H114" s="102">
        <f>IF(VALUE(CostRemaining[#Headers])&lt;=$F62,IFERROR(VLOOKUP(CostRemaining[[#This Row],[Cost]],Upgrades[],MATCH("C"&amp;CostRemaining[#Headers],Upgrades[#Headers],0),FALSE),0)*MAX(0,SUM($G62:I62)),0)</f>
        <v>0</v>
      </c>
      <c r="I114" s="102">
        <f>IF(VALUE(CostRemaining[#Headers])&lt;=$F62,IFERROR(VLOOKUP(CostRemaining[[#This Row],[Cost]],Upgrades[],MATCH("C"&amp;CostRemaining[#Headers],Upgrades[#Headers],0),FALSE),0)*MAX(0,SUM($G62:J62)),0)</f>
        <v>0</v>
      </c>
      <c r="J114" s="102">
        <f>IF(VALUE(CostRemaining[#Headers])&lt;=$F62,IFERROR(VLOOKUP(CostRemaining[[#This Row],[Cost]],Upgrades[],MATCH("C"&amp;CostRemaining[#Headers],Upgrades[#Headers],0),FALSE),0)*MAX(0,SUM($G62:K62)),0)</f>
        <v>0</v>
      </c>
      <c r="K114" s="102">
        <f>IF(VALUE(CostRemaining[#Headers])&lt;=$F62,IFERROR(VLOOKUP(CostRemaining[[#This Row],[Cost]],Upgrades[],MATCH("C"&amp;CostRemaining[#Headers],Upgrades[#Headers],0),FALSE),0)*MAX(0,SUM($G62:L62)),0)</f>
        <v>0</v>
      </c>
      <c r="L114" s="102">
        <f>IF(VALUE(CostRemaining[#Headers])&lt;=$F62,IFERROR(VLOOKUP(CostRemaining[[#This Row],[Cost]],Upgrades[],MATCH("C"&amp;CostRemaining[#Headers],Upgrades[#Headers],0),FALSE),0)*MAX(0,SUM($G62:M62)),0)</f>
        <v>0</v>
      </c>
      <c r="M114" s="102">
        <f>IF(VALUE(CostRemaining[#Headers])&lt;=$F62,IFERROR(VLOOKUP(CostRemaining[[#This Row],[Cost]],Upgrades[],MATCH("C"&amp;CostRemaining[#Headers],Upgrades[#Headers],0),FALSE),0)*MAX(0,SUM($G62:N62)),0)</f>
        <v>0</v>
      </c>
      <c r="N114" s="102">
        <f>IF(VALUE(CostRemaining[#Headers])&lt;=$F62,IFERROR(VLOOKUP(CostRemaining[[#This Row],[Cost]],Upgrades[],MATCH("C"&amp;CostRemaining[#Headers],Upgrades[#Headers],0),FALSE),0)*MAX(0,SUM($G62:O62)),0)</f>
        <v>0</v>
      </c>
      <c r="O114" s="102">
        <f>IF(VALUE(CostRemaining[#Headers])&lt;=$F62,IFERROR(VLOOKUP(CostRemaining[[#This Row],[Cost]],Upgrades[],MATCH("C"&amp;CostRemaining[#Headers],Upgrades[#Headers],0),FALSE),0)*MAX(0,SUM($G62:P62)),0)</f>
        <v>0</v>
      </c>
      <c r="P114" s="102">
        <f>IF(VALUE(CostRemaining[#Headers])&lt;=$F62,IFERROR(VLOOKUP(CostRemaining[[#This Row],[Cost]],Upgrades[],MATCH("C"&amp;CostRemaining[#Headers],Upgrades[#Headers],0),FALSE),0)*MAX(0,SUM($G62:Q62)),0)</f>
        <v>0</v>
      </c>
      <c r="Q114" s="102">
        <f>IF(VALUE(CostRemaining[#Headers])&lt;=$F62,IFERROR(VLOOKUP(CostRemaining[[#This Row],[Cost]],Upgrades[],MATCH("C"&amp;CostRemaining[#Headers],Upgrades[#Headers],0),FALSE),0)*MAX(0,SUM($G62:R62)),0)</f>
        <v>0</v>
      </c>
      <c r="R114" s="102">
        <f>IF(CostRemaining[[#This Row],[MatchStr]]="IGNORE",0,SUM(CostRemaining[[#This Row],[1]:[12]]))</f>
        <v>0</v>
      </c>
    </row>
    <row r="115" spans="1:18">
      <c r="A115" s="47" t="s">
        <v>99</v>
      </c>
      <c r="B115" s="103" t="str">
        <f>VLOOKUP(CostRemaining[[#This Row],[Cost]],Upgrades[],2,FALSE)</f>
        <v>Upgrade</v>
      </c>
      <c r="C115" s="103" t="str">
        <f>VLOOKUP(CostRemaining[[#This Row],[Cost]],Upgrades[],3,FALSE)</f>
        <v>Dark Elixir</v>
      </c>
      <c r="D115" s="104" t="str">
        <f>IF((IFERROR(MATCH(CostRemaining[[#This Row],[Cost]],$O$16:$S$16,0),0)+IFERROR(MATCH(CostRemaining[[#This Row],[Cost]],$O$17:$S$17,0),0))&gt;0,"IGNORE",CostRemaining[Kind]&amp;"-"&amp;CostRemaining[Resource])</f>
        <v>Upgrade-Dark Elixir</v>
      </c>
      <c r="E115" s="101">
        <f>IFERROR(VLOOKUP(CostRemaining[[#This Row],[Cost]],Upgrades[],MATCH("C"&amp;MATCH(TRUE,INDEX(CostRemaining[[#This Row],[1]:[12]]&lt;&gt;0,),0),Upgrades[#Headers],0),FALSE),"")</f>
        <v>10000</v>
      </c>
      <c r="F115" s="102">
        <f>IF(VALUE(CostRemaining[#Headers])&lt;=$F63,IFERROR(VLOOKUP(CostRemaining[[#This Row],[Cost]],Upgrades[],MATCH("C"&amp;CostRemaining[#Headers],Upgrades[#Headers],0),FALSE),0)*MAX(0,SUM($G63:G63)),0)</f>
        <v>0</v>
      </c>
      <c r="G115" s="102">
        <f>IF(VALUE(CostRemaining[#Headers])&lt;=$F63,IFERROR(VLOOKUP(CostRemaining[[#This Row],[Cost]],Upgrades[],MATCH("C"&amp;CostRemaining[#Headers],Upgrades[#Headers],0),FALSE),0)*MAX(0,SUM($G63:H63)),0)</f>
        <v>10000</v>
      </c>
      <c r="H115" s="102">
        <f>IF(VALUE(CostRemaining[#Headers])&lt;=$F63,IFERROR(VLOOKUP(CostRemaining[[#This Row],[Cost]],Upgrades[],MATCH("C"&amp;CostRemaining[#Headers],Upgrades[#Headers],0),FALSE),0)*MAX(0,SUM($G63:I63)),0)</f>
        <v>0</v>
      </c>
      <c r="I115" s="102">
        <f>IF(VALUE(CostRemaining[#Headers])&lt;=$F63,IFERROR(VLOOKUP(CostRemaining[[#This Row],[Cost]],Upgrades[],MATCH("C"&amp;CostRemaining[#Headers],Upgrades[#Headers],0),FALSE),0)*MAX(0,SUM($G63:J63)),0)</f>
        <v>0</v>
      </c>
      <c r="J115" s="102">
        <f>IF(VALUE(CostRemaining[#Headers])&lt;=$F63,IFERROR(VLOOKUP(CostRemaining[[#This Row],[Cost]],Upgrades[],MATCH("C"&amp;CostRemaining[#Headers],Upgrades[#Headers],0),FALSE),0)*MAX(0,SUM($G63:K63)),0)</f>
        <v>0</v>
      </c>
      <c r="K115" s="102">
        <f>IF(VALUE(CostRemaining[#Headers])&lt;=$F63,IFERROR(VLOOKUP(CostRemaining[[#This Row],[Cost]],Upgrades[],MATCH("C"&amp;CostRemaining[#Headers],Upgrades[#Headers],0),FALSE),0)*MAX(0,SUM($G63:L63)),0)</f>
        <v>0</v>
      </c>
      <c r="L115" s="102">
        <f>IF(VALUE(CostRemaining[#Headers])&lt;=$F63,IFERROR(VLOOKUP(CostRemaining[[#This Row],[Cost]],Upgrades[],MATCH("C"&amp;CostRemaining[#Headers],Upgrades[#Headers],0),FALSE),0)*MAX(0,SUM($G63:M63)),0)</f>
        <v>0</v>
      </c>
      <c r="M115" s="102">
        <f>IF(VALUE(CostRemaining[#Headers])&lt;=$F63,IFERROR(VLOOKUP(CostRemaining[[#This Row],[Cost]],Upgrades[],MATCH("C"&amp;CostRemaining[#Headers],Upgrades[#Headers],0),FALSE),0)*MAX(0,SUM($G63:N63)),0)</f>
        <v>0</v>
      </c>
      <c r="N115" s="102">
        <f>IF(VALUE(CostRemaining[#Headers])&lt;=$F63,IFERROR(VLOOKUP(CostRemaining[[#This Row],[Cost]],Upgrades[],MATCH("C"&amp;CostRemaining[#Headers],Upgrades[#Headers],0),FALSE),0)*MAX(0,SUM($G63:O63)),0)</f>
        <v>0</v>
      </c>
      <c r="O115" s="102">
        <f>IF(VALUE(CostRemaining[#Headers])&lt;=$F63,IFERROR(VLOOKUP(CostRemaining[[#This Row],[Cost]],Upgrades[],MATCH("C"&amp;CostRemaining[#Headers],Upgrades[#Headers],0),FALSE),0)*MAX(0,SUM($G63:P63)),0)</f>
        <v>0</v>
      </c>
      <c r="P115" s="102">
        <f>IF(VALUE(CostRemaining[#Headers])&lt;=$F63,IFERROR(VLOOKUP(CostRemaining[[#This Row],[Cost]],Upgrades[],MATCH("C"&amp;CostRemaining[#Headers],Upgrades[#Headers],0),FALSE),0)*MAX(0,SUM($G63:Q63)),0)</f>
        <v>0</v>
      </c>
      <c r="Q115" s="102">
        <f>IF(VALUE(CostRemaining[#Headers])&lt;=$F63,IFERROR(VLOOKUP(CostRemaining[[#This Row],[Cost]],Upgrades[],MATCH("C"&amp;CostRemaining[#Headers],Upgrades[#Headers],0),FALSE),0)*MAX(0,SUM($G63:R63)),0)</f>
        <v>0</v>
      </c>
      <c r="R115" s="102">
        <f>IF(CostRemaining[[#This Row],[MatchStr]]="IGNORE",0,SUM(CostRemaining[[#This Row],[1]:[12]]))</f>
        <v>10000</v>
      </c>
    </row>
    <row r="116" spans="1:18">
      <c r="A116" s="47" t="s">
        <v>100</v>
      </c>
      <c r="B116" s="103" t="str">
        <f>VLOOKUP(CostRemaining[[#This Row],[Cost]],Upgrades[],2,FALSE)</f>
        <v>Upgrade</v>
      </c>
      <c r="C116" s="103" t="str">
        <f>VLOOKUP(CostRemaining[[#This Row],[Cost]],Upgrades[],3,FALSE)</f>
        <v>Dark Elixir</v>
      </c>
      <c r="D116" s="104" t="str">
        <f>IF((IFERROR(MATCH(CostRemaining[[#This Row],[Cost]],$O$16:$S$16,0),0)+IFERROR(MATCH(CostRemaining[[#This Row],[Cost]],$O$17:$S$17,0),0))&gt;0,"IGNORE",CostRemaining[Kind]&amp;"-"&amp;CostRemaining[Resource])</f>
        <v>Upgrade-Dark Elixir</v>
      </c>
      <c r="E116" s="101">
        <f>IFERROR(VLOOKUP(CostRemaining[[#This Row],[Cost]],Upgrades[],MATCH("C"&amp;MATCH(TRUE,INDEX(CostRemaining[[#This Row],[1]:[12]]&lt;&gt;0,),0),Upgrades[#Headers],0),FALSE),"")</f>
        <v>20000</v>
      </c>
      <c r="F116" s="102">
        <f>IF(VALUE(CostRemaining[#Headers])&lt;=$F64,IFERROR(VLOOKUP(CostRemaining[[#This Row],[Cost]],Upgrades[],MATCH("C"&amp;CostRemaining[#Headers],Upgrades[#Headers],0),FALSE),0)*MAX(0,SUM($G64:G64)),0)</f>
        <v>0</v>
      </c>
      <c r="G116" s="102">
        <f>IF(VALUE(CostRemaining[#Headers])&lt;=$F64,IFERROR(VLOOKUP(CostRemaining[[#This Row],[Cost]],Upgrades[],MATCH("C"&amp;CostRemaining[#Headers],Upgrades[#Headers],0),FALSE),0)*MAX(0,SUM($G64:H64)),0)</f>
        <v>20000</v>
      </c>
      <c r="H116" s="102">
        <f>IF(VALUE(CostRemaining[#Headers])&lt;=$F64,IFERROR(VLOOKUP(CostRemaining[[#This Row],[Cost]],Upgrades[],MATCH("C"&amp;CostRemaining[#Headers],Upgrades[#Headers],0),FALSE),0)*MAX(0,SUM($G64:I64)),0)</f>
        <v>0</v>
      </c>
      <c r="I116" s="102">
        <f>IF(VALUE(CostRemaining[#Headers])&lt;=$F64,IFERROR(VLOOKUP(CostRemaining[[#This Row],[Cost]],Upgrades[],MATCH("C"&amp;CostRemaining[#Headers],Upgrades[#Headers],0),FALSE),0)*MAX(0,SUM($G64:J64)),0)</f>
        <v>0</v>
      </c>
      <c r="J116" s="102">
        <f>IF(VALUE(CostRemaining[#Headers])&lt;=$F64,IFERROR(VLOOKUP(CostRemaining[[#This Row],[Cost]],Upgrades[],MATCH("C"&amp;CostRemaining[#Headers],Upgrades[#Headers],0),FALSE),0)*MAX(0,SUM($G64:K64)),0)</f>
        <v>0</v>
      </c>
      <c r="K116" s="102">
        <f>IF(VALUE(CostRemaining[#Headers])&lt;=$F64,IFERROR(VLOOKUP(CostRemaining[[#This Row],[Cost]],Upgrades[],MATCH("C"&amp;CostRemaining[#Headers],Upgrades[#Headers],0),FALSE),0)*MAX(0,SUM($G64:L64)),0)</f>
        <v>0</v>
      </c>
      <c r="L116" s="102">
        <f>IF(VALUE(CostRemaining[#Headers])&lt;=$F64,IFERROR(VLOOKUP(CostRemaining[[#This Row],[Cost]],Upgrades[],MATCH("C"&amp;CostRemaining[#Headers],Upgrades[#Headers],0),FALSE),0)*MAX(0,SUM($G64:M64)),0)</f>
        <v>0</v>
      </c>
      <c r="M116" s="102">
        <f>IF(VALUE(CostRemaining[#Headers])&lt;=$F64,IFERROR(VLOOKUP(CostRemaining[[#This Row],[Cost]],Upgrades[],MATCH("C"&amp;CostRemaining[#Headers],Upgrades[#Headers],0),FALSE),0)*MAX(0,SUM($G64:N64)),0)</f>
        <v>0</v>
      </c>
      <c r="N116" s="102">
        <f>IF(VALUE(CostRemaining[#Headers])&lt;=$F64,IFERROR(VLOOKUP(CostRemaining[[#This Row],[Cost]],Upgrades[],MATCH("C"&amp;CostRemaining[#Headers],Upgrades[#Headers],0),FALSE),0)*MAX(0,SUM($G64:O64)),0)</f>
        <v>0</v>
      </c>
      <c r="O116" s="102">
        <f>IF(VALUE(CostRemaining[#Headers])&lt;=$F64,IFERROR(VLOOKUP(CostRemaining[[#This Row],[Cost]],Upgrades[],MATCH("C"&amp;CostRemaining[#Headers],Upgrades[#Headers],0),FALSE),0)*MAX(0,SUM($G64:P64)),0)</f>
        <v>0</v>
      </c>
      <c r="P116" s="102">
        <f>IF(VALUE(CostRemaining[#Headers])&lt;=$F64,IFERROR(VLOOKUP(CostRemaining[[#This Row],[Cost]],Upgrades[],MATCH("C"&amp;CostRemaining[#Headers],Upgrades[#Headers],0),FALSE),0)*MAX(0,SUM($G64:Q64)),0)</f>
        <v>0</v>
      </c>
      <c r="Q116" s="102">
        <f>IF(VALUE(CostRemaining[#Headers])&lt;=$F64,IFERROR(VLOOKUP(CostRemaining[[#This Row],[Cost]],Upgrades[],MATCH("C"&amp;CostRemaining[#Headers],Upgrades[#Headers],0),FALSE),0)*MAX(0,SUM($G64:R64)),0)</f>
        <v>0</v>
      </c>
      <c r="R116" s="102">
        <f>IF(CostRemaining[[#This Row],[MatchStr]]="IGNORE",0,SUM(CostRemaining[[#This Row],[1]:[12]]))</f>
        <v>20000</v>
      </c>
    </row>
    <row r="117" spans="1:18">
      <c r="A117" s="47" t="s">
        <v>101</v>
      </c>
      <c r="B117" s="103" t="str">
        <f>VLOOKUP(CostRemaining[[#This Row],[Cost]],Upgrades[],2,FALSE)</f>
        <v>Upgrade</v>
      </c>
      <c r="C117" s="103" t="str">
        <f>VLOOKUP(CostRemaining[[#This Row],[Cost]],Upgrades[],3,FALSE)</f>
        <v>Dark Elixir</v>
      </c>
      <c r="D117" s="104" t="str">
        <f>IF((IFERROR(MATCH(CostRemaining[[#This Row],[Cost]],$O$16:$S$16,0),0)+IFERROR(MATCH(CostRemaining[[#This Row],[Cost]],$O$17:$S$17,0),0))&gt;0,"IGNORE",CostRemaining[Kind]&amp;"-"&amp;CostRemaining[Resource])</f>
        <v>Upgrade-Dark Elixir</v>
      </c>
      <c r="E117" s="101" t="str">
        <f>IFERROR(VLOOKUP(CostRemaining[[#This Row],[Cost]],Upgrades[],MATCH("C"&amp;MATCH(TRUE,INDEX(CostRemaining[[#This Row],[1]:[12]]&lt;&gt;0,),0),Upgrades[#Headers],0),FALSE),"")</f>
        <v/>
      </c>
      <c r="F117" s="102">
        <f>IF(VALUE(CostRemaining[#Headers])&lt;=$F65,IFERROR(VLOOKUP(CostRemaining[[#This Row],[Cost]],Upgrades[],MATCH("C"&amp;CostRemaining[#Headers],Upgrades[#Headers],0),FALSE),0)*MAX(0,SUM($G65:G65)),0)</f>
        <v>0</v>
      </c>
      <c r="G117" s="102">
        <f>IF(VALUE(CostRemaining[#Headers])&lt;=$F65,IFERROR(VLOOKUP(CostRemaining[[#This Row],[Cost]],Upgrades[],MATCH("C"&amp;CostRemaining[#Headers],Upgrades[#Headers],0),FALSE),0)*MAX(0,SUM($G65:H65)),0)</f>
        <v>0</v>
      </c>
      <c r="H117" s="102">
        <f>IF(VALUE(CostRemaining[#Headers])&lt;=$F65,IFERROR(VLOOKUP(CostRemaining[[#This Row],[Cost]],Upgrades[],MATCH("C"&amp;CostRemaining[#Headers],Upgrades[#Headers],0),FALSE),0)*MAX(0,SUM($G65:I65)),0)</f>
        <v>0</v>
      </c>
      <c r="I117" s="102">
        <f>IF(VALUE(CostRemaining[#Headers])&lt;=$F65,IFERROR(VLOOKUP(CostRemaining[[#This Row],[Cost]],Upgrades[],MATCH("C"&amp;CostRemaining[#Headers],Upgrades[#Headers],0),FALSE),0)*MAX(0,SUM($G65:J65)),0)</f>
        <v>0</v>
      </c>
      <c r="J117" s="102">
        <f>IF(VALUE(CostRemaining[#Headers])&lt;=$F65,IFERROR(VLOOKUP(CostRemaining[[#This Row],[Cost]],Upgrades[],MATCH("C"&amp;CostRemaining[#Headers],Upgrades[#Headers],0),FALSE),0)*MAX(0,SUM($G65:K65)),0)</f>
        <v>0</v>
      </c>
      <c r="K117" s="102">
        <f>IF(VALUE(CostRemaining[#Headers])&lt;=$F65,IFERROR(VLOOKUP(CostRemaining[[#This Row],[Cost]],Upgrades[],MATCH("C"&amp;CostRemaining[#Headers],Upgrades[#Headers],0),FALSE),0)*MAX(0,SUM($G65:L65)),0)</f>
        <v>0</v>
      </c>
      <c r="L117" s="102">
        <f>IF(VALUE(CostRemaining[#Headers])&lt;=$F65,IFERROR(VLOOKUP(CostRemaining[[#This Row],[Cost]],Upgrades[],MATCH("C"&amp;CostRemaining[#Headers],Upgrades[#Headers],0),FALSE),0)*MAX(0,SUM($G65:M65)),0)</f>
        <v>0</v>
      </c>
      <c r="M117" s="102">
        <f>IF(VALUE(CostRemaining[#Headers])&lt;=$F65,IFERROR(VLOOKUP(CostRemaining[[#This Row],[Cost]],Upgrades[],MATCH("C"&amp;CostRemaining[#Headers],Upgrades[#Headers],0),FALSE),0)*MAX(0,SUM($G65:N65)),0)</f>
        <v>0</v>
      </c>
      <c r="N117" s="102">
        <f>IF(VALUE(CostRemaining[#Headers])&lt;=$F65,IFERROR(VLOOKUP(CostRemaining[[#This Row],[Cost]],Upgrades[],MATCH("C"&amp;CostRemaining[#Headers],Upgrades[#Headers],0),FALSE),0)*MAX(0,SUM($G65:O65)),0)</f>
        <v>0</v>
      </c>
      <c r="O117" s="102">
        <f>IF(VALUE(CostRemaining[#Headers])&lt;=$F65,IFERROR(VLOOKUP(CostRemaining[[#This Row],[Cost]],Upgrades[],MATCH("C"&amp;CostRemaining[#Headers],Upgrades[#Headers],0),FALSE),0)*MAX(0,SUM($G65:P65)),0)</f>
        <v>0</v>
      </c>
      <c r="P117" s="102">
        <f>IF(VALUE(CostRemaining[#Headers])&lt;=$F65,IFERROR(VLOOKUP(CostRemaining[[#This Row],[Cost]],Upgrades[],MATCH("C"&amp;CostRemaining[#Headers],Upgrades[#Headers],0),FALSE),0)*MAX(0,SUM($G65:Q65)),0)</f>
        <v>0</v>
      </c>
      <c r="Q117" s="102">
        <f>IF(VALUE(CostRemaining[#Headers])&lt;=$F65,IFERROR(VLOOKUP(CostRemaining[[#This Row],[Cost]],Upgrades[],MATCH("C"&amp;CostRemaining[#Headers],Upgrades[#Headers],0),FALSE),0)*MAX(0,SUM($G65:R65)),0)</f>
        <v>0</v>
      </c>
      <c r="R117" s="102">
        <f>IF(CostRemaining[[#This Row],[MatchStr]]="IGNORE",0,SUM(CostRemaining[[#This Row],[1]:[12]]))</f>
        <v>0</v>
      </c>
    </row>
    <row r="118" spans="1:18">
      <c r="A118" s="47" t="s">
        <v>102</v>
      </c>
      <c r="B118" s="103" t="str">
        <f>VLOOKUP(CostRemaining[[#This Row],[Cost]],Upgrades[],2,FALSE)</f>
        <v>Upgrade</v>
      </c>
      <c r="C118" s="103" t="str">
        <f>VLOOKUP(CostRemaining[[#This Row],[Cost]],Upgrades[],3,FALSE)</f>
        <v>Dark Elixir</v>
      </c>
      <c r="D118" s="104" t="str">
        <f>IF((IFERROR(MATCH(CostRemaining[[#This Row],[Cost]],$O$16:$S$16,0),0)+IFERROR(MATCH(CostRemaining[[#This Row],[Cost]],$O$17:$S$17,0),0))&gt;0,"IGNORE",CostRemaining[Kind]&amp;"-"&amp;CostRemaining[Resource])</f>
        <v>Upgrade-Dark Elixir</v>
      </c>
      <c r="E118" s="101" t="str">
        <f>IFERROR(VLOOKUP(CostRemaining[[#This Row],[Cost]],Upgrades[],MATCH("C"&amp;MATCH(TRUE,INDEX(CostRemaining[[#This Row],[1]:[12]]&lt;&gt;0,),0),Upgrades[#Headers],0),FALSE),"")</f>
        <v/>
      </c>
      <c r="F118" s="102">
        <f>IF(VALUE(CostRemaining[#Headers])&lt;=$F66,IFERROR(VLOOKUP(CostRemaining[[#This Row],[Cost]],Upgrades[],MATCH("C"&amp;CostRemaining[#Headers],Upgrades[#Headers],0),FALSE),0)*MAX(0,SUM($G66:G66)),0)</f>
        <v>0</v>
      </c>
      <c r="G118" s="102">
        <f>IF(VALUE(CostRemaining[#Headers])&lt;=$F66,IFERROR(VLOOKUP(CostRemaining[[#This Row],[Cost]],Upgrades[],MATCH("C"&amp;CostRemaining[#Headers],Upgrades[#Headers],0),FALSE),0)*MAX(0,SUM($G66:H66)),0)</f>
        <v>0</v>
      </c>
      <c r="H118" s="102">
        <f>IF(VALUE(CostRemaining[#Headers])&lt;=$F66,IFERROR(VLOOKUP(CostRemaining[[#This Row],[Cost]],Upgrades[],MATCH("C"&amp;CostRemaining[#Headers],Upgrades[#Headers],0),FALSE),0)*MAX(0,SUM($G66:I66)),0)</f>
        <v>0</v>
      </c>
      <c r="I118" s="102">
        <f>IF(VALUE(CostRemaining[#Headers])&lt;=$F66,IFERROR(VLOOKUP(CostRemaining[[#This Row],[Cost]],Upgrades[],MATCH("C"&amp;CostRemaining[#Headers],Upgrades[#Headers],0),FALSE),0)*MAX(0,SUM($G66:J66)),0)</f>
        <v>0</v>
      </c>
      <c r="J118" s="102">
        <f>IF(VALUE(CostRemaining[#Headers])&lt;=$F66,IFERROR(VLOOKUP(CostRemaining[[#This Row],[Cost]],Upgrades[],MATCH("C"&amp;CostRemaining[#Headers],Upgrades[#Headers],0),FALSE),0)*MAX(0,SUM($G66:K66)),0)</f>
        <v>0</v>
      </c>
      <c r="K118" s="102">
        <f>IF(VALUE(CostRemaining[#Headers])&lt;=$F66,IFERROR(VLOOKUP(CostRemaining[[#This Row],[Cost]],Upgrades[],MATCH("C"&amp;CostRemaining[#Headers],Upgrades[#Headers],0),FALSE),0)*MAX(0,SUM($G66:L66)),0)</f>
        <v>0</v>
      </c>
      <c r="L118" s="102">
        <f>IF(VALUE(CostRemaining[#Headers])&lt;=$F66,IFERROR(VLOOKUP(CostRemaining[[#This Row],[Cost]],Upgrades[],MATCH("C"&amp;CostRemaining[#Headers],Upgrades[#Headers],0),FALSE),0)*MAX(0,SUM($G66:M66)),0)</f>
        <v>0</v>
      </c>
      <c r="M118" s="102">
        <f>IF(VALUE(CostRemaining[#Headers])&lt;=$F66,IFERROR(VLOOKUP(CostRemaining[[#This Row],[Cost]],Upgrades[],MATCH("C"&amp;CostRemaining[#Headers],Upgrades[#Headers],0),FALSE),0)*MAX(0,SUM($G66:N66)),0)</f>
        <v>0</v>
      </c>
      <c r="N118" s="102">
        <f>IF(VALUE(CostRemaining[#Headers])&lt;=$F66,IFERROR(VLOOKUP(CostRemaining[[#This Row],[Cost]],Upgrades[],MATCH("C"&amp;CostRemaining[#Headers],Upgrades[#Headers],0),FALSE),0)*MAX(0,SUM($G66:O66)),0)</f>
        <v>0</v>
      </c>
      <c r="O118" s="102">
        <f>IF(VALUE(CostRemaining[#Headers])&lt;=$F66,IFERROR(VLOOKUP(CostRemaining[[#This Row],[Cost]],Upgrades[],MATCH("C"&amp;CostRemaining[#Headers],Upgrades[#Headers],0),FALSE),0)*MAX(0,SUM($G66:P66)),0)</f>
        <v>0</v>
      </c>
      <c r="P118" s="102">
        <f>IF(VALUE(CostRemaining[#Headers])&lt;=$F66,IFERROR(VLOOKUP(CostRemaining[[#This Row],[Cost]],Upgrades[],MATCH("C"&amp;CostRemaining[#Headers],Upgrades[#Headers],0),FALSE),0)*MAX(0,SUM($G66:Q66)),0)</f>
        <v>0</v>
      </c>
      <c r="Q118" s="102">
        <f>IF(VALUE(CostRemaining[#Headers])&lt;=$F66,IFERROR(VLOOKUP(CostRemaining[[#This Row],[Cost]],Upgrades[],MATCH("C"&amp;CostRemaining[#Headers],Upgrades[#Headers],0),FALSE),0)*MAX(0,SUM($G66:R66)),0)</f>
        <v>0</v>
      </c>
      <c r="R118" s="102">
        <f>IF(CostRemaining[[#This Row],[MatchStr]]="IGNORE",0,SUM(CostRemaining[[#This Row],[1]:[12]]))</f>
        <v>0</v>
      </c>
    </row>
    <row r="119" spans="1:18">
      <c r="A119" s="105" t="s">
        <v>103</v>
      </c>
      <c r="B119" s="106" t="str">
        <f>VLOOKUP(CostRemaining[[#This Row],[Cost]],Upgrades[],2,FALSE)</f>
        <v>Upgrade</v>
      </c>
      <c r="C119" s="106" t="str">
        <f>VLOOKUP(CostRemaining[[#This Row],[Cost]],Upgrades[],3,FALSE)</f>
        <v>Dark Elixir</v>
      </c>
      <c r="D119" s="107" t="str">
        <f>IF((IFERROR(MATCH(CostRemaining[[#This Row],[Cost]],$O$16:$S$16,0),0)+IFERROR(MATCH(CostRemaining[[#This Row],[Cost]],$O$17:$S$17,0),0))&gt;0,"IGNORE",CostRemaining[Kind]&amp;"-"&amp;CostRemaining[Resource])</f>
        <v>Upgrade-Dark Elixir</v>
      </c>
      <c r="E119" s="108" t="str">
        <f>IFERROR(VLOOKUP(CostRemaining[[#This Row],[Cost]],Upgrades[],MATCH("C"&amp;MATCH(TRUE,INDEX(CostRemaining[[#This Row],[1]:[12]]&lt;&gt;0,),0),Upgrades[#Headers],0),FALSE),"")</f>
        <v/>
      </c>
      <c r="F119" s="109">
        <f>IF(VALUE(CostRemaining[#Headers])&lt;=$F67,IFERROR(VLOOKUP(CostRemaining[[#This Row],[Cost]],Upgrades[],MATCH("C"&amp;CostRemaining[#Headers],Upgrades[#Headers],0),FALSE),0)*MAX(0,SUM($G67:G67)),0)</f>
        <v>0</v>
      </c>
      <c r="G119" s="109">
        <f>IF(VALUE(CostRemaining[#Headers])&lt;=$F67,IFERROR(VLOOKUP(CostRemaining[[#This Row],[Cost]],Upgrades[],MATCH("C"&amp;CostRemaining[#Headers],Upgrades[#Headers],0),FALSE),0)*MAX(0,SUM($G67:H67)),0)</f>
        <v>0</v>
      </c>
      <c r="H119" s="109">
        <f>IF(VALUE(CostRemaining[#Headers])&lt;=$F67,IFERROR(VLOOKUP(CostRemaining[[#This Row],[Cost]],Upgrades[],MATCH("C"&amp;CostRemaining[#Headers],Upgrades[#Headers],0),FALSE),0)*MAX(0,SUM($G67:I67)),0)</f>
        <v>0</v>
      </c>
      <c r="I119" s="109">
        <f>IF(VALUE(CostRemaining[#Headers])&lt;=$F67,IFERROR(VLOOKUP(CostRemaining[[#This Row],[Cost]],Upgrades[],MATCH("C"&amp;CostRemaining[#Headers],Upgrades[#Headers],0),FALSE),0)*MAX(0,SUM($G67:J67)),0)</f>
        <v>0</v>
      </c>
      <c r="J119" s="109">
        <f>IF(VALUE(CostRemaining[#Headers])&lt;=$F67,IFERROR(VLOOKUP(CostRemaining[[#This Row],[Cost]],Upgrades[],MATCH("C"&amp;CostRemaining[#Headers],Upgrades[#Headers],0),FALSE),0)*MAX(0,SUM($G67:K67)),0)</f>
        <v>0</v>
      </c>
      <c r="K119" s="109">
        <f>IF(VALUE(CostRemaining[#Headers])&lt;=$F67,IFERROR(VLOOKUP(CostRemaining[[#This Row],[Cost]],Upgrades[],MATCH("C"&amp;CostRemaining[#Headers],Upgrades[#Headers],0),FALSE),0)*MAX(0,SUM($G67:L67)),0)</f>
        <v>0</v>
      </c>
      <c r="L119" s="109">
        <f>IF(VALUE(CostRemaining[#Headers])&lt;=$F67,IFERROR(VLOOKUP(CostRemaining[[#This Row],[Cost]],Upgrades[],MATCH("C"&amp;CostRemaining[#Headers],Upgrades[#Headers],0),FALSE),0)*MAX(0,SUM($G67:M67)),0)</f>
        <v>0</v>
      </c>
      <c r="M119" s="109">
        <f>IF(VALUE(CostRemaining[#Headers])&lt;=$F67,IFERROR(VLOOKUP(CostRemaining[[#This Row],[Cost]],Upgrades[],MATCH("C"&amp;CostRemaining[#Headers],Upgrades[#Headers],0),FALSE),0)*MAX(0,SUM($G67:N67)),0)</f>
        <v>0</v>
      </c>
      <c r="N119" s="109">
        <f>IF(VALUE(CostRemaining[#Headers])&lt;=$F67,IFERROR(VLOOKUP(CostRemaining[[#This Row],[Cost]],Upgrades[],MATCH("C"&amp;CostRemaining[#Headers],Upgrades[#Headers],0),FALSE),0)*MAX(0,SUM($G67:O67)),0)</f>
        <v>0</v>
      </c>
      <c r="O119" s="109">
        <f>IF(VALUE(CostRemaining[#Headers])&lt;=$F67,IFERROR(VLOOKUP(CostRemaining[[#This Row],[Cost]],Upgrades[],MATCH("C"&amp;CostRemaining[#Headers],Upgrades[#Headers],0),FALSE),0)*MAX(0,SUM($G67:P67)),0)</f>
        <v>0</v>
      </c>
      <c r="P119" s="109">
        <f>IF(VALUE(CostRemaining[#Headers])&lt;=$F67,IFERROR(VLOOKUP(CostRemaining[[#This Row],[Cost]],Upgrades[],MATCH("C"&amp;CostRemaining[#Headers],Upgrades[#Headers],0),FALSE),0)*MAX(0,SUM($G67:Q67)),0)</f>
        <v>0</v>
      </c>
      <c r="Q119" s="109">
        <f>IF(VALUE(CostRemaining[#Headers])&lt;=$F67,IFERROR(VLOOKUP(CostRemaining[[#This Row],[Cost]],Upgrades[],MATCH("C"&amp;CostRemaining[#Headers],Upgrades[#Headers],0),FALSE),0)*MAX(0,SUM($G67:R67)),0)</f>
        <v>0</v>
      </c>
      <c r="R119" s="109">
        <f>IF(CostRemaining[[#This Row],[MatchStr]]="IGNORE",0,SUM(CostRemaining[[#This Row],[1]:[12]]))</f>
        <v>0</v>
      </c>
    </row>
    <row r="121" spans="1:18">
      <c r="F121" s="47" t="s">
        <v>70</v>
      </c>
    </row>
    <row r="122" spans="1:18">
      <c r="A122" s="47" t="s">
        <v>0</v>
      </c>
      <c r="B122" s="47" t="s">
        <v>72</v>
      </c>
      <c r="C122" s="47" t="s">
        <v>31</v>
      </c>
      <c r="D122" s="75" t="s">
        <v>148</v>
      </c>
      <c r="E122" s="47" t="s">
        <v>71</v>
      </c>
      <c r="F122" s="47" t="s">
        <v>33</v>
      </c>
      <c r="G122" s="47" t="s">
        <v>34</v>
      </c>
      <c r="H122" s="47" t="s">
        <v>35</v>
      </c>
      <c r="I122" s="47" t="s">
        <v>36</v>
      </c>
      <c r="J122" s="47" t="s">
        <v>37</v>
      </c>
      <c r="K122" s="47" t="s">
        <v>38</v>
      </c>
      <c r="L122" s="47" t="s">
        <v>39</v>
      </c>
      <c r="M122" s="47" t="s">
        <v>40</v>
      </c>
      <c r="N122" s="47" t="s">
        <v>41</v>
      </c>
      <c r="O122" s="47" t="s">
        <v>42</v>
      </c>
      <c r="P122" s="47" t="s">
        <v>43</v>
      </c>
      <c r="Q122" s="47" t="s">
        <v>44</v>
      </c>
      <c r="R122" s="47" t="s">
        <v>69</v>
      </c>
    </row>
    <row r="123" spans="1:18">
      <c r="A123" s="47" t="s">
        <v>13</v>
      </c>
      <c r="B123" s="47" t="str">
        <f>VLOOKUP(TimeRemaining[[#This Row],[Time]],Upgrades[],2,FALSE)</f>
        <v>Building</v>
      </c>
      <c r="C123" s="47" t="str">
        <f>VLOOKUP(TimeRemaining[[#This Row],[Time]],Upgrades[],3,FALSE)</f>
        <v>Gold</v>
      </c>
      <c r="D123" s="75" t="str">
        <f>IF((IFERROR(MATCH(TimeRemaining[[#This Row],[Time]],$O$16:$S$16,0),0)+IFERROR(MATCH(TimeRemaining[[#This Row],[Time]],$O$17:$S$17,0),0))&gt;0,"IGNORE",TimeRemaining[Kind]&amp;"-"&amp;TimeRemaining[Resource])</f>
        <v>Building-Gold</v>
      </c>
      <c r="E123" s="101">
        <f>IFERROR(VLOOKUP(TimeRemaining[[#This Row],[Time]],Upgrades[],MATCH("T"&amp;MATCH(TRUE,INDEX(TimeRemaining[[#This Row],[1]:[12]]&lt;&gt;0,),0),Upgrades[#Headers],0),FALSE),"")</f>
        <v>8</v>
      </c>
      <c r="F123" s="110">
        <f>IF(VALUE(TimeRemaining[#Headers])&lt;=$F19,IFERROR(VLOOKUP(TimeRemaining[[#This Row],[Time]],Upgrades[],MATCH("T"&amp;TimeRemaining[#Headers],Upgrades[#Headers],0),FALSE),0)*MAX(0,SUM($G19:G19)),0)</f>
        <v>0</v>
      </c>
      <c r="G123" s="110">
        <f>IF(VALUE(TimeRemaining[#Headers])&lt;=$F19,IFERROR(VLOOKUP(TimeRemaining[[#This Row],[Time]],Upgrades[],MATCH("T"&amp;TimeRemaining[#Headers],Upgrades[#Headers],0),FALSE),0)*MAX(0,SUM($G19:H19)),0)</f>
        <v>0</v>
      </c>
      <c r="H123" s="110">
        <f>IF(VALUE(TimeRemaining[#Headers])&lt;=$F19,IFERROR(VLOOKUP(TimeRemaining[[#This Row],[Time]],Upgrades[],MATCH("T"&amp;TimeRemaining[#Headers],Upgrades[#Headers],0),FALSE),0)*MAX(0,SUM($G19:I19)),0)</f>
        <v>0</v>
      </c>
      <c r="I123" s="110">
        <f>IF(VALUE(TimeRemaining[#Headers])&lt;=$F19,IFERROR(VLOOKUP(TimeRemaining[[#This Row],[Time]],Upgrades[],MATCH("T"&amp;TimeRemaining[#Headers],Upgrades[#Headers],0),FALSE),0)*MAX(0,SUM($G19:J19)),0)</f>
        <v>0</v>
      </c>
      <c r="J123" s="110">
        <f>IF(VALUE(TimeRemaining[#Headers])&lt;=$F19,IFERROR(VLOOKUP(TimeRemaining[[#This Row],[Time]],Upgrades[],MATCH("T"&amp;TimeRemaining[#Headers],Upgrades[#Headers],0),FALSE),0)*MAX(0,SUM($G19:K19)),0)</f>
        <v>0</v>
      </c>
      <c r="K123" s="110">
        <f>IF(VALUE(TimeRemaining[#Headers])&lt;=$F19,IFERROR(VLOOKUP(TimeRemaining[[#This Row],[Time]],Upgrades[],MATCH("T"&amp;TimeRemaining[#Headers],Upgrades[#Headers],0),FALSE),0)*MAX(0,SUM($G19:L19)),0)</f>
        <v>0</v>
      </c>
      <c r="L123" s="110">
        <f>IF(VALUE(TimeRemaining[#Headers])&lt;=$F19,IFERROR(VLOOKUP(TimeRemaining[[#This Row],[Time]],Upgrades[],MATCH("T"&amp;TimeRemaining[#Headers],Upgrades[#Headers],0),FALSE),0)*MAX(0,SUM($G19:M19)),0)</f>
        <v>0</v>
      </c>
      <c r="M123" s="110">
        <f>IF(VALUE(TimeRemaining[#Headers])&lt;=$F19,IFERROR(VLOOKUP(TimeRemaining[[#This Row],[Time]],Upgrades[],MATCH("T"&amp;TimeRemaining[#Headers],Upgrades[#Headers],0),FALSE),0)*MAX(0,SUM($G19:N19)),0)</f>
        <v>8</v>
      </c>
      <c r="N123" s="110">
        <f>IF(VALUE(TimeRemaining[#Headers])&lt;=$F19,IFERROR(VLOOKUP(TimeRemaining[[#This Row],[Time]],Upgrades[],MATCH("T"&amp;TimeRemaining[#Headers],Upgrades[#Headers],0),FALSE),0)*MAX(0,SUM($G19:O19)),0)</f>
        <v>0</v>
      </c>
      <c r="O123" s="110">
        <f>IF(VALUE(TimeRemaining[#Headers])&lt;=$F19,IFERROR(VLOOKUP(TimeRemaining[[#This Row],[Time]],Upgrades[],MATCH("T"&amp;TimeRemaining[#Headers],Upgrades[#Headers],0),FALSE),0)*MAX(0,SUM($G19:P19)),0)</f>
        <v>0</v>
      </c>
      <c r="P123" s="110">
        <f>IF(VALUE(TimeRemaining[#Headers])&lt;=$F19,IFERROR(VLOOKUP(TimeRemaining[[#This Row],[Time]],Upgrades[],MATCH("T"&amp;TimeRemaining[#Headers],Upgrades[#Headers],0),FALSE),0)*MAX(0,SUM($G19:Q19)),0)</f>
        <v>0</v>
      </c>
      <c r="Q123" s="110">
        <f>IF(VALUE(TimeRemaining[#Headers])&lt;=$F19,IFERROR(VLOOKUP(TimeRemaining[[#This Row],[Time]],Upgrades[],MATCH("T"&amp;TimeRemaining[#Headers],Upgrades[#Headers],0),FALSE),0)*MAX(0,SUM($G19:R19)),0)</f>
        <v>0</v>
      </c>
      <c r="R123" s="110">
        <f>IF(TimeRemaining[[#This Row],[MatchStr]]="IGNORE",0,SUM(TimeRemaining[[#This Row],[1]:[12]]))</f>
        <v>8</v>
      </c>
    </row>
    <row r="124" spans="1:18">
      <c r="A124" s="47" t="s">
        <v>21</v>
      </c>
      <c r="B124" s="47" t="str">
        <f>VLOOKUP(TimeRemaining[[#This Row],[Time]],Upgrades[],2,FALSE)</f>
        <v>Building</v>
      </c>
      <c r="C124" s="47" t="str">
        <f>VLOOKUP(TimeRemaining[[#This Row],[Time]],Upgrades[],3,FALSE)</f>
        <v>Elixir</v>
      </c>
      <c r="D124" s="75" t="str">
        <f>IF((IFERROR(MATCH(TimeRemaining[[#This Row],[Time]],$O$16:$S$16,0),0)+IFERROR(MATCH(TimeRemaining[[#This Row],[Time]],$O$17:$S$17,0),0))&gt;0,"IGNORE",TimeRemaining[Kind]&amp;"-"&amp;TimeRemaining[Resource])</f>
        <v>Building-Elixir</v>
      </c>
      <c r="E124" s="101" t="str">
        <f>IFERROR(VLOOKUP(TimeRemaining[[#This Row],[Time]],Upgrades[],MATCH("T"&amp;MATCH(TRUE,INDEX(TimeRemaining[[#This Row],[1]:[12]]&lt;&gt;0,),0),Upgrades[#Headers],0),FALSE),"")</f>
        <v/>
      </c>
      <c r="F124" s="110">
        <f>IF(VALUE(TimeRemaining[#Headers])&lt;=$F20,IFERROR(VLOOKUP(TimeRemaining[[#This Row],[Time]],Upgrades[],MATCH("T"&amp;TimeRemaining[#Headers],Upgrades[#Headers],0),FALSE),0)*MAX(0,SUM($G20:G20)),0)</f>
        <v>0</v>
      </c>
      <c r="G124" s="110">
        <f>IF(VALUE(TimeRemaining[#Headers])&lt;=$F20,IFERROR(VLOOKUP(TimeRemaining[[#This Row],[Time]],Upgrades[],MATCH("T"&amp;TimeRemaining[#Headers],Upgrades[#Headers],0),FALSE),0)*MAX(0,SUM($G20:H20)),0)</f>
        <v>0</v>
      </c>
      <c r="H124" s="110">
        <f>IF(VALUE(TimeRemaining[#Headers])&lt;=$F20,IFERROR(VLOOKUP(TimeRemaining[[#This Row],[Time]],Upgrades[],MATCH("T"&amp;TimeRemaining[#Headers],Upgrades[#Headers],0),FALSE),0)*MAX(0,SUM($G20:I20)),0)</f>
        <v>0</v>
      </c>
      <c r="I124" s="110">
        <f>IF(VALUE(TimeRemaining[#Headers])&lt;=$F20,IFERROR(VLOOKUP(TimeRemaining[[#This Row],[Time]],Upgrades[],MATCH("T"&amp;TimeRemaining[#Headers],Upgrades[#Headers],0),FALSE),0)*MAX(0,SUM($G20:J20)),0)</f>
        <v>0</v>
      </c>
      <c r="J124" s="110">
        <f>IF(VALUE(TimeRemaining[#Headers])&lt;=$F20,IFERROR(VLOOKUP(TimeRemaining[[#This Row],[Time]],Upgrades[],MATCH("T"&amp;TimeRemaining[#Headers],Upgrades[#Headers],0),FALSE),0)*MAX(0,SUM($G20:K20)),0)</f>
        <v>0</v>
      </c>
      <c r="K124" s="110">
        <f>IF(VALUE(TimeRemaining[#Headers])&lt;=$F20,IFERROR(VLOOKUP(TimeRemaining[[#This Row],[Time]],Upgrades[],MATCH("T"&amp;TimeRemaining[#Headers],Upgrades[#Headers],0),FALSE),0)*MAX(0,SUM($G20:L20)),0)</f>
        <v>0</v>
      </c>
      <c r="L124" s="110">
        <f>IF(VALUE(TimeRemaining[#Headers])&lt;=$F20,IFERROR(VLOOKUP(TimeRemaining[[#This Row],[Time]],Upgrades[],MATCH("T"&amp;TimeRemaining[#Headers],Upgrades[#Headers],0),FALSE),0)*MAX(0,SUM($G20:M20)),0)</f>
        <v>0</v>
      </c>
      <c r="M124" s="110">
        <f>IF(VALUE(TimeRemaining[#Headers])&lt;=$F20,IFERROR(VLOOKUP(TimeRemaining[[#This Row],[Time]],Upgrades[],MATCH("T"&amp;TimeRemaining[#Headers],Upgrades[#Headers],0),FALSE),0)*MAX(0,SUM($G20:N20)),0)</f>
        <v>0</v>
      </c>
      <c r="N124" s="110">
        <f>IF(VALUE(TimeRemaining[#Headers])&lt;=$F20,IFERROR(VLOOKUP(TimeRemaining[[#This Row],[Time]],Upgrades[],MATCH("T"&amp;TimeRemaining[#Headers],Upgrades[#Headers],0),FALSE),0)*MAX(0,SUM($G20:O20)),0)</f>
        <v>0</v>
      </c>
      <c r="O124" s="110">
        <f>IF(VALUE(TimeRemaining[#Headers])&lt;=$F20,IFERROR(VLOOKUP(TimeRemaining[[#This Row],[Time]],Upgrades[],MATCH("T"&amp;TimeRemaining[#Headers],Upgrades[#Headers],0),FALSE),0)*MAX(0,SUM($G20:P20)),0)</f>
        <v>0</v>
      </c>
      <c r="P124" s="110">
        <f>IF(VALUE(TimeRemaining[#Headers])&lt;=$F20,IFERROR(VLOOKUP(TimeRemaining[[#This Row],[Time]],Upgrades[],MATCH("T"&amp;TimeRemaining[#Headers],Upgrades[#Headers],0),FALSE),0)*MAX(0,SUM($G20:Q20)),0)</f>
        <v>0</v>
      </c>
      <c r="Q124" s="110">
        <f>IF(VALUE(TimeRemaining[#Headers])&lt;=$F20,IFERROR(VLOOKUP(TimeRemaining[[#This Row],[Time]],Upgrades[],MATCH("T"&amp;TimeRemaining[#Headers],Upgrades[#Headers],0),FALSE),0)*MAX(0,SUM($G20:R20)),0)</f>
        <v>0</v>
      </c>
      <c r="R124" s="110">
        <f>IF(TimeRemaining[[#This Row],[MatchStr]]="IGNORE",0,SUM(TimeRemaining[[#This Row],[1]:[12]]))</f>
        <v>0</v>
      </c>
    </row>
    <row r="125" spans="1:18">
      <c r="A125" s="47" t="s">
        <v>2</v>
      </c>
      <c r="B125" s="103" t="str">
        <f>VLOOKUP(TimeRemaining[[#This Row],[Time]],Upgrades[],2,FALSE)</f>
        <v>Building</v>
      </c>
      <c r="C125" s="103" t="str">
        <f>VLOOKUP(TimeRemaining[[#This Row],[Time]],Upgrades[],3,FALSE)</f>
        <v>Elixir</v>
      </c>
      <c r="D125" s="104" t="str">
        <f>IF((IFERROR(MATCH(TimeRemaining[[#This Row],[Time]],$O$16:$S$16,0),0)+IFERROR(MATCH(TimeRemaining[[#This Row],[Time]],$O$17:$S$17,0),0))&gt;0,"IGNORE",TimeRemaining[Kind]&amp;"-"&amp;TimeRemaining[Resource])</f>
        <v>Building-Elixir</v>
      </c>
      <c r="E125" s="111">
        <f>IFERROR(VLOOKUP(TimeRemaining[[#This Row],[Time]],Upgrades[],MATCH("T"&amp;MATCH(TRUE,INDEX(TimeRemaining[[#This Row],[1]:[12]]&lt;&gt;0,),0),Upgrades[#Headers],0),FALSE),"")</f>
        <v>2</v>
      </c>
      <c r="F125" s="110">
        <f>IF(VALUE(TimeRemaining[#Headers])&lt;=$F21,IFERROR(VLOOKUP(TimeRemaining[[#This Row],[Time]],Upgrades[],MATCH("T"&amp;TimeRemaining[#Headers],Upgrades[#Headers],0),FALSE),0)*MAX(0,SUM($G21:G21)),0)</f>
        <v>0</v>
      </c>
      <c r="G125" s="110">
        <f>IF(VALUE(TimeRemaining[#Headers])&lt;=$F21,IFERROR(VLOOKUP(TimeRemaining[[#This Row],[Time]],Upgrades[],MATCH("T"&amp;TimeRemaining[#Headers],Upgrades[#Headers],0),FALSE),0)*MAX(0,SUM($G21:H21)),0)</f>
        <v>0</v>
      </c>
      <c r="H125" s="110">
        <f>IF(VALUE(TimeRemaining[#Headers])&lt;=$F21,IFERROR(VLOOKUP(TimeRemaining[[#This Row],[Time]],Upgrades[],MATCH("T"&amp;TimeRemaining[#Headers],Upgrades[#Headers],0),FALSE),0)*MAX(0,SUM($G21:I21)),0)</f>
        <v>0</v>
      </c>
      <c r="I125" s="110">
        <f>IF(VALUE(TimeRemaining[#Headers])&lt;=$F21,IFERROR(VLOOKUP(TimeRemaining[[#This Row],[Time]],Upgrades[],MATCH("T"&amp;TimeRemaining[#Headers],Upgrades[#Headers],0),FALSE),0)*MAX(0,SUM($G21:J21)),0)</f>
        <v>0</v>
      </c>
      <c r="J125" s="110">
        <f>IF(VALUE(TimeRemaining[#Headers])&lt;=$F21,IFERROR(VLOOKUP(TimeRemaining[[#This Row],[Time]],Upgrades[],MATCH("T"&amp;TimeRemaining[#Headers],Upgrades[#Headers],0),FALSE),0)*MAX(0,SUM($G21:K21)),0)</f>
        <v>0</v>
      </c>
      <c r="K125" s="110">
        <f>IF(VALUE(TimeRemaining[#Headers])&lt;=$F21,IFERROR(VLOOKUP(TimeRemaining[[#This Row],[Time]],Upgrades[],MATCH("T"&amp;TimeRemaining[#Headers],Upgrades[#Headers],0),FALSE),0)*MAX(0,SUM($G21:L21)),0)</f>
        <v>0</v>
      </c>
      <c r="L125" s="110">
        <f>IF(VALUE(TimeRemaining[#Headers])&lt;=$F21,IFERROR(VLOOKUP(TimeRemaining[[#This Row],[Time]],Upgrades[],MATCH("T"&amp;TimeRemaining[#Headers],Upgrades[#Headers],0),FALSE),0)*MAX(0,SUM($G21:M21)),0)</f>
        <v>0</v>
      </c>
      <c r="M125" s="110">
        <f>IF(VALUE(TimeRemaining[#Headers])&lt;=$F21,IFERROR(VLOOKUP(TimeRemaining[[#This Row],[Time]],Upgrades[],MATCH("T"&amp;TimeRemaining[#Headers],Upgrades[#Headers],0),FALSE),0)*MAX(0,SUM($G21:N21)),0)</f>
        <v>2</v>
      </c>
      <c r="N125" s="110">
        <f>IF(VALUE(TimeRemaining[#Headers])&lt;=$F21,IFERROR(VLOOKUP(TimeRemaining[[#This Row],[Time]],Upgrades[],MATCH("T"&amp;TimeRemaining[#Headers],Upgrades[#Headers],0),FALSE),0)*MAX(0,SUM($G21:O21)),0)</f>
        <v>16</v>
      </c>
      <c r="O125" s="110">
        <f>IF(VALUE(TimeRemaining[#Headers])&lt;=$F21,IFERROR(VLOOKUP(TimeRemaining[[#This Row],[Time]],Upgrades[],MATCH("T"&amp;TimeRemaining[#Headers],Upgrades[#Headers],0),FALSE),0)*MAX(0,SUM($G21:P21)),0)</f>
        <v>0</v>
      </c>
      <c r="P125" s="110">
        <f>IF(VALUE(TimeRemaining[#Headers])&lt;=$F21,IFERROR(VLOOKUP(TimeRemaining[[#This Row],[Time]],Upgrades[],MATCH("T"&amp;TimeRemaining[#Headers],Upgrades[#Headers],0),FALSE),0)*MAX(0,SUM($G21:Q21)),0)</f>
        <v>0</v>
      </c>
      <c r="Q125" s="110">
        <f>IF(VALUE(TimeRemaining[#Headers])&lt;=$F21,IFERROR(VLOOKUP(TimeRemaining[[#This Row],[Time]],Upgrades[],MATCH("T"&amp;TimeRemaining[#Headers],Upgrades[#Headers],0),FALSE),0)*MAX(0,SUM($G21:R21)),0)</f>
        <v>0</v>
      </c>
      <c r="R125" s="110">
        <f>IF(TimeRemaining[[#This Row],[MatchStr]]="IGNORE",0,SUM(TimeRemaining[[#This Row],[1]:[12]]))</f>
        <v>18</v>
      </c>
    </row>
    <row r="126" spans="1:18">
      <c r="A126" s="47" t="s">
        <v>20</v>
      </c>
      <c r="B126" s="103" t="str">
        <f>VLOOKUP(TimeRemaining[[#This Row],[Time]],Upgrades[],2,FALSE)</f>
        <v>Building</v>
      </c>
      <c r="C126" s="103" t="str">
        <f>VLOOKUP(TimeRemaining[[#This Row],[Time]],Upgrades[],3,FALSE)</f>
        <v>Elixir</v>
      </c>
      <c r="D126" s="104" t="str">
        <f>IF((IFERROR(MATCH(TimeRemaining[[#This Row],[Time]],$O$16:$S$16,0),0)+IFERROR(MATCH(TimeRemaining[[#This Row],[Time]],$O$17:$S$17,0),0))&gt;0,"IGNORE",TimeRemaining[Kind]&amp;"-"&amp;TimeRemaining[Resource])</f>
        <v>Building-Elixir</v>
      </c>
      <c r="E126" s="111">
        <f>IFERROR(VLOOKUP(TimeRemaining[[#This Row],[Time]],Upgrades[],MATCH("T"&amp;MATCH(TRUE,INDEX(TimeRemaining[[#This Row],[1]:[12]]&lt;&gt;0,),0),Upgrades[#Headers],0),FALSE),"")</f>
        <v>3</v>
      </c>
      <c r="F126" s="110">
        <f>IF(VALUE(TimeRemaining[#Headers])&lt;=$F22,IFERROR(VLOOKUP(TimeRemaining[[#This Row],[Time]],Upgrades[],MATCH("T"&amp;TimeRemaining[#Headers],Upgrades[#Headers],0),FALSE),0)*MAX(0,SUM($G22:G22)),0)</f>
        <v>0</v>
      </c>
      <c r="G126" s="110">
        <f>IF(VALUE(TimeRemaining[#Headers])&lt;=$F22,IFERROR(VLOOKUP(TimeRemaining[[#This Row],[Time]],Upgrades[],MATCH("T"&amp;TimeRemaining[#Headers],Upgrades[#Headers],0),FALSE),0)*MAX(0,SUM($G22:H22)),0)</f>
        <v>0</v>
      </c>
      <c r="H126" s="110">
        <f>IF(VALUE(TimeRemaining[#Headers])&lt;=$F22,IFERROR(VLOOKUP(TimeRemaining[[#This Row],[Time]],Upgrades[],MATCH("T"&amp;TimeRemaining[#Headers],Upgrades[#Headers],0),FALSE),0)*MAX(0,SUM($G22:I22)),0)</f>
        <v>0</v>
      </c>
      <c r="I126" s="110">
        <f>IF(VALUE(TimeRemaining[#Headers])&lt;=$F22,IFERROR(VLOOKUP(TimeRemaining[[#This Row],[Time]],Upgrades[],MATCH("T"&amp;TimeRemaining[#Headers],Upgrades[#Headers],0),FALSE),0)*MAX(0,SUM($G22:J22)),0)</f>
        <v>0</v>
      </c>
      <c r="J126" s="110">
        <f>IF(VALUE(TimeRemaining[#Headers])&lt;=$F22,IFERROR(VLOOKUP(TimeRemaining[[#This Row],[Time]],Upgrades[],MATCH("T"&amp;TimeRemaining[#Headers],Upgrades[#Headers],0),FALSE),0)*MAX(0,SUM($G22:K22)),0)</f>
        <v>0</v>
      </c>
      <c r="K126" s="110">
        <f>IF(VALUE(TimeRemaining[#Headers])&lt;=$F22,IFERROR(VLOOKUP(TimeRemaining[[#This Row],[Time]],Upgrades[],MATCH("T"&amp;TimeRemaining[#Headers],Upgrades[#Headers],0),FALSE),0)*MAX(0,SUM($G22:L22)),0)</f>
        <v>3</v>
      </c>
      <c r="L126" s="110">
        <f>IF(VALUE(TimeRemaining[#Headers])&lt;=$F22,IFERROR(VLOOKUP(TimeRemaining[[#This Row],[Time]],Upgrades[],MATCH("T"&amp;TimeRemaining[#Headers],Upgrades[#Headers],0),FALSE),0)*MAX(0,SUM($G22:M22)),0)</f>
        <v>0</v>
      </c>
      <c r="M126" s="110">
        <f>IF(VALUE(TimeRemaining[#Headers])&lt;=$F22,IFERROR(VLOOKUP(TimeRemaining[[#This Row],[Time]],Upgrades[],MATCH("T"&amp;TimeRemaining[#Headers],Upgrades[#Headers],0),FALSE),0)*MAX(0,SUM($G22:N22)),0)</f>
        <v>0</v>
      </c>
      <c r="N126" s="110">
        <f>IF(VALUE(TimeRemaining[#Headers])&lt;=$F22,IFERROR(VLOOKUP(TimeRemaining[[#This Row],[Time]],Upgrades[],MATCH("T"&amp;TimeRemaining[#Headers],Upgrades[#Headers],0),FALSE),0)*MAX(0,SUM($G22:O22)),0)</f>
        <v>0</v>
      </c>
      <c r="O126" s="110">
        <f>IF(VALUE(TimeRemaining[#Headers])&lt;=$F22,IFERROR(VLOOKUP(TimeRemaining[[#This Row],[Time]],Upgrades[],MATCH("T"&amp;TimeRemaining[#Headers],Upgrades[#Headers],0),FALSE),0)*MAX(0,SUM($G22:P22)),0)</f>
        <v>0</v>
      </c>
      <c r="P126" s="110">
        <f>IF(VALUE(TimeRemaining[#Headers])&lt;=$F22,IFERROR(VLOOKUP(TimeRemaining[[#This Row],[Time]],Upgrades[],MATCH("T"&amp;TimeRemaining[#Headers],Upgrades[#Headers],0),FALSE),0)*MAX(0,SUM($G22:Q22)),0)</f>
        <v>0</v>
      </c>
      <c r="Q126" s="110">
        <f>IF(VALUE(TimeRemaining[#Headers])&lt;=$F22,IFERROR(VLOOKUP(TimeRemaining[[#This Row],[Time]],Upgrades[],MATCH("T"&amp;TimeRemaining[#Headers],Upgrades[#Headers],0),FALSE),0)*MAX(0,SUM($G22:R22)),0)</f>
        <v>0</v>
      </c>
      <c r="R126" s="110">
        <f>IF(TimeRemaining[[#This Row],[MatchStr]]="IGNORE",0,SUM(TimeRemaining[[#This Row],[1]:[12]]))</f>
        <v>3</v>
      </c>
    </row>
    <row r="127" spans="1:18">
      <c r="A127" s="47" t="s">
        <v>15</v>
      </c>
      <c r="B127" s="47" t="str">
        <f>VLOOKUP(TimeRemaining[[#This Row],[Time]],Upgrades[],2,FALSE)</f>
        <v>Building</v>
      </c>
      <c r="C127" s="47" t="str">
        <f>VLOOKUP(TimeRemaining[[#This Row],[Time]],Upgrades[],3,FALSE)</f>
        <v>Elixir</v>
      </c>
      <c r="D127" s="75" t="str">
        <f>IF((IFERROR(MATCH(TimeRemaining[[#This Row],[Time]],$O$16:$S$16,0),0)+IFERROR(MATCH(TimeRemaining[[#This Row],[Time]],$O$17:$S$17,0),0))&gt;0,"IGNORE",TimeRemaining[Kind]&amp;"-"&amp;TimeRemaining[Resource])</f>
        <v>Building-Elixir</v>
      </c>
      <c r="E127" s="101" t="str">
        <f>IFERROR(VLOOKUP(TimeRemaining[[#This Row],[Time]],Upgrades[],MATCH("T"&amp;MATCH(TRUE,INDEX(TimeRemaining[[#This Row],[1]:[12]]&lt;&gt;0,),0),Upgrades[#Headers],0),FALSE),"")</f>
        <v/>
      </c>
      <c r="F127" s="110">
        <f>IF(VALUE(TimeRemaining[#Headers])&lt;=$F23,IFERROR(VLOOKUP(TimeRemaining[[#This Row],[Time]],Upgrades[],MATCH("T"&amp;TimeRemaining[#Headers],Upgrades[#Headers],0),FALSE),0)*MAX(0,SUM($G23:G23)),0)</f>
        <v>0</v>
      </c>
      <c r="G127" s="110">
        <f>IF(VALUE(TimeRemaining[#Headers])&lt;=$F23,IFERROR(VLOOKUP(TimeRemaining[[#This Row],[Time]],Upgrades[],MATCH("T"&amp;TimeRemaining[#Headers],Upgrades[#Headers],0),FALSE),0)*MAX(0,SUM($G23:H23)),0)</f>
        <v>0</v>
      </c>
      <c r="H127" s="110">
        <f>IF(VALUE(TimeRemaining[#Headers])&lt;=$F23,IFERROR(VLOOKUP(TimeRemaining[[#This Row],[Time]],Upgrades[],MATCH("T"&amp;TimeRemaining[#Headers],Upgrades[#Headers],0),FALSE),0)*MAX(0,SUM($G23:I23)),0)</f>
        <v>0</v>
      </c>
      <c r="I127" s="110">
        <f>IF(VALUE(TimeRemaining[#Headers])&lt;=$F23,IFERROR(VLOOKUP(TimeRemaining[[#This Row],[Time]],Upgrades[],MATCH("T"&amp;TimeRemaining[#Headers],Upgrades[#Headers],0),FALSE),0)*MAX(0,SUM($G23:J23)),0)</f>
        <v>0</v>
      </c>
      <c r="J127" s="110">
        <f>IF(VALUE(TimeRemaining[#Headers])&lt;=$F23,IFERROR(VLOOKUP(TimeRemaining[[#This Row],[Time]],Upgrades[],MATCH("T"&amp;TimeRemaining[#Headers],Upgrades[#Headers],0),FALSE),0)*MAX(0,SUM($G23:K23)),0)</f>
        <v>0</v>
      </c>
      <c r="K127" s="110">
        <f>IF(VALUE(TimeRemaining[#Headers])&lt;=$F23,IFERROR(VLOOKUP(TimeRemaining[[#This Row],[Time]],Upgrades[],MATCH("T"&amp;TimeRemaining[#Headers],Upgrades[#Headers],0),FALSE),0)*MAX(0,SUM($G23:L23)),0)</f>
        <v>0</v>
      </c>
      <c r="L127" s="110">
        <f>IF(VALUE(TimeRemaining[#Headers])&lt;=$F23,IFERROR(VLOOKUP(TimeRemaining[[#This Row],[Time]],Upgrades[],MATCH("T"&amp;TimeRemaining[#Headers],Upgrades[#Headers],0),FALSE),0)*MAX(0,SUM($G23:M23)),0)</f>
        <v>0</v>
      </c>
      <c r="M127" s="110">
        <f>IF(VALUE(TimeRemaining[#Headers])&lt;=$F23,IFERROR(VLOOKUP(TimeRemaining[[#This Row],[Time]],Upgrades[],MATCH("T"&amp;TimeRemaining[#Headers],Upgrades[#Headers],0),FALSE),0)*MAX(0,SUM($G23:N23)),0)</f>
        <v>0</v>
      </c>
      <c r="N127" s="110">
        <f>IF(VALUE(TimeRemaining[#Headers])&lt;=$F23,IFERROR(VLOOKUP(TimeRemaining[[#This Row],[Time]],Upgrades[],MATCH("T"&amp;TimeRemaining[#Headers],Upgrades[#Headers],0),FALSE),0)*MAX(0,SUM($G23:O23)),0)</f>
        <v>0</v>
      </c>
      <c r="O127" s="110">
        <f>IF(VALUE(TimeRemaining[#Headers])&lt;=$F23,IFERROR(VLOOKUP(TimeRemaining[[#This Row],[Time]],Upgrades[],MATCH("T"&amp;TimeRemaining[#Headers],Upgrades[#Headers],0),FALSE),0)*MAX(0,SUM($G23:P23)),0)</f>
        <v>0</v>
      </c>
      <c r="P127" s="110">
        <f>IF(VALUE(TimeRemaining[#Headers])&lt;=$F23,IFERROR(VLOOKUP(TimeRemaining[[#This Row],[Time]],Upgrades[],MATCH("T"&amp;TimeRemaining[#Headers],Upgrades[#Headers],0),FALSE),0)*MAX(0,SUM($G23:Q23)),0)</f>
        <v>0</v>
      </c>
      <c r="Q127" s="110">
        <f>IF(VALUE(TimeRemaining[#Headers])&lt;=$F23,IFERROR(VLOOKUP(TimeRemaining[[#This Row],[Time]],Upgrades[],MATCH("T"&amp;TimeRemaining[#Headers],Upgrades[#Headers],0),FALSE),0)*MAX(0,SUM($G23:R23)),0)</f>
        <v>0</v>
      </c>
      <c r="R127" s="110">
        <f>IF(TimeRemaining[[#This Row],[MatchStr]]="IGNORE",0,SUM(TimeRemaining[[#This Row],[1]:[12]]))</f>
        <v>0</v>
      </c>
    </row>
    <row r="128" spans="1:18">
      <c r="A128" s="47" t="s">
        <v>16</v>
      </c>
      <c r="B128" s="47" t="str">
        <f>VLOOKUP(TimeRemaining[[#This Row],[Time]],Upgrades[],2,FALSE)</f>
        <v>Building</v>
      </c>
      <c r="C128" s="47" t="str">
        <f>VLOOKUP(TimeRemaining[[#This Row],[Time]],Upgrades[],3,FALSE)</f>
        <v>Gold</v>
      </c>
      <c r="D128" s="75" t="str">
        <f>IF((IFERROR(MATCH(TimeRemaining[[#This Row],[Time]],$O$16:$S$16,0),0)+IFERROR(MATCH(TimeRemaining[[#This Row],[Time]],$O$17:$S$17,0),0))&gt;0,"IGNORE",TimeRemaining[Kind]&amp;"-"&amp;TimeRemaining[Resource])</f>
        <v>Building-Gold</v>
      </c>
      <c r="E128" s="101" t="str">
        <f>IFERROR(VLOOKUP(TimeRemaining[[#This Row],[Time]],Upgrades[],MATCH("T"&amp;MATCH(TRUE,INDEX(TimeRemaining[[#This Row],[1]:[12]]&lt;&gt;0,),0),Upgrades[#Headers],0),FALSE),"")</f>
        <v/>
      </c>
      <c r="F128" s="110">
        <f>IF(VALUE(TimeRemaining[#Headers])&lt;=$F24,IFERROR(VLOOKUP(TimeRemaining[[#This Row],[Time]],Upgrades[],MATCH("T"&amp;TimeRemaining[#Headers],Upgrades[#Headers],0),FALSE),0)*MAX(0,SUM($G24:G24)),0)</f>
        <v>0</v>
      </c>
      <c r="G128" s="110">
        <f>IF(VALUE(TimeRemaining[#Headers])&lt;=$F24,IFERROR(VLOOKUP(TimeRemaining[[#This Row],[Time]],Upgrades[],MATCH("T"&amp;TimeRemaining[#Headers],Upgrades[#Headers],0),FALSE),0)*MAX(0,SUM($G24:H24)),0)</f>
        <v>0</v>
      </c>
      <c r="H128" s="110">
        <f>IF(VALUE(TimeRemaining[#Headers])&lt;=$F24,IFERROR(VLOOKUP(TimeRemaining[[#This Row],[Time]],Upgrades[],MATCH("T"&amp;TimeRemaining[#Headers],Upgrades[#Headers],0),FALSE),0)*MAX(0,SUM($G24:I24)),0)</f>
        <v>0</v>
      </c>
      <c r="I128" s="110">
        <f>IF(VALUE(TimeRemaining[#Headers])&lt;=$F24,IFERROR(VLOOKUP(TimeRemaining[[#This Row],[Time]],Upgrades[],MATCH("T"&amp;TimeRemaining[#Headers],Upgrades[#Headers],0),FALSE),0)*MAX(0,SUM($G24:J24)),0)</f>
        <v>0</v>
      </c>
      <c r="J128" s="110">
        <f>IF(VALUE(TimeRemaining[#Headers])&lt;=$F24,IFERROR(VLOOKUP(TimeRemaining[[#This Row],[Time]],Upgrades[],MATCH("T"&amp;TimeRemaining[#Headers],Upgrades[#Headers],0),FALSE),0)*MAX(0,SUM($G24:K24)),0)</f>
        <v>0</v>
      </c>
      <c r="K128" s="110">
        <f>IF(VALUE(TimeRemaining[#Headers])&lt;=$F24,IFERROR(VLOOKUP(TimeRemaining[[#This Row],[Time]],Upgrades[],MATCH("T"&amp;TimeRemaining[#Headers],Upgrades[#Headers],0),FALSE),0)*MAX(0,SUM($G24:L24)),0)</f>
        <v>0</v>
      </c>
      <c r="L128" s="110">
        <f>IF(VALUE(TimeRemaining[#Headers])&lt;=$F24,IFERROR(VLOOKUP(TimeRemaining[[#This Row],[Time]],Upgrades[],MATCH("T"&amp;TimeRemaining[#Headers],Upgrades[#Headers],0),FALSE),0)*MAX(0,SUM($G24:M24)),0)</f>
        <v>0</v>
      </c>
      <c r="M128" s="110">
        <f>IF(VALUE(TimeRemaining[#Headers])&lt;=$F24,IFERROR(VLOOKUP(TimeRemaining[[#This Row],[Time]],Upgrades[],MATCH("T"&amp;TimeRemaining[#Headers],Upgrades[#Headers],0),FALSE),0)*MAX(0,SUM($G24:N24)),0)</f>
        <v>0</v>
      </c>
      <c r="N128" s="110">
        <f>IF(VALUE(TimeRemaining[#Headers])&lt;=$F24,IFERROR(VLOOKUP(TimeRemaining[[#This Row],[Time]],Upgrades[],MATCH("T"&amp;TimeRemaining[#Headers],Upgrades[#Headers],0),FALSE),0)*MAX(0,SUM($G24:O24)),0)</f>
        <v>0</v>
      </c>
      <c r="O128" s="110">
        <f>IF(VALUE(TimeRemaining[#Headers])&lt;=$F24,IFERROR(VLOOKUP(TimeRemaining[[#This Row],[Time]],Upgrades[],MATCH("T"&amp;TimeRemaining[#Headers],Upgrades[#Headers],0),FALSE),0)*MAX(0,SUM($G24:P24)),0)</f>
        <v>0</v>
      </c>
      <c r="P128" s="110">
        <f>IF(VALUE(TimeRemaining[#Headers])&lt;=$F24,IFERROR(VLOOKUP(TimeRemaining[[#This Row],[Time]],Upgrades[],MATCH("T"&amp;TimeRemaining[#Headers],Upgrades[#Headers],0),FALSE),0)*MAX(0,SUM($G24:Q24)),0)</f>
        <v>0</v>
      </c>
      <c r="Q128" s="110">
        <f>IF(VALUE(TimeRemaining[#Headers])&lt;=$F24,IFERROR(VLOOKUP(TimeRemaining[[#This Row],[Time]],Upgrades[],MATCH("T"&amp;TimeRemaining[#Headers],Upgrades[#Headers],0),FALSE),0)*MAX(0,SUM($G24:R24)),0)</f>
        <v>0</v>
      </c>
      <c r="R128" s="110">
        <f>IF(TimeRemaining[[#This Row],[MatchStr]]="IGNORE",0,SUM(TimeRemaining[[#This Row],[1]:[12]]))</f>
        <v>0</v>
      </c>
    </row>
    <row r="129" spans="1:18">
      <c r="A129" s="47" t="s">
        <v>17</v>
      </c>
      <c r="B129" s="47" t="str">
        <f>VLOOKUP(TimeRemaining[[#This Row],[Time]],Upgrades[],2,FALSE)</f>
        <v>Building</v>
      </c>
      <c r="C129" s="47" t="str">
        <f>VLOOKUP(TimeRemaining[[#This Row],[Time]],Upgrades[],3,FALSE)</f>
        <v>Elixir</v>
      </c>
      <c r="D129" s="75" t="str">
        <f>IF((IFERROR(MATCH(TimeRemaining[[#This Row],[Time]],$O$16:$S$16,0),0)+IFERROR(MATCH(TimeRemaining[[#This Row],[Time]],$O$17:$S$17,0),0))&gt;0,"IGNORE",TimeRemaining[Kind]&amp;"-"&amp;TimeRemaining[Resource])</f>
        <v>Building-Elixir</v>
      </c>
      <c r="E129" s="101" t="str">
        <f>IFERROR(VLOOKUP(TimeRemaining[[#This Row],[Time]],Upgrades[],MATCH("T"&amp;MATCH(TRUE,INDEX(TimeRemaining[[#This Row],[1]:[12]]&lt;&gt;0,),0),Upgrades[#Headers],0),FALSE),"")</f>
        <v/>
      </c>
      <c r="F129" s="110">
        <f>IF(VALUE(TimeRemaining[#Headers])&lt;=$F25,IFERROR(VLOOKUP(TimeRemaining[[#This Row],[Time]],Upgrades[],MATCH("T"&amp;TimeRemaining[#Headers],Upgrades[#Headers],0),FALSE),0)*MAX(0,SUM($G25:G25)),0)</f>
        <v>0</v>
      </c>
      <c r="G129" s="110">
        <f>IF(VALUE(TimeRemaining[#Headers])&lt;=$F25,IFERROR(VLOOKUP(TimeRemaining[[#This Row],[Time]],Upgrades[],MATCH("T"&amp;TimeRemaining[#Headers],Upgrades[#Headers],0),FALSE),0)*MAX(0,SUM($G25:H25)),0)</f>
        <v>0</v>
      </c>
      <c r="H129" s="110">
        <f>IF(VALUE(TimeRemaining[#Headers])&lt;=$F25,IFERROR(VLOOKUP(TimeRemaining[[#This Row],[Time]],Upgrades[],MATCH("T"&amp;TimeRemaining[#Headers],Upgrades[#Headers],0),FALSE),0)*MAX(0,SUM($G25:I25)),0)</f>
        <v>0</v>
      </c>
      <c r="I129" s="110">
        <f>IF(VALUE(TimeRemaining[#Headers])&lt;=$F25,IFERROR(VLOOKUP(TimeRemaining[[#This Row],[Time]],Upgrades[],MATCH("T"&amp;TimeRemaining[#Headers],Upgrades[#Headers],0),FALSE),0)*MAX(0,SUM($G25:J25)),0)</f>
        <v>0</v>
      </c>
      <c r="J129" s="110">
        <f>IF(VALUE(TimeRemaining[#Headers])&lt;=$F25,IFERROR(VLOOKUP(TimeRemaining[[#This Row],[Time]],Upgrades[],MATCH("T"&amp;TimeRemaining[#Headers],Upgrades[#Headers],0),FALSE),0)*MAX(0,SUM($G25:K25)),0)</f>
        <v>0</v>
      </c>
      <c r="K129" s="110">
        <f>IF(VALUE(TimeRemaining[#Headers])&lt;=$F25,IFERROR(VLOOKUP(TimeRemaining[[#This Row],[Time]],Upgrades[],MATCH("T"&amp;TimeRemaining[#Headers],Upgrades[#Headers],0),FALSE),0)*MAX(0,SUM($G25:L25)),0)</f>
        <v>0</v>
      </c>
      <c r="L129" s="110">
        <f>IF(VALUE(TimeRemaining[#Headers])&lt;=$F25,IFERROR(VLOOKUP(TimeRemaining[[#This Row],[Time]],Upgrades[],MATCH("T"&amp;TimeRemaining[#Headers],Upgrades[#Headers],0),FALSE),0)*MAX(0,SUM($G25:M25)),0)</f>
        <v>0</v>
      </c>
      <c r="M129" s="110">
        <f>IF(VALUE(TimeRemaining[#Headers])&lt;=$F25,IFERROR(VLOOKUP(TimeRemaining[[#This Row],[Time]],Upgrades[],MATCH("T"&amp;TimeRemaining[#Headers],Upgrades[#Headers],0),FALSE),0)*MAX(0,SUM($G25:N25)),0)</f>
        <v>0</v>
      </c>
      <c r="N129" s="110">
        <f>IF(VALUE(TimeRemaining[#Headers])&lt;=$F25,IFERROR(VLOOKUP(TimeRemaining[[#This Row],[Time]],Upgrades[],MATCH("T"&amp;TimeRemaining[#Headers],Upgrades[#Headers],0),FALSE),0)*MAX(0,SUM($G25:O25)),0)</f>
        <v>0</v>
      </c>
      <c r="O129" s="110">
        <f>IF(VALUE(TimeRemaining[#Headers])&lt;=$F25,IFERROR(VLOOKUP(TimeRemaining[[#This Row],[Time]],Upgrades[],MATCH("T"&amp;TimeRemaining[#Headers],Upgrades[#Headers],0),FALSE),0)*MAX(0,SUM($G25:P25)),0)</f>
        <v>0</v>
      </c>
      <c r="P129" s="110">
        <f>IF(VALUE(TimeRemaining[#Headers])&lt;=$F25,IFERROR(VLOOKUP(TimeRemaining[[#This Row],[Time]],Upgrades[],MATCH("T"&amp;TimeRemaining[#Headers],Upgrades[#Headers],0),FALSE),0)*MAX(0,SUM($G25:Q25)),0)</f>
        <v>0</v>
      </c>
      <c r="Q129" s="110">
        <f>IF(VALUE(TimeRemaining[#Headers])&lt;=$F25,IFERROR(VLOOKUP(TimeRemaining[[#This Row],[Time]],Upgrades[],MATCH("T"&amp;TimeRemaining[#Headers],Upgrades[#Headers],0),FALSE),0)*MAX(0,SUM($G25:R25)),0)</f>
        <v>0</v>
      </c>
      <c r="R129" s="110">
        <f>IF(TimeRemaining[[#This Row],[MatchStr]]="IGNORE",0,SUM(TimeRemaining[[#This Row],[1]:[12]]))</f>
        <v>0</v>
      </c>
    </row>
    <row r="130" spans="1:18">
      <c r="A130" s="47" t="s">
        <v>3</v>
      </c>
      <c r="B130" s="47" t="str">
        <f>VLOOKUP(TimeRemaining[[#This Row],[Time]],Upgrades[],2,FALSE)</f>
        <v>Building</v>
      </c>
      <c r="C130" s="47" t="str">
        <f>VLOOKUP(TimeRemaining[[#This Row],[Time]],Upgrades[],3,FALSE)</f>
        <v>Elixir</v>
      </c>
      <c r="D130" s="75" t="str">
        <f>IF((IFERROR(MATCH(TimeRemaining[[#This Row],[Time]],$O$16:$S$16,0),0)+IFERROR(MATCH(TimeRemaining[[#This Row],[Time]],$O$17:$S$17,0),0))&gt;0,"IGNORE",TimeRemaining[Kind]&amp;"-"&amp;TimeRemaining[Resource])</f>
        <v>IGNORE</v>
      </c>
      <c r="E130" s="101">
        <f>IFERROR(VLOOKUP(TimeRemaining[[#This Row],[Time]],Upgrades[],MATCH("T"&amp;MATCH(TRUE,INDEX(TimeRemaining[[#This Row],[1]:[12]]&lt;&gt;0,),0),Upgrades[#Headers],0),FALSE),"")</f>
        <v>2</v>
      </c>
      <c r="F130" s="110">
        <f>IF(VALUE(TimeRemaining[#Headers])&lt;=$F26,IFERROR(VLOOKUP(TimeRemaining[[#This Row],[Time]],Upgrades[],MATCH("T"&amp;TimeRemaining[#Headers],Upgrades[#Headers],0),FALSE),0)*MAX(0,SUM($G26:G26)),0)</f>
        <v>0</v>
      </c>
      <c r="G130" s="110">
        <f>IF(VALUE(TimeRemaining[#Headers])&lt;=$F26,IFERROR(VLOOKUP(TimeRemaining[[#This Row],[Time]],Upgrades[],MATCH("T"&amp;TimeRemaining[#Headers],Upgrades[#Headers],0),FALSE),0)*MAX(0,SUM($G26:H26)),0)</f>
        <v>0</v>
      </c>
      <c r="H130" s="110">
        <f>IF(VALUE(TimeRemaining[#Headers])&lt;=$F26,IFERROR(VLOOKUP(TimeRemaining[[#This Row],[Time]],Upgrades[],MATCH("T"&amp;TimeRemaining[#Headers],Upgrades[#Headers],0),FALSE),0)*MAX(0,SUM($G26:I26)),0)</f>
        <v>0</v>
      </c>
      <c r="I130" s="110">
        <f>IF(VALUE(TimeRemaining[#Headers])&lt;=$F26,IFERROR(VLOOKUP(TimeRemaining[[#This Row],[Time]],Upgrades[],MATCH("T"&amp;TimeRemaining[#Headers],Upgrades[#Headers],0),FALSE),0)*MAX(0,SUM($G26:J26)),0)</f>
        <v>0</v>
      </c>
      <c r="J130" s="110">
        <f>IF(VALUE(TimeRemaining[#Headers])&lt;=$F26,IFERROR(VLOOKUP(TimeRemaining[[#This Row],[Time]],Upgrades[],MATCH("T"&amp;TimeRemaining[#Headers],Upgrades[#Headers],0),FALSE),0)*MAX(0,SUM($G26:K26)),0)</f>
        <v>0</v>
      </c>
      <c r="K130" s="110">
        <f>IF(VALUE(TimeRemaining[#Headers])&lt;=$F26,IFERROR(VLOOKUP(TimeRemaining[[#This Row],[Time]],Upgrades[],MATCH("T"&amp;TimeRemaining[#Headers],Upgrades[#Headers],0),FALSE),0)*MAX(0,SUM($G26:L26)),0)</f>
        <v>0</v>
      </c>
      <c r="L130" s="110">
        <f>IF(VALUE(TimeRemaining[#Headers])&lt;=$F26,IFERROR(VLOOKUP(TimeRemaining[[#This Row],[Time]],Upgrades[],MATCH("T"&amp;TimeRemaining[#Headers],Upgrades[#Headers],0),FALSE),0)*MAX(0,SUM($G26:M26)),0)</f>
        <v>0</v>
      </c>
      <c r="M130" s="110">
        <f>IF(VALUE(TimeRemaining[#Headers])&lt;=$F26,IFERROR(VLOOKUP(TimeRemaining[[#This Row],[Time]],Upgrades[],MATCH("T"&amp;TimeRemaining[#Headers],Upgrades[#Headers],0),FALSE),0)*MAX(0,SUM($G26:N26)),0)</f>
        <v>0</v>
      </c>
      <c r="N130" s="110">
        <f>IF(VALUE(TimeRemaining[#Headers])&lt;=$F26,IFERROR(VLOOKUP(TimeRemaining[[#This Row],[Time]],Upgrades[],MATCH("T"&amp;TimeRemaining[#Headers],Upgrades[#Headers],0),FALSE),0)*MAX(0,SUM($G26:O26)),0)</f>
        <v>0</v>
      </c>
      <c r="O130" s="110">
        <f>IF(VALUE(TimeRemaining[#Headers])&lt;=$F26,IFERROR(VLOOKUP(TimeRemaining[[#This Row],[Time]],Upgrades[],MATCH("T"&amp;TimeRemaining[#Headers],Upgrades[#Headers],0),FALSE),0)*MAX(0,SUM($G26:P26)),0)</f>
        <v>0</v>
      </c>
      <c r="P130" s="110">
        <f>IF(VALUE(TimeRemaining[#Headers])&lt;=$F26,IFERROR(VLOOKUP(TimeRemaining[[#This Row],[Time]],Upgrades[],MATCH("T"&amp;TimeRemaining[#Headers],Upgrades[#Headers],0),FALSE),0)*MAX(0,SUM($G26:Q26)),0)</f>
        <v>4</v>
      </c>
      <c r="Q130" s="110">
        <f>IF(VALUE(TimeRemaining[#Headers])&lt;=$F26,IFERROR(VLOOKUP(TimeRemaining[[#This Row],[Time]],Upgrades[],MATCH("T"&amp;TimeRemaining[#Headers],Upgrades[#Headers],0),FALSE),0)*MAX(0,SUM($G26:R26)),0)</f>
        <v>0</v>
      </c>
      <c r="R130" s="110">
        <f>IF(TimeRemaining[[#This Row],[MatchStr]]="IGNORE",0,SUM(TimeRemaining[[#This Row],[1]:[12]]))</f>
        <v>0</v>
      </c>
    </row>
    <row r="131" spans="1:18">
      <c r="A131" s="47" t="s">
        <v>4</v>
      </c>
      <c r="B131" s="47" t="str">
        <f>VLOOKUP(TimeRemaining[[#This Row],[Time]],Upgrades[],2,FALSE)</f>
        <v>Building</v>
      </c>
      <c r="C131" s="47" t="str">
        <f>VLOOKUP(TimeRemaining[[#This Row],[Time]],Upgrades[],3,FALSE)</f>
        <v>Gold</v>
      </c>
      <c r="D131" s="75" t="str">
        <f>IF((IFERROR(MATCH(TimeRemaining[[#This Row],[Time]],$O$16:$S$16,0),0)+IFERROR(MATCH(TimeRemaining[[#This Row],[Time]],$O$17:$S$17,0),0))&gt;0,"IGNORE",TimeRemaining[Kind]&amp;"-"&amp;TimeRemaining[Resource])</f>
        <v>IGNORE</v>
      </c>
      <c r="E131" s="101">
        <f>IFERROR(VLOOKUP(TimeRemaining[[#This Row],[Time]],Upgrades[],MATCH("T"&amp;MATCH(TRUE,INDEX(TimeRemaining[[#This Row],[1]:[12]]&lt;&gt;0,),0),Upgrades[#Headers],0),FALSE),"")</f>
        <v>2</v>
      </c>
      <c r="F131" s="110">
        <f>IF(VALUE(TimeRemaining[#Headers])&lt;=$F27,IFERROR(VLOOKUP(TimeRemaining[[#This Row],[Time]],Upgrades[],MATCH("T"&amp;TimeRemaining[#Headers],Upgrades[#Headers],0),FALSE),0)*MAX(0,SUM($G27:G27)),0)</f>
        <v>0</v>
      </c>
      <c r="G131" s="110">
        <f>IF(VALUE(TimeRemaining[#Headers])&lt;=$F27,IFERROR(VLOOKUP(TimeRemaining[[#This Row],[Time]],Upgrades[],MATCH("T"&amp;TimeRemaining[#Headers],Upgrades[#Headers],0),FALSE),0)*MAX(0,SUM($G27:H27)),0)</f>
        <v>0</v>
      </c>
      <c r="H131" s="110">
        <f>IF(VALUE(TimeRemaining[#Headers])&lt;=$F27,IFERROR(VLOOKUP(TimeRemaining[[#This Row],[Time]],Upgrades[],MATCH("T"&amp;TimeRemaining[#Headers],Upgrades[#Headers],0),FALSE),0)*MAX(0,SUM($G27:I27)),0)</f>
        <v>0</v>
      </c>
      <c r="I131" s="110">
        <f>IF(VALUE(TimeRemaining[#Headers])&lt;=$F27,IFERROR(VLOOKUP(TimeRemaining[[#This Row],[Time]],Upgrades[],MATCH("T"&amp;TimeRemaining[#Headers],Upgrades[#Headers],0),FALSE),0)*MAX(0,SUM($G27:J27)),0)</f>
        <v>0</v>
      </c>
      <c r="J131" s="110">
        <f>IF(VALUE(TimeRemaining[#Headers])&lt;=$F27,IFERROR(VLOOKUP(TimeRemaining[[#This Row],[Time]],Upgrades[],MATCH("T"&amp;TimeRemaining[#Headers],Upgrades[#Headers],0),FALSE),0)*MAX(0,SUM($G27:K27)),0)</f>
        <v>0</v>
      </c>
      <c r="K131" s="110">
        <f>IF(VALUE(TimeRemaining[#Headers])&lt;=$F27,IFERROR(VLOOKUP(TimeRemaining[[#This Row],[Time]],Upgrades[],MATCH("T"&amp;TimeRemaining[#Headers],Upgrades[#Headers],0),FALSE),0)*MAX(0,SUM($G27:L27)),0)</f>
        <v>0</v>
      </c>
      <c r="L131" s="110">
        <f>IF(VALUE(TimeRemaining[#Headers])&lt;=$F27,IFERROR(VLOOKUP(TimeRemaining[[#This Row],[Time]],Upgrades[],MATCH("T"&amp;TimeRemaining[#Headers],Upgrades[#Headers],0),FALSE),0)*MAX(0,SUM($G27:M27)),0)</f>
        <v>0</v>
      </c>
      <c r="M131" s="110">
        <f>IF(VALUE(TimeRemaining[#Headers])&lt;=$F27,IFERROR(VLOOKUP(TimeRemaining[[#This Row],[Time]],Upgrades[],MATCH("T"&amp;TimeRemaining[#Headers],Upgrades[#Headers],0),FALSE),0)*MAX(0,SUM($G27:N27)),0)</f>
        <v>0</v>
      </c>
      <c r="N131" s="110">
        <f>IF(VALUE(TimeRemaining[#Headers])&lt;=$F27,IFERROR(VLOOKUP(TimeRemaining[[#This Row],[Time]],Upgrades[],MATCH("T"&amp;TimeRemaining[#Headers],Upgrades[#Headers],0),FALSE),0)*MAX(0,SUM($G27:O27)),0)</f>
        <v>0</v>
      </c>
      <c r="O131" s="110">
        <f>IF(VALUE(TimeRemaining[#Headers])&lt;=$F27,IFERROR(VLOOKUP(TimeRemaining[[#This Row],[Time]],Upgrades[],MATCH("T"&amp;TimeRemaining[#Headers],Upgrades[#Headers],0),FALSE),0)*MAX(0,SUM($G27:P27)),0)</f>
        <v>0</v>
      </c>
      <c r="P131" s="110">
        <f>IF(VALUE(TimeRemaining[#Headers])&lt;=$F27,IFERROR(VLOOKUP(TimeRemaining[[#This Row],[Time]],Upgrades[],MATCH("T"&amp;TimeRemaining[#Headers],Upgrades[#Headers],0),FALSE),0)*MAX(0,SUM($G27:Q27)),0)</f>
        <v>4</v>
      </c>
      <c r="Q131" s="110">
        <f>IF(VALUE(TimeRemaining[#Headers])&lt;=$F27,IFERROR(VLOOKUP(TimeRemaining[[#This Row],[Time]],Upgrades[],MATCH("T"&amp;TimeRemaining[#Headers],Upgrades[#Headers],0),FALSE),0)*MAX(0,SUM($G27:R27)),0)</f>
        <v>0</v>
      </c>
      <c r="R131" s="110">
        <f>IF(TimeRemaining[[#This Row],[MatchStr]]="IGNORE",0,SUM(TimeRemaining[[#This Row],[1]:[12]]))</f>
        <v>0</v>
      </c>
    </row>
    <row r="132" spans="1:18">
      <c r="A132" s="47" t="s">
        <v>18</v>
      </c>
      <c r="B132" s="47" t="str">
        <f>VLOOKUP(TimeRemaining[[#This Row],[Time]],Upgrades[],2,FALSE)</f>
        <v>Building</v>
      </c>
      <c r="C132" s="47" t="str">
        <f>VLOOKUP(TimeRemaining[[#This Row],[Time]],Upgrades[],3,FALSE)</f>
        <v>Elixir</v>
      </c>
      <c r="D132" s="75" t="str">
        <f>IF((IFERROR(MATCH(TimeRemaining[[#This Row],[Time]],$O$16:$S$16,0),0)+IFERROR(MATCH(TimeRemaining[[#This Row],[Time]],$O$17:$S$17,0),0))&gt;0,"IGNORE",TimeRemaining[Kind]&amp;"-"&amp;TimeRemaining[Resource])</f>
        <v>Building-Elixir</v>
      </c>
      <c r="E132" s="101">
        <f>IFERROR(VLOOKUP(TimeRemaining[[#This Row],[Time]],Upgrades[],MATCH("T"&amp;MATCH(TRUE,INDEX(TimeRemaining[[#This Row],[1]:[12]]&lt;&gt;0,),0),Upgrades[#Headers],0),FALSE),"")</f>
        <v>2</v>
      </c>
      <c r="F132" s="110">
        <f>IF(VALUE(TimeRemaining[#Headers])&lt;=$F28,IFERROR(VLOOKUP(TimeRemaining[[#This Row],[Time]],Upgrades[],MATCH("T"&amp;TimeRemaining[#Headers],Upgrades[#Headers],0),FALSE),0)*MAX(0,SUM($G28:G28)),0)</f>
        <v>0</v>
      </c>
      <c r="G132" s="110">
        <f>IF(VALUE(TimeRemaining[#Headers])&lt;=$F28,IFERROR(VLOOKUP(TimeRemaining[[#This Row],[Time]],Upgrades[],MATCH("T"&amp;TimeRemaining[#Headers],Upgrades[#Headers],0),FALSE),0)*MAX(0,SUM($G28:H28)),0)</f>
        <v>2</v>
      </c>
      <c r="H132" s="110">
        <f>IF(VALUE(TimeRemaining[#Headers])&lt;=$F28,IFERROR(VLOOKUP(TimeRemaining[[#This Row],[Time]],Upgrades[],MATCH("T"&amp;TimeRemaining[#Headers],Upgrades[#Headers],0),FALSE),0)*MAX(0,SUM($G28:I28)),0)</f>
        <v>0</v>
      </c>
      <c r="I132" s="110">
        <f>IF(VALUE(TimeRemaining[#Headers])&lt;=$F28,IFERROR(VLOOKUP(TimeRemaining[[#This Row],[Time]],Upgrades[],MATCH("T"&amp;TimeRemaining[#Headers],Upgrades[#Headers],0),FALSE),0)*MAX(0,SUM($G28:J28)),0)</f>
        <v>0</v>
      </c>
      <c r="J132" s="110">
        <f>IF(VALUE(TimeRemaining[#Headers])&lt;=$F28,IFERROR(VLOOKUP(TimeRemaining[[#This Row],[Time]],Upgrades[],MATCH("T"&amp;TimeRemaining[#Headers],Upgrades[#Headers],0),FALSE),0)*MAX(0,SUM($G28:K28)),0)</f>
        <v>0</v>
      </c>
      <c r="K132" s="110">
        <f>IF(VALUE(TimeRemaining[#Headers])&lt;=$F28,IFERROR(VLOOKUP(TimeRemaining[[#This Row],[Time]],Upgrades[],MATCH("T"&amp;TimeRemaining[#Headers],Upgrades[#Headers],0),FALSE),0)*MAX(0,SUM($G28:L28)),0)</f>
        <v>0</v>
      </c>
      <c r="L132" s="110">
        <f>IF(VALUE(TimeRemaining[#Headers])&lt;=$F28,IFERROR(VLOOKUP(TimeRemaining[[#This Row],[Time]],Upgrades[],MATCH("T"&amp;TimeRemaining[#Headers],Upgrades[#Headers],0),FALSE),0)*MAX(0,SUM($G28:M28)),0)</f>
        <v>0</v>
      </c>
      <c r="M132" s="110">
        <f>IF(VALUE(TimeRemaining[#Headers])&lt;=$F28,IFERROR(VLOOKUP(TimeRemaining[[#This Row],[Time]],Upgrades[],MATCH("T"&amp;TimeRemaining[#Headers],Upgrades[#Headers],0),FALSE),0)*MAX(0,SUM($G28:N28)),0)</f>
        <v>0</v>
      </c>
      <c r="N132" s="110">
        <f>IF(VALUE(TimeRemaining[#Headers])&lt;=$F28,IFERROR(VLOOKUP(TimeRemaining[[#This Row],[Time]],Upgrades[],MATCH("T"&amp;TimeRemaining[#Headers],Upgrades[#Headers],0),FALSE),0)*MAX(0,SUM($G28:O28)),0)</f>
        <v>0</v>
      </c>
      <c r="O132" s="110">
        <f>IF(VALUE(TimeRemaining[#Headers])&lt;=$F28,IFERROR(VLOOKUP(TimeRemaining[[#This Row],[Time]],Upgrades[],MATCH("T"&amp;TimeRemaining[#Headers],Upgrades[#Headers],0),FALSE),0)*MAX(0,SUM($G28:P28)),0)</f>
        <v>0</v>
      </c>
      <c r="P132" s="110">
        <f>IF(VALUE(TimeRemaining[#Headers])&lt;=$F28,IFERROR(VLOOKUP(TimeRemaining[[#This Row],[Time]],Upgrades[],MATCH("T"&amp;TimeRemaining[#Headers],Upgrades[#Headers],0),FALSE),0)*MAX(0,SUM($G28:Q28)),0)</f>
        <v>0</v>
      </c>
      <c r="Q132" s="110">
        <f>IF(VALUE(TimeRemaining[#Headers])&lt;=$F28,IFERROR(VLOOKUP(TimeRemaining[[#This Row],[Time]],Upgrades[],MATCH("T"&amp;TimeRemaining[#Headers],Upgrades[#Headers],0),FALSE),0)*MAX(0,SUM($G28:R28)),0)</f>
        <v>0</v>
      </c>
      <c r="R132" s="110">
        <f>IF(TimeRemaining[[#This Row],[MatchStr]]="IGNORE",0,SUM(TimeRemaining[[#This Row],[1]:[12]]))</f>
        <v>2</v>
      </c>
    </row>
    <row r="133" spans="1:18">
      <c r="A133" s="47" t="s">
        <v>19</v>
      </c>
      <c r="B133" s="47" t="str">
        <f>VLOOKUP(TimeRemaining[[#This Row],[Time]],Upgrades[],2,FALSE)</f>
        <v>Building</v>
      </c>
      <c r="C133" s="47" t="str">
        <f>VLOOKUP(TimeRemaining[[#This Row],[Time]],Upgrades[],3,FALSE)</f>
        <v>Elixir</v>
      </c>
      <c r="D133" s="75" t="str">
        <f>IF((IFERROR(MATCH(TimeRemaining[[#This Row],[Time]],$O$16:$S$16,0),0)+IFERROR(MATCH(TimeRemaining[[#This Row],[Time]],$O$17:$S$17,0),0))&gt;0,"IGNORE",TimeRemaining[Kind]&amp;"-"&amp;TimeRemaining[Resource])</f>
        <v>Building-Elixir</v>
      </c>
      <c r="E133" s="101">
        <f>IFERROR(VLOOKUP(TimeRemaining[[#This Row],[Time]],Upgrades[],MATCH("T"&amp;MATCH(TRUE,INDEX(TimeRemaining[[#This Row],[1]:[12]]&lt;&gt;0,),0),Upgrades[#Headers],0),FALSE),"")</f>
        <v>5</v>
      </c>
      <c r="F133" s="110">
        <f>IF(VALUE(TimeRemaining[#Headers])&lt;=$F29,IFERROR(VLOOKUP(TimeRemaining[[#This Row],[Time]],Upgrades[],MATCH("T"&amp;TimeRemaining[#Headers],Upgrades[#Headers],0),FALSE),0)*MAX(0,SUM($G29:G29)),0)</f>
        <v>0</v>
      </c>
      <c r="G133" s="110">
        <f>IF(VALUE(TimeRemaining[#Headers])&lt;=$F29,IFERROR(VLOOKUP(TimeRemaining[[#This Row],[Time]],Upgrades[],MATCH("T"&amp;TimeRemaining[#Headers],Upgrades[#Headers],0),FALSE),0)*MAX(0,SUM($G29:H29)),0)</f>
        <v>5</v>
      </c>
      <c r="H133" s="110">
        <f>IF(VALUE(TimeRemaining[#Headers])&lt;=$F29,IFERROR(VLOOKUP(TimeRemaining[[#This Row],[Time]],Upgrades[],MATCH("T"&amp;TimeRemaining[#Headers],Upgrades[#Headers],0),FALSE),0)*MAX(0,SUM($G29:I29)),0)</f>
        <v>0</v>
      </c>
      <c r="I133" s="110">
        <f>IF(VALUE(TimeRemaining[#Headers])&lt;=$F29,IFERROR(VLOOKUP(TimeRemaining[[#This Row],[Time]],Upgrades[],MATCH("T"&amp;TimeRemaining[#Headers],Upgrades[#Headers],0),FALSE),0)*MAX(0,SUM($G29:J29)),0)</f>
        <v>0</v>
      </c>
      <c r="J133" s="110">
        <f>IF(VALUE(TimeRemaining[#Headers])&lt;=$F29,IFERROR(VLOOKUP(TimeRemaining[[#This Row],[Time]],Upgrades[],MATCH("T"&amp;TimeRemaining[#Headers],Upgrades[#Headers],0),FALSE),0)*MAX(0,SUM($G29:K29)),0)</f>
        <v>0</v>
      </c>
      <c r="K133" s="110">
        <f>IF(VALUE(TimeRemaining[#Headers])&lt;=$F29,IFERROR(VLOOKUP(TimeRemaining[[#This Row],[Time]],Upgrades[],MATCH("T"&amp;TimeRemaining[#Headers],Upgrades[#Headers],0),FALSE),0)*MAX(0,SUM($G29:L29)),0)</f>
        <v>0</v>
      </c>
      <c r="L133" s="110">
        <f>IF(VALUE(TimeRemaining[#Headers])&lt;=$F29,IFERROR(VLOOKUP(TimeRemaining[[#This Row],[Time]],Upgrades[],MATCH("T"&amp;TimeRemaining[#Headers],Upgrades[#Headers],0),FALSE),0)*MAX(0,SUM($G29:M29)),0)</f>
        <v>0</v>
      </c>
      <c r="M133" s="110">
        <f>IF(VALUE(TimeRemaining[#Headers])&lt;=$F29,IFERROR(VLOOKUP(TimeRemaining[[#This Row],[Time]],Upgrades[],MATCH("T"&amp;TimeRemaining[#Headers],Upgrades[#Headers],0),FALSE),0)*MAX(0,SUM($G29:N29)),0)</f>
        <v>0</v>
      </c>
      <c r="N133" s="110">
        <f>IF(VALUE(TimeRemaining[#Headers])&lt;=$F29,IFERROR(VLOOKUP(TimeRemaining[[#This Row],[Time]],Upgrades[],MATCH("T"&amp;TimeRemaining[#Headers],Upgrades[#Headers],0),FALSE),0)*MAX(0,SUM($G29:O29)),0)</f>
        <v>0</v>
      </c>
      <c r="O133" s="110">
        <f>IF(VALUE(TimeRemaining[#Headers])&lt;=$F29,IFERROR(VLOOKUP(TimeRemaining[[#This Row],[Time]],Upgrades[],MATCH("T"&amp;TimeRemaining[#Headers],Upgrades[#Headers],0),FALSE),0)*MAX(0,SUM($G29:P29)),0)</f>
        <v>0</v>
      </c>
      <c r="P133" s="110">
        <f>IF(VALUE(TimeRemaining[#Headers])&lt;=$F29,IFERROR(VLOOKUP(TimeRemaining[[#This Row],[Time]],Upgrades[],MATCH("T"&amp;TimeRemaining[#Headers],Upgrades[#Headers],0),FALSE),0)*MAX(0,SUM($G29:Q29)),0)</f>
        <v>0</v>
      </c>
      <c r="Q133" s="110">
        <f>IF(VALUE(TimeRemaining[#Headers])&lt;=$F29,IFERROR(VLOOKUP(TimeRemaining[[#This Row],[Time]],Upgrades[],MATCH("T"&amp;TimeRemaining[#Headers],Upgrades[#Headers],0),FALSE),0)*MAX(0,SUM($G29:R29)),0)</f>
        <v>0</v>
      </c>
      <c r="R133" s="110">
        <f>IF(TimeRemaining[[#This Row],[MatchStr]]="IGNORE",0,SUM(TimeRemaining[[#This Row],[1]:[12]]))</f>
        <v>5</v>
      </c>
    </row>
    <row r="134" spans="1:18">
      <c r="A134" s="47" t="s">
        <v>22</v>
      </c>
      <c r="B134" s="47" t="str">
        <f>VLOOKUP(TimeRemaining[[#This Row],[Time]],Upgrades[],2,FALSE)</f>
        <v>Building</v>
      </c>
      <c r="C134" s="47" t="str">
        <f>VLOOKUP(TimeRemaining[[#This Row],[Time]],Upgrades[],3,FALSE)</f>
        <v>Elixir</v>
      </c>
      <c r="D134" s="75" t="str">
        <f>IF((IFERROR(MATCH(TimeRemaining[[#This Row],[Time]],$O$16:$S$16,0),0)+IFERROR(MATCH(TimeRemaining[[#This Row],[Time]],$O$17:$S$17,0),0))&gt;0,"IGNORE",TimeRemaining[Kind]&amp;"-"&amp;TimeRemaining[Resource])</f>
        <v>Building-Elixir</v>
      </c>
      <c r="E134" s="101" t="str">
        <f>IFERROR(VLOOKUP(TimeRemaining[[#This Row],[Time]],Upgrades[],MATCH("T"&amp;MATCH(TRUE,INDEX(TimeRemaining[[#This Row],[1]:[12]]&lt;&gt;0,),0),Upgrades[#Headers],0),FALSE),"")</f>
        <v/>
      </c>
      <c r="F134" s="110">
        <f>IF(VALUE(TimeRemaining[#Headers])&lt;=$F30,IFERROR(VLOOKUP(TimeRemaining[[#This Row],[Time]],Upgrades[],MATCH("T"&amp;TimeRemaining[#Headers],Upgrades[#Headers],0),FALSE),0)*MAX(0,SUM($G30:G30)),0)</f>
        <v>0</v>
      </c>
      <c r="G134" s="110">
        <f>IF(VALUE(TimeRemaining[#Headers])&lt;=$F30,IFERROR(VLOOKUP(TimeRemaining[[#This Row],[Time]],Upgrades[],MATCH("T"&amp;TimeRemaining[#Headers],Upgrades[#Headers],0),FALSE),0)*MAX(0,SUM($G30:H30)),0)</f>
        <v>0</v>
      </c>
      <c r="H134" s="110">
        <f>IF(VALUE(TimeRemaining[#Headers])&lt;=$F30,IFERROR(VLOOKUP(TimeRemaining[[#This Row],[Time]],Upgrades[],MATCH("T"&amp;TimeRemaining[#Headers],Upgrades[#Headers],0),FALSE),0)*MAX(0,SUM($G30:I30)),0)</f>
        <v>0</v>
      </c>
      <c r="I134" s="110">
        <f>IF(VALUE(TimeRemaining[#Headers])&lt;=$F30,IFERROR(VLOOKUP(TimeRemaining[[#This Row],[Time]],Upgrades[],MATCH("T"&amp;TimeRemaining[#Headers],Upgrades[#Headers],0),FALSE),0)*MAX(0,SUM($G30:J30)),0)</f>
        <v>0</v>
      </c>
      <c r="J134" s="110">
        <f>IF(VALUE(TimeRemaining[#Headers])&lt;=$F30,IFERROR(VLOOKUP(TimeRemaining[[#This Row],[Time]],Upgrades[],MATCH("T"&amp;TimeRemaining[#Headers],Upgrades[#Headers],0),FALSE),0)*MAX(0,SUM($G30:K30)),0)</f>
        <v>0</v>
      </c>
      <c r="K134" s="110">
        <f>IF(VALUE(TimeRemaining[#Headers])&lt;=$F30,IFERROR(VLOOKUP(TimeRemaining[[#This Row],[Time]],Upgrades[],MATCH("T"&amp;TimeRemaining[#Headers],Upgrades[#Headers],0),FALSE),0)*MAX(0,SUM($G30:L30)),0)</f>
        <v>0</v>
      </c>
      <c r="L134" s="110">
        <f>IF(VALUE(TimeRemaining[#Headers])&lt;=$F30,IFERROR(VLOOKUP(TimeRemaining[[#This Row],[Time]],Upgrades[],MATCH("T"&amp;TimeRemaining[#Headers],Upgrades[#Headers],0),FALSE),0)*MAX(0,SUM($G30:M30)),0)</f>
        <v>0</v>
      </c>
      <c r="M134" s="110">
        <f>IF(VALUE(TimeRemaining[#Headers])&lt;=$F30,IFERROR(VLOOKUP(TimeRemaining[[#This Row],[Time]],Upgrades[],MATCH("T"&amp;TimeRemaining[#Headers],Upgrades[#Headers],0),FALSE),0)*MAX(0,SUM($G30:N30)),0)</f>
        <v>0</v>
      </c>
      <c r="N134" s="110">
        <f>IF(VALUE(TimeRemaining[#Headers])&lt;=$F30,IFERROR(VLOOKUP(TimeRemaining[[#This Row],[Time]],Upgrades[],MATCH("T"&amp;TimeRemaining[#Headers],Upgrades[#Headers],0),FALSE),0)*MAX(0,SUM($G30:O30)),0)</f>
        <v>0</v>
      </c>
      <c r="O134" s="110">
        <f>IF(VALUE(TimeRemaining[#Headers])&lt;=$F30,IFERROR(VLOOKUP(TimeRemaining[[#This Row],[Time]],Upgrades[],MATCH("T"&amp;TimeRemaining[#Headers],Upgrades[#Headers],0),FALSE),0)*MAX(0,SUM($G30:P30)),0)</f>
        <v>0</v>
      </c>
      <c r="P134" s="110">
        <f>IF(VALUE(TimeRemaining[#Headers])&lt;=$F30,IFERROR(VLOOKUP(TimeRemaining[[#This Row],[Time]],Upgrades[],MATCH("T"&amp;TimeRemaining[#Headers],Upgrades[#Headers],0),FALSE),0)*MAX(0,SUM($G30:Q30)),0)</f>
        <v>0</v>
      </c>
      <c r="Q134" s="110">
        <f>IF(VALUE(TimeRemaining[#Headers])&lt;=$F30,IFERROR(VLOOKUP(TimeRemaining[[#This Row],[Time]],Upgrades[],MATCH("T"&amp;TimeRemaining[#Headers],Upgrades[#Headers],0),FALSE),0)*MAX(0,SUM($G30:R30)),0)</f>
        <v>0</v>
      </c>
      <c r="R134" s="110">
        <f>IF(TimeRemaining[[#This Row],[MatchStr]]="IGNORE",0,SUM(TimeRemaining[[#This Row],[1]:[12]]))</f>
        <v>0</v>
      </c>
    </row>
    <row r="135" spans="1:18">
      <c r="A135" s="47" t="s">
        <v>5</v>
      </c>
      <c r="B135" s="47" t="str">
        <f>VLOOKUP(TimeRemaining[[#This Row],[Time]],Upgrades[],2,FALSE)</f>
        <v>Building</v>
      </c>
      <c r="C135" s="47" t="str">
        <f>VLOOKUP(TimeRemaining[[#This Row],[Time]],Upgrades[],3,FALSE)</f>
        <v>Gold</v>
      </c>
      <c r="D135" s="75" t="str">
        <f>IF((IFERROR(MATCH(TimeRemaining[[#This Row],[Time]],$O$16:$S$16,0),0)+IFERROR(MATCH(TimeRemaining[[#This Row],[Time]],$O$17:$S$17,0),0))&gt;0,"IGNORE",TimeRemaining[Kind]&amp;"-"&amp;TimeRemaining[Resource])</f>
        <v>Building-Gold</v>
      </c>
      <c r="E135" s="101" t="str">
        <f>IFERROR(VLOOKUP(TimeRemaining[[#This Row],[Time]],Upgrades[],MATCH("T"&amp;MATCH(TRUE,INDEX(TimeRemaining[[#This Row],[1]:[12]]&lt;&gt;0,),0),Upgrades[#Headers],0),FALSE),"")</f>
        <v/>
      </c>
      <c r="F135" s="110">
        <f>IF(VALUE(TimeRemaining[#Headers])&lt;=$F31,IFERROR(VLOOKUP(TimeRemaining[[#This Row],[Time]],Upgrades[],MATCH("T"&amp;TimeRemaining[#Headers],Upgrades[#Headers],0),FALSE),0)*MAX(0,SUM($G31:G31)),0)</f>
        <v>0</v>
      </c>
      <c r="G135" s="110">
        <f>IF(VALUE(TimeRemaining[#Headers])&lt;=$F31,IFERROR(VLOOKUP(TimeRemaining[[#This Row],[Time]],Upgrades[],MATCH("T"&amp;TimeRemaining[#Headers],Upgrades[#Headers],0),FALSE),0)*MAX(0,SUM($G31:H31)),0)</f>
        <v>0</v>
      </c>
      <c r="H135" s="110">
        <f>IF(VALUE(TimeRemaining[#Headers])&lt;=$F31,IFERROR(VLOOKUP(TimeRemaining[[#This Row],[Time]],Upgrades[],MATCH("T"&amp;TimeRemaining[#Headers],Upgrades[#Headers],0),FALSE),0)*MAX(0,SUM($G31:I31)),0)</f>
        <v>0</v>
      </c>
      <c r="I135" s="110">
        <f>IF(VALUE(TimeRemaining[#Headers])&lt;=$F31,IFERROR(VLOOKUP(TimeRemaining[[#This Row],[Time]],Upgrades[],MATCH("T"&amp;TimeRemaining[#Headers],Upgrades[#Headers],0),FALSE),0)*MAX(0,SUM($G31:J31)),0)</f>
        <v>0</v>
      </c>
      <c r="J135" s="110">
        <f>IF(VALUE(TimeRemaining[#Headers])&lt;=$F31,IFERROR(VLOOKUP(TimeRemaining[[#This Row],[Time]],Upgrades[],MATCH("T"&amp;TimeRemaining[#Headers],Upgrades[#Headers],0),FALSE),0)*MAX(0,SUM($G31:K31)),0)</f>
        <v>0</v>
      </c>
      <c r="K135" s="110">
        <f>IF(VALUE(TimeRemaining[#Headers])&lt;=$F31,IFERROR(VLOOKUP(TimeRemaining[[#This Row],[Time]],Upgrades[],MATCH("T"&amp;TimeRemaining[#Headers],Upgrades[#Headers],0),FALSE),0)*MAX(0,SUM($G31:L31)),0)</f>
        <v>0</v>
      </c>
      <c r="L135" s="110">
        <f>IF(VALUE(TimeRemaining[#Headers])&lt;=$F31,IFERROR(VLOOKUP(TimeRemaining[[#This Row],[Time]],Upgrades[],MATCH("T"&amp;TimeRemaining[#Headers],Upgrades[#Headers],0),FALSE),0)*MAX(0,SUM($G31:M31)),0)</f>
        <v>0</v>
      </c>
      <c r="M135" s="110">
        <f>IF(VALUE(TimeRemaining[#Headers])&lt;=$F31,IFERROR(VLOOKUP(TimeRemaining[[#This Row],[Time]],Upgrades[],MATCH("T"&amp;TimeRemaining[#Headers],Upgrades[#Headers],0),FALSE),0)*MAX(0,SUM($G31:N31)),0)</f>
        <v>0</v>
      </c>
      <c r="N135" s="110">
        <f>IF(VALUE(TimeRemaining[#Headers])&lt;=$F31,IFERROR(VLOOKUP(TimeRemaining[[#This Row],[Time]],Upgrades[],MATCH("T"&amp;TimeRemaining[#Headers],Upgrades[#Headers],0),FALSE),0)*MAX(0,SUM($G31:O31)),0)</f>
        <v>0</v>
      </c>
      <c r="O135" s="110">
        <f>IF(VALUE(TimeRemaining[#Headers])&lt;=$F31,IFERROR(VLOOKUP(TimeRemaining[[#This Row],[Time]],Upgrades[],MATCH("T"&amp;TimeRemaining[#Headers],Upgrades[#Headers],0),FALSE),0)*MAX(0,SUM($G31:P31)),0)</f>
        <v>0</v>
      </c>
      <c r="P135" s="110">
        <f>IF(VALUE(TimeRemaining[#Headers])&lt;=$F31,IFERROR(VLOOKUP(TimeRemaining[[#This Row],[Time]],Upgrades[],MATCH("T"&amp;TimeRemaining[#Headers],Upgrades[#Headers],0),FALSE),0)*MAX(0,SUM($G31:Q31)),0)</f>
        <v>0</v>
      </c>
      <c r="Q135" s="110">
        <f>IF(VALUE(TimeRemaining[#Headers])&lt;=$F31,IFERROR(VLOOKUP(TimeRemaining[[#This Row],[Time]],Upgrades[],MATCH("T"&amp;TimeRemaining[#Headers],Upgrades[#Headers],0),FALSE),0)*MAX(0,SUM($G31:R31)),0)</f>
        <v>0</v>
      </c>
      <c r="R135" s="110">
        <f>IF(TimeRemaining[[#This Row],[MatchStr]]="IGNORE",0,SUM(TimeRemaining[[#This Row],[1]:[12]]))</f>
        <v>0</v>
      </c>
    </row>
    <row r="136" spans="1:18">
      <c r="A136" s="47" t="s">
        <v>6</v>
      </c>
      <c r="B136" s="47" t="str">
        <f>VLOOKUP(TimeRemaining[[#This Row],[Time]],Upgrades[],2,FALSE)</f>
        <v>Building</v>
      </c>
      <c r="C136" s="47" t="str">
        <f>VLOOKUP(TimeRemaining[[#This Row],[Time]],Upgrades[],3,FALSE)</f>
        <v>Gold</v>
      </c>
      <c r="D136" s="75" t="str">
        <f>IF((IFERROR(MATCH(TimeRemaining[[#This Row],[Time]],$O$16:$S$16,0),0)+IFERROR(MATCH(TimeRemaining[[#This Row],[Time]],$O$17:$S$17,0),0))&gt;0,"IGNORE",TimeRemaining[Kind]&amp;"-"&amp;TimeRemaining[Resource])</f>
        <v>Building-Gold</v>
      </c>
      <c r="E136" s="101" t="str">
        <f>IFERROR(VLOOKUP(TimeRemaining[[#This Row],[Time]],Upgrades[],MATCH("T"&amp;MATCH(TRUE,INDEX(TimeRemaining[[#This Row],[1]:[12]]&lt;&gt;0,),0),Upgrades[#Headers],0),FALSE),"")</f>
        <v/>
      </c>
      <c r="F136" s="110">
        <f>IF(VALUE(TimeRemaining[#Headers])&lt;=$F32,IFERROR(VLOOKUP(TimeRemaining[[#This Row],[Time]],Upgrades[],MATCH("T"&amp;TimeRemaining[#Headers],Upgrades[#Headers],0),FALSE),0)*MAX(0,SUM($G32:G32)),0)</f>
        <v>0</v>
      </c>
      <c r="G136" s="110">
        <f>IF(VALUE(TimeRemaining[#Headers])&lt;=$F32,IFERROR(VLOOKUP(TimeRemaining[[#This Row],[Time]],Upgrades[],MATCH("T"&amp;TimeRemaining[#Headers],Upgrades[#Headers],0),FALSE),0)*MAX(0,SUM($G32:H32)),0)</f>
        <v>0</v>
      </c>
      <c r="H136" s="110">
        <f>IF(VALUE(TimeRemaining[#Headers])&lt;=$F32,IFERROR(VLOOKUP(TimeRemaining[[#This Row],[Time]],Upgrades[],MATCH("T"&amp;TimeRemaining[#Headers],Upgrades[#Headers],0),FALSE),0)*MAX(0,SUM($G32:I32)),0)</f>
        <v>0</v>
      </c>
      <c r="I136" s="110">
        <f>IF(VALUE(TimeRemaining[#Headers])&lt;=$F32,IFERROR(VLOOKUP(TimeRemaining[[#This Row],[Time]],Upgrades[],MATCH("T"&amp;TimeRemaining[#Headers],Upgrades[#Headers],0),FALSE),0)*MAX(0,SUM($G32:J32)),0)</f>
        <v>0</v>
      </c>
      <c r="J136" s="110">
        <f>IF(VALUE(TimeRemaining[#Headers])&lt;=$F32,IFERROR(VLOOKUP(TimeRemaining[[#This Row],[Time]],Upgrades[],MATCH("T"&amp;TimeRemaining[#Headers],Upgrades[#Headers],0),FALSE),0)*MAX(0,SUM($G32:K32)),0)</f>
        <v>0</v>
      </c>
      <c r="K136" s="110">
        <f>IF(VALUE(TimeRemaining[#Headers])&lt;=$F32,IFERROR(VLOOKUP(TimeRemaining[[#This Row],[Time]],Upgrades[],MATCH("T"&amp;TimeRemaining[#Headers],Upgrades[#Headers],0),FALSE),0)*MAX(0,SUM($G32:L32)),0)</f>
        <v>0</v>
      </c>
      <c r="L136" s="110">
        <f>IF(VALUE(TimeRemaining[#Headers])&lt;=$F32,IFERROR(VLOOKUP(TimeRemaining[[#This Row],[Time]],Upgrades[],MATCH("T"&amp;TimeRemaining[#Headers],Upgrades[#Headers],0),FALSE),0)*MAX(0,SUM($G32:M32)),0)</f>
        <v>0</v>
      </c>
      <c r="M136" s="110">
        <f>IF(VALUE(TimeRemaining[#Headers])&lt;=$F32,IFERROR(VLOOKUP(TimeRemaining[[#This Row],[Time]],Upgrades[],MATCH("T"&amp;TimeRemaining[#Headers],Upgrades[#Headers],0),FALSE),0)*MAX(0,SUM($G32:N32)),0)</f>
        <v>0</v>
      </c>
      <c r="N136" s="110">
        <f>IF(VALUE(TimeRemaining[#Headers])&lt;=$F32,IFERROR(VLOOKUP(TimeRemaining[[#This Row],[Time]],Upgrades[],MATCH("T"&amp;TimeRemaining[#Headers],Upgrades[#Headers],0),FALSE),0)*MAX(0,SUM($G32:O32)),0)</f>
        <v>0</v>
      </c>
      <c r="O136" s="110">
        <f>IF(VALUE(TimeRemaining[#Headers])&lt;=$F32,IFERROR(VLOOKUP(TimeRemaining[[#This Row],[Time]],Upgrades[],MATCH("T"&amp;TimeRemaining[#Headers],Upgrades[#Headers],0),FALSE),0)*MAX(0,SUM($G32:P32)),0)</f>
        <v>0</v>
      </c>
      <c r="P136" s="110">
        <f>IF(VALUE(TimeRemaining[#Headers])&lt;=$F32,IFERROR(VLOOKUP(TimeRemaining[[#This Row],[Time]],Upgrades[],MATCH("T"&amp;TimeRemaining[#Headers],Upgrades[#Headers],0),FALSE),0)*MAX(0,SUM($G32:Q32)),0)</f>
        <v>0</v>
      </c>
      <c r="Q136" s="110">
        <f>IF(VALUE(TimeRemaining[#Headers])&lt;=$F32,IFERROR(VLOOKUP(TimeRemaining[[#This Row],[Time]],Upgrades[],MATCH("T"&amp;TimeRemaining[#Headers],Upgrades[#Headers],0),FALSE),0)*MAX(0,SUM($G32:R32)),0)</f>
        <v>0</v>
      </c>
      <c r="R136" s="110">
        <f>IF(TimeRemaining[[#This Row],[MatchStr]]="IGNORE",0,SUM(TimeRemaining[[#This Row],[1]:[12]]))</f>
        <v>0</v>
      </c>
    </row>
    <row r="137" spans="1:18">
      <c r="A137" s="47" t="s">
        <v>23</v>
      </c>
      <c r="B137" s="47" t="str">
        <f>VLOOKUP(TimeRemaining[[#This Row],[Time]],Upgrades[],2,FALSE)</f>
        <v>Building</v>
      </c>
      <c r="C137" s="47" t="str">
        <f>VLOOKUP(TimeRemaining[[#This Row],[Time]],Upgrades[],3,FALSE)</f>
        <v>Gold</v>
      </c>
      <c r="D137" s="75" t="str">
        <f>IF((IFERROR(MATCH(TimeRemaining[[#This Row],[Time]],$O$16:$S$16,0),0)+IFERROR(MATCH(TimeRemaining[[#This Row],[Time]],$O$17:$S$17,0),0))&gt;0,"IGNORE",TimeRemaining[Kind]&amp;"-"&amp;TimeRemaining[Resource])</f>
        <v>Building-Gold</v>
      </c>
      <c r="E137" s="101">
        <f>IFERROR(VLOOKUP(TimeRemaining[[#This Row],[Time]],Upgrades[],MATCH("T"&amp;MATCH(TRUE,INDEX(TimeRemaining[[#This Row],[1]:[12]]&lt;&gt;0,),0),Upgrades[#Headers],0),FALSE),"")</f>
        <v>3</v>
      </c>
      <c r="F137" s="110">
        <f>IF(VALUE(TimeRemaining[#Headers])&lt;=$F33,IFERROR(VLOOKUP(TimeRemaining[[#This Row],[Time]],Upgrades[],MATCH("T"&amp;TimeRemaining[#Headers],Upgrades[#Headers],0),FALSE),0)*MAX(0,SUM($G33:G33)),0)</f>
        <v>0</v>
      </c>
      <c r="G137" s="110">
        <f>IF(VALUE(TimeRemaining[#Headers])&lt;=$F33,IFERROR(VLOOKUP(TimeRemaining[[#This Row],[Time]],Upgrades[],MATCH("T"&amp;TimeRemaining[#Headers],Upgrades[#Headers],0),FALSE),0)*MAX(0,SUM($G33:H33)),0)</f>
        <v>0</v>
      </c>
      <c r="H137" s="110">
        <f>IF(VALUE(TimeRemaining[#Headers])&lt;=$F33,IFERROR(VLOOKUP(TimeRemaining[[#This Row],[Time]],Upgrades[],MATCH("T"&amp;TimeRemaining[#Headers],Upgrades[#Headers],0),FALSE),0)*MAX(0,SUM($G33:I33)),0)</f>
        <v>0</v>
      </c>
      <c r="I137" s="110">
        <f>IF(VALUE(TimeRemaining[#Headers])&lt;=$F33,IFERROR(VLOOKUP(TimeRemaining[[#This Row],[Time]],Upgrades[],MATCH("T"&amp;TimeRemaining[#Headers],Upgrades[#Headers],0),FALSE),0)*MAX(0,SUM($G33:J33)),0)</f>
        <v>0</v>
      </c>
      <c r="J137" s="110">
        <f>IF(VALUE(TimeRemaining[#Headers])&lt;=$F33,IFERROR(VLOOKUP(TimeRemaining[[#This Row],[Time]],Upgrades[],MATCH("T"&amp;TimeRemaining[#Headers],Upgrades[#Headers],0),FALSE),0)*MAX(0,SUM($G33:K33)),0)</f>
        <v>0</v>
      </c>
      <c r="K137" s="110">
        <f>IF(VALUE(TimeRemaining[#Headers])&lt;=$F33,IFERROR(VLOOKUP(TimeRemaining[[#This Row],[Time]],Upgrades[],MATCH("T"&amp;TimeRemaining[#Headers],Upgrades[#Headers],0),FALSE),0)*MAX(0,SUM($G33:L33)),0)</f>
        <v>0</v>
      </c>
      <c r="L137" s="110">
        <f>IF(VALUE(TimeRemaining[#Headers])&lt;=$F33,IFERROR(VLOOKUP(TimeRemaining[[#This Row],[Time]],Upgrades[],MATCH("T"&amp;TimeRemaining[#Headers],Upgrades[#Headers],0),FALSE),0)*MAX(0,SUM($G33:M33)),0)</f>
        <v>0</v>
      </c>
      <c r="M137" s="110">
        <f>IF(VALUE(TimeRemaining[#Headers])&lt;=$F33,IFERROR(VLOOKUP(TimeRemaining[[#This Row],[Time]],Upgrades[],MATCH("T"&amp;TimeRemaining[#Headers],Upgrades[#Headers],0),FALSE),0)*MAX(0,SUM($G33:N33)),0)</f>
        <v>6</v>
      </c>
      <c r="N137" s="110">
        <f>IF(VALUE(TimeRemaining[#Headers])&lt;=$F33,IFERROR(VLOOKUP(TimeRemaining[[#This Row],[Time]],Upgrades[],MATCH("T"&amp;TimeRemaining[#Headers],Upgrades[#Headers],0),FALSE),0)*MAX(0,SUM($G33:O33)),0)</f>
        <v>0</v>
      </c>
      <c r="O137" s="110">
        <f>IF(VALUE(TimeRemaining[#Headers])&lt;=$F33,IFERROR(VLOOKUP(TimeRemaining[[#This Row],[Time]],Upgrades[],MATCH("T"&amp;TimeRemaining[#Headers],Upgrades[#Headers],0),FALSE),0)*MAX(0,SUM($G33:P33)),0)</f>
        <v>0</v>
      </c>
      <c r="P137" s="110">
        <f>IF(VALUE(TimeRemaining[#Headers])&lt;=$F33,IFERROR(VLOOKUP(TimeRemaining[[#This Row],[Time]],Upgrades[],MATCH("T"&amp;TimeRemaining[#Headers],Upgrades[#Headers],0),FALSE),0)*MAX(0,SUM($G33:Q33)),0)</f>
        <v>0</v>
      </c>
      <c r="Q137" s="110">
        <f>IF(VALUE(TimeRemaining[#Headers])&lt;=$F33,IFERROR(VLOOKUP(TimeRemaining[[#This Row],[Time]],Upgrades[],MATCH("T"&amp;TimeRemaining[#Headers],Upgrades[#Headers],0),FALSE),0)*MAX(0,SUM($G33:R33)),0)</f>
        <v>0</v>
      </c>
      <c r="R137" s="110">
        <f>IF(TimeRemaining[[#This Row],[MatchStr]]="IGNORE",0,SUM(TimeRemaining[[#This Row],[1]:[12]]))</f>
        <v>6</v>
      </c>
    </row>
    <row r="138" spans="1:18">
      <c r="A138" s="47" t="s">
        <v>24</v>
      </c>
      <c r="B138" s="47" t="str">
        <f>VLOOKUP(TimeRemaining[[#This Row],[Time]],Upgrades[],2,FALSE)</f>
        <v>Wall</v>
      </c>
      <c r="C138" s="47" t="str">
        <f>VLOOKUP(TimeRemaining[[#This Row],[Time]],Upgrades[],3,FALSE)</f>
        <v>Gold</v>
      </c>
      <c r="D138" s="75" t="str">
        <f>IF((IFERROR(MATCH(TimeRemaining[[#This Row],[Time]],$O$16:$S$16,0),0)+IFERROR(MATCH(TimeRemaining[[#This Row],[Time]],$O$17:$S$17,0),0))&gt;0,"IGNORE",TimeRemaining[Kind]&amp;"-"&amp;TimeRemaining[Resource])</f>
        <v>Wall-Gold</v>
      </c>
      <c r="E138" s="101" t="str">
        <f>IFERROR(VLOOKUP(TimeRemaining[[#This Row],[Time]],Upgrades[],MATCH("T"&amp;MATCH(TRUE,INDEX(TimeRemaining[[#This Row],[1]:[12]]&lt;&gt;0,),0),Upgrades[#Headers],0),FALSE),"")</f>
        <v/>
      </c>
      <c r="F138" s="110">
        <f>IF(VALUE(TimeRemaining[#Headers])&lt;=$F34,IFERROR(VLOOKUP(TimeRemaining[[#This Row],[Time]],Upgrades[],MATCH("T"&amp;TimeRemaining[#Headers],Upgrades[#Headers],0),FALSE),0)*MAX(0,SUM($G34:G34)),0)</f>
        <v>0</v>
      </c>
      <c r="G138" s="110">
        <f>IF(VALUE(TimeRemaining[#Headers])&lt;=$F34,IFERROR(VLOOKUP(TimeRemaining[[#This Row],[Time]],Upgrades[],MATCH("T"&amp;TimeRemaining[#Headers],Upgrades[#Headers],0),FALSE),0)*MAX(0,SUM($G34:H34)),0)</f>
        <v>0</v>
      </c>
      <c r="H138" s="110">
        <f>IF(VALUE(TimeRemaining[#Headers])&lt;=$F34,IFERROR(VLOOKUP(TimeRemaining[[#This Row],[Time]],Upgrades[],MATCH("T"&amp;TimeRemaining[#Headers],Upgrades[#Headers],0),FALSE),0)*MAX(0,SUM($G34:I34)),0)</f>
        <v>0</v>
      </c>
      <c r="I138" s="110">
        <f>IF(VALUE(TimeRemaining[#Headers])&lt;=$F34,IFERROR(VLOOKUP(TimeRemaining[[#This Row],[Time]],Upgrades[],MATCH("T"&amp;TimeRemaining[#Headers],Upgrades[#Headers],0),FALSE),0)*MAX(0,SUM($G34:J34)),0)</f>
        <v>0</v>
      </c>
      <c r="J138" s="110">
        <f>IF(VALUE(TimeRemaining[#Headers])&lt;=$F34,IFERROR(VLOOKUP(TimeRemaining[[#This Row],[Time]],Upgrades[],MATCH("T"&amp;TimeRemaining[#Headers],Upgrades[#Headers],0),FALSE),0)*MAX(0,SUM($G34:K34)),0)</f>
        <v>0</v>
      </c>
      <c r="K138" s="110">
        <f>IF(VALUE(TimeRemaining[#Headers])&lt;=$F34,IFERROR(VLOOKUP(TimeRemaining[[#This Row],[Time]],Upgrades[],MATCH("T"&amp;TimeRemaining[#Headers],Upgrades[#Headers],0),FALSE),0)*MAX(0,SUM($G34:L34)),0)</f>
        <v>0</v>
      </c>
      <c r="L138" s="110">
        <f>IF(VALUE(TimeRemaining[#Headers])&lt;=$F34,IFERROR(VLOOKUP(TimeRemaining[[#This Row],[Time]],Upgrades[],MATCH("T"&amp;TimeRemaining[#Headers],Upgrades[#Headers],0),FALSE),0)*MAX(0,SUM($G34:M34)),0)</f>
        <v>0</v>
      </c>
      <c r="M138" s="110">
        <f>IF(VALUE(TimeRemaining[#Headers])&lt;=$F34,IFERROR(VLOOKUP(TimeRemaining[[#This Row],[Time]],Upgrades[],MATCH("T"&amp;TimeRemaining[#Headers],Upgrades[#Headers],0),FALSE),0)*MAX(0,SUM($G34:N34)),0)</f>
        <v>0</v>
      </c>
      <c r="N138" s="110">
        <f>IF(VALUE(TimeRemaining[#Headers])&lt;=$F34,IFERROR(VLOOKUP(TimeRemaining[[#This Row],[Time]],Upgrades[],MATCH("T"&amp;TimeRemaining[#Headers],Upgrades[#Headers],0),FALSE),0)*MAX(0,SUM($G34:O34)),0)</f>
        <v>0</v>
      </c>
      <c r="O138" s="110">
        <f>IF(VALUE(TimeRemaining[#Headers])&lt;=$F34,IFERROR(VLOOKUP(TimeRemaining[[#This Row],[Time]],Upgrades[],MATCH("T"&amp;TimeRemaining[#Headers],Upgrades[#Headers],0),FALSE),0)*MAX(0,SUM($G34:P34)),0)</f>
        <v>0</v>
      </c>
      <c r="P138" s="110">
        <f>IF(VALUE(TimeRemaining[#Headers])&lt;=$F34,IFERROR(VLOOKUP(TimeRemaining[[#This Row],[Time]],Upgrades[],MATCH("T"&amp;TimeRemaining[#Headers],Upgrades[#Headers],0),FALSE),0)*MAX(0,SUM($G34:Q34)),0)</f>
        <v>0</v>
      </c>
      <c r="Q138" s="110">
        <f>IF(VALUE(TimeRemaining[#Headers])&lt;=$F34,IFERROR(VLOOKUP(TimeRemaining[[#This Row],[Time]],Upgrades[],MATCH("T"&amp;TimeRemaining[#Headers],Upgrades[#Headers],0),FALSE),0)*MAX(0,SUM($G34:R34)),0)</f>
        <v>0</v>
      </c>
      <c r="R138" s="110">
        <f>IF(TimeRemaining[[#This Row],[MatchStr]]="IGNORE",0,SUM(TimeRemaining[[#This Row],[1]:[12]]))</f>
        <v>0</v>
      </c>
    </row>
    <row r="139" spans="1:18">
      <c r="A139" s="47" t="s">
        <v>7</v>
      </c>
      <c r="B139" s="47" t="str">
        <f>VLOOKUP(TimeRemaining[[#This Row],[Time]],Upgrades[],2,FALSE)</f>
        <v>Building</v>
      </c>
      <c r="C139" s="47" t="str">
        <f>VLOOKUP(TimeRemaining[[#This Row],[Time]],Upgrades[],3,FALSE)</f>
        <v>Gold</v>
      </c>
      <c r="D139" s="75" t="str">
        <f>IF((IFERROR(MATCH(TimeRemaining[[#This Row],[Time]],$O$16:$S$16,0),0)+IFERROR(MATCH(TimeRemaining[[#This Row],[Time]],$O$17:$S$17,0),0))&gt;0,"IGNORE",TimeRemaining[Kind]&amp;"-"&amp;TimeRemaining[Resource])</f>
        <v>Building-Gold</v>
      </c>
      <c r="E139" s="101" t="str">
        <f>IFERROR(VLOOKUP(TimeRemaining[[#This Row],[Time]],Upgrades[],MATCH("T"&amp;MATCH(TRUE,INDEX(TimeRemaining[[#This Row],[1]:[12]]&lt;&gt;0,),0),Upgrades[#Headers],0),FALSE),"")</f>
        <v/>
      </c>
      <c r="F139" s="110">
        <f>IF(VALUE(TimeRemaining[#Headers])&lt;=$F35,IFERROR(VLOOKUP(TimeRemaining[[#This Row],[Time]],Upgrades[],MATCH("T"&amp;TimeRemaining[#Headers],Upgrades[#Headers],0),FALSE),0)*MAX(0,SUM($G35:G35)),0)</f>
        <v>0</v>
      </c>
      <c r="G139" s="110">
        <f>IF(VALUE(TimeRemaining[#Headers])&lt;=$F35,IFERROR(VLOOKUP(TimeRemaining[[#This Row],[Time]],Upgrades[],MATCH("T"&amp;TimeRemaining[#Headers],Upgrades[#Headers],0),FALSE),0)*MAX(0,SUM($G35:H35)),0)</f>
        <v>0</v>
      </c>
      <c r="H139" s="110">
        <f>IF(VALUE(TimeRemaining[#Headers])&lt;=$F35,IFERROR(VLOOKUP(TimeRemaining[[#This Row],[Time]],Upgrades[],MATCH("T"&amp;TimeRemaining[#Headers],Upgrades[#Headers],0),FALSE),0)*MAX(0,SUM($G35:I35)),0)</f>
        <v>0</v>
      </c>
      <c r="I139" s="110">
        <f>IF(VALUE(TimeRemaining[#Headers])&lt;=$F35,IFERROR(VLOOKUP(TimeRemaining[[#This Row],[Time]],Upgrades[],MATCH("T"&amp;TimeRemaining[#Headers],Upgrades[#Headers],0),FALSE),0)*MAX(0,SUM($G35:J35)),0)</f>
        <v>0</v>
      </c>
      <c r="J139" s="110">
        <f>IF(VALUE(TimeRemaining[#Headers])&lt;=$F35,IFERROR(VLOOKUP(TimeRemaining[[#This Row],[Time]],Upgrades[],MATCH("T"&amp;TimeRemaining[#Headers],Upgrades[#Headers],0),FALSE),0)*MAX(0,SUM($G35:K35)),0)</f>
        <v>0</v>
      </c>
      <c r="K139" s="110">
        <f>IF(VALUE(TimeRemaining[#Headers])&lt;=$F35,IFERROR(VLOOKUP(TimeRemaining[[#This Row],[Time]],Upgrades[],MATCH("T"&amp;TimeRemaining[#Headers],Upgrades[#Headers],0),FALSE),0)*MAX(0,SUM($G35:L35)),0)</f>
        <v>0</v>
      </c>
      <c r="L139" s="110">
        <f>IF(VALUE(TimeRemaining[#Headers])&lt;=$F35,IFERROR(VLOOKUP(TimeRemaining[[#This Row],[Time]],Upgrades[],MATCH("T"&amp;TimeRemaining[#Headers],Upgrades[#Headers],0),FALSE),0)*MAX(0,SUM($G35:M35)),0)</f>
        <v>0</v>
      </c>
      <c r="M139" s="110">
        <f>IF(VALUE(TimeRemaining[#Headers])&lt;=$F35,IFERROR(VLOOKUP(TimeRemaining[[#This Row],[Time]],Upgrades[],MATCH("T"&amp;TimeRemaining[#Headers],Upgrades[#Headers],0),FALSE),0)*MAX(0,SUM($G35:N35)),0)</f>
        <v>0</v>
      </c>
      <c r="N139" s="110">
        <f>IF(VALUE(TimeRemaining[#Headers])&lt;=$F35,IFERROR(VLOOKUP(TimeRemaining[[#This Row],[Time]],Upgrades[],MATCH("T"&amp;TimeRemaining[#Headers],Upgrades[#Headers],0),FALSE),0)*MAX(0,SUM($G35:O35)),0)</f>
        <v>0</v>
      </c>
      <c r="O139" s="110">
        <f>IF(VALUE(TimeRemaining[#Headers])&lt;=$F35,IFERROR(VLOOKUP(TimeRemaining[[#This Row],[Time]],Upgrades[],MATCH("T"&amp;TimeRemaining[#Headers],Upgrades[#Headers],0),FALSE),0)*MAX(0,SUM($G35:P35)),0)</f>
        <v>0</v>
      </c>
      <c r="P139" s="110">
        <f>IF(VALUE(TimeRemaining[#Headers])&lt;=$F35,IFERROR(VLOOKUP(TimeRemaining[[#This Row],[Time]],Upgrades[],MATCH("T"&amp;TimeRemaining[#Headers],Upgrades[#Headers],0),FALSE),0)*MAX(0,SUM($G35:Q35)),0)</f>
        <v>0</v>
      </c>
      <c r="Q139" s="110">
        <f>IF(VALUE(TimeRemaining[#Headers])&lt;=$F35,IFERROR(VLOOKUP(TimeRemaining[[#This Row],[Time]],Upgrades[],MATCH("T"&amp;TimeRemaining[#Headers],Upgrades[#Headers],0),FALSE),0)*MAX(0,SUM($G35:R35)),0)</f>
        <v>0</v>
      </c>
      <c r="R139" s="110">
        <f>IF(TimeRemaining[[#This Row],[MatchStr]]="IGNORE",0,SUM(TimeRemaining[[#This Row],[1]:[12]]))</f>
        <v>0</v>
      </c>
    </row>
    <row r="140" spans="1:18">
      <c r="A140" s="47" t="s">
        <v>8</v>
      </c>
      <c r="B140" s="47" t="str">
        <f>VLOOKUP(TimeRemaining[[#This Row],[Time]],Upgrades[],2,FALSE)</f>
        <v>Building</v>
      </c>
      <c r="C140" s="47" t="str">
        <f>VLOOKUP(TimeRemaining[[#This Row],[Time]],Upgrades[],3,FALSE)</f>
        <v>Gold</v>
      </c>
      <c r="D140" s="75" t="str">
        <f>IF((IFERROR(MATCH(TimeRemaining[[#This Row],[Time]],$O$16:$S$16,0),0)+IFERROR(MATCH(TimeRemaining[[#This Row],[Time]],$O$17:$S$17,0),0))&gt;0,"IGNORE",TimeRemaining[Kind]&amp;"-"&amp;TimeRemaining[Resource])</f>
        <v>Building-Gold</v>
      </c>
      <c r="E140" s="101" t="str">
        <f>IFERROR(VLOOKUP(TimeRemaining[[#This Row],[Time]],Upgrades[],MATCH("T"&amp;MATCH(TRUE,INDEX(TimeRemaining[[#This Row],[1]:[12]]&lt;&gt;0,),0),Upgrades[#Headers],0),FALSE),"")</f>
        <v/>
      </c>
      <c r="F140" s="110">
        <f>IF(VALUE(TimeRemaining[#Headers])&lt;=$F36,IFERROR(VLOOKUP(TimeRemaining[[#This Row],[Time]],Upgrades[],MATCH("T"&amp;TimeRemaining[#Headers],Upgrades[#Headers],0),FALSE),0)*MAX(0,SUM($G36:G36)),0)</f>
        <v>0</v>
      </c>
      <c r="G140" s="110">
        <f>IF(VALUE(TimeRemaining[#Headers])&lt;=$F36,IFERROR(VLOOKUP(TimeRemaining[[#This Row],[Time]],Upgrades[],MATCH("T"&amp;TimeRemaining[#Headers],Upgrades[#Headers],0),FALSE),0)*MAX(0,SUM($G36:H36)),0)</f>
        <v>0</v>
      </c>
      <c r="H140" s="110">
        <f>IF(VALUE(TimeRemaining[#Headers])&lt;=$F36,IFERROR(VLOOKUP(TimeRemaining[[#This Row],[Time]],Upgrades[],MATCH("T"&amp;TimeRemaining[#Headers],Upgrades[#Headers],0),FALSE),0)*MAX(0,SUM($G36:I36)),0)</f>
        <v>0</v>
      </c>
      <c r="I140" s="110">
        <f>IF(VALUE(TimeRemaining[#Headers])&lt;=$F36,IFERROR(VLOOKUP(TimeRemaining[[#This Row],[Time]],Upgrades[],MATCH("T"&amp;TimeRemaining[#Headers],Upgrades[#Headers],0),FALSE),0)*MAX(0,SUM($G36:J36)),0)</f>
        <v>0</v>
      </c>
      <c r="J140" s="110">
        <f>IF(VALUE(TimeRemaining[#Headers])&lt;=$F36,IFERROR(VLOOKUP(TimeRemaining[[#This Row],[Time]],Upgrades[],MATCH("T"&amp;TimeRemaining[#Headers],Upgrades[#Headers],0),FALSE),0)*MAX(0,SUM($G36:K36)),0)</f>
        <v>0</v>
      </c>
      <c r="K140" s="110">
        <f>IF(VALUE(TimeRemaining[#Headers])&lt;=$F36,IFERROR(VLOOKUP(TimeRemaining[[#This Row],[Time]],Upgrades[],MATCH("T"&amp;TimeRemaining[#Headers],Upgrades[#Headers],0),FALSE),0)*MAX(0,SUM($G36:L36)),0)</f>
        <v>0</v>
      </c>
      <c r="L140" s="110">
        <f>IF(VALUE(TimeRemaining[#Headers])&lt;=$F36,IFERROR(VLOOKUP(TimeRemaining[[#This Row],[Time]],Upgrades[],MATCH("T"&amp;TimeRemaining[#Headers],Upgrades[#Headers],0),FALSE),0)*MAX(0,SUM($G36:M36)),0)</f>
        <v>0</v>
      </c>
      <c r="M140" s="110">
        <f>IF(VALUE(TimeRemaining[#Headers])&lt;=$F36,IFERROR(VLOOKUP(TimeRemaining[[#This Row],[Time]],Upgrades[],MATCH("T"&amp;TimeRemaining[#Headers],Upgrades[#Headers],0),FALSE),0)*MAX(0,SUM($G36:N36)),0)</f>
        <v>0</v>
      </c>
      <c r="N140" s="110">
        <f>IF(VALUE(TimeRemaining[#Headers])&lt;=$F36,IFERROR(VLOOKUP(TimeRemaining[[#This Row],[Time]],Upgrades[],MATCH("T"&amp;TimeRemaining[#Headers],Upgrades[#Headers],0),FALSE),0)*MAX(0,SUM($G36:O36)),0)</f>
        <v>0</v>
      </c>
      <c r="O140" s="110">
        <f>IF(VALUE(TimeRemaining[#Headers])&lt;=$F36,IFERROR(VLOOKUP(TimeRemaining[[#This Row],[Time]],Upgrades[],MATCH("T"&amp;TimeRemaining[#Headers],Upgrades[#Headers],0),FALSE),0)*MAX(0,SUM($G36:P36)),0)</f>
        <v>0</v>
      </c>
      <c r="P140" s="110">
        <f>IF(VALUE(TimeRemaining[#Headers])&lt;=$F36,IFERROR(VLOOKUP(TimeRemaining[[#This Row],[Time]],Upgrades[],MATCH("T"&amp;TimeRemaining[#Headers],Upgrades[#Headers],0),FALSE),0)*MAX(0,SUM($G36:Q36)),0)</f>
        <v>0</v>
      </c>
      <c r="Q140" s="110">
        <f>IF(VALUE(TimeRemaining[#Headers])&lt;=$F36,IFERROR(VLOOKUP(TimeRemaining[[#This Row],[Time]],Upgrades[],MATCH("T"&amp;TimeRemaining[#Headers],Upgrades[#Headers],0),FALSE),0)*MAX(0,SUM($G36:R36)),0)</f>
        <v>0</v>
      </c>
      <c r="R140" s="110">
        <f>IF(TimeRemaining[[#This Row],[MatchStr]]="IGNORE",0,SUM(TimeRemaining[[#This Row],[1]:[12]]))</f>
        <v>0</v>
      </c>
    </row>
    <row r="141" spans="1:18">
      <c r="A141" s="47" t="s">
        <v>25</v>
      </c>
      <c r="B141" s="47" t="str">
        <f>VLOOKUP(TimeRemaining[[#This Row],[Time]],Upgrades[],2,FALSE)</f>
        <v>Building</v>
      </c>
      <c r="C141" s="47" t="str">
        <f>VLOOKUP(TimeRemaining[[#This Row],[Time]],Upgrades[],3,FALSE)</f>
        <v>Gold</v>
      </c>
      <c r="D141" s="75" t="str">
        <f>IF((IFERROR(MATCH(TimeRemaining[[#This Row],[Time]],$O$16:$S$16,0),0)+IFERROR(MATCH(TimeRemaining[[#This Row],[Time]],$O$17:$S$17,0),0))&gt;0,"IGNORE",TimeRemaining[Kind]&amp;"-"&amp;TimeRemaining[Resource])</f>
        <v>Building-Gold</v>
      </c>
      <c r="E141" s="101">
        <f>IFERROR(VLOOKUP(TimeRemaining[[#This Row],[Time]],Upgrades[],MATCH("T"&amp;MATCH(TRUE,INDEX(TimeRemaining[[#This Row],[1]:[12]]&lt;&gt;0,),0),Upgrades[#Headers],0),FALSE),"")</f>
        <v>6</v>
      </c>
      <c r="F141" s="110">
        <f>IF(VALUE(TimeRemaining[#Headers])&lt;=$F37,IFERROR(VLOOKUP(TimeRemaining[[#This Row],[Time]],Upgrades[],MATCH("T"&amp;TimeRemaining[#Headers],Upgrades[#Headers],0),FALSE),0)*MAX(0,SUM($G37:G37)),0)</f>
        <v>0</v>
      </c>
      <c r="G141" s="110">
        <f>IF(VALUE(TimeRemaining[#Headers])&lt;=$F37,IFERROR(VLOOKUP(TimeRemaining[[#This Row],[Time]],Upgrades[],MATCH("T"&amp;TimeRemaining[#Headers],Upgrades[#Headers],0),FALSE),0)*MAX(0,SUM($G37:H37)),0)</f>
        <v>0</v>
      </c>
      <c r="H141" s="110">
        <f>IF(VALUE(TimeRemaining[#Headers])&lt;=$F37,IFERROR(VLOOKUP(TimeRemaining[[#This Row],[Time]],Upgrades[],MATCH("T"&amp;TimeRemaining[#Headers],Upgrades[#Headers],0),FALSE),0)*MAX(0,SUM($G37:I37)),0)</f>
        <v>0</v>
      </c>
      <c r="I141" s="110">
        <f>IF(VALUE(TimeRemaining[#Headers])&lt;=$F37,IFERROR(VLOOKUP(TimeRemaining[[#This Row],[Time]],Upgrades[],MATCH("T"&amp;TimeRemaining[#Headers],Upgrades[#Headers],0),FALSE),0)*MAX(0,SUM($G37:J37)),0)</f>
        <v>0</v>
      </c>
      <c r="J141" s="110">
        <f>IF(VALUE(TimeRemaining[#Headers])&lt;=$F37,IFERROR(VLOOKUP(TimeRemaining[[#This Row],[Time]],Upgrades[],MATCH("T"&amp;TimeRemaining[#Headers],Upgrades[#Headers],0),FALSE),0)*MAX(0,SUM($G37:K37)),0)</f>
        <v>12</v>
      </c>
      <c r="K141" s="110">
        <f>IF(VALUE(TimeRemaining[#Headers])&lt;=$F37,IFERROR(VLOOKUP(TimeRemaining[[#This Row],[Time]],Upgrades[],MATCH("T"&amp;TimeRemaining[#Headers],Upgrades[#Headers],0),FALSE),0)*MAX(0,SUM($G37:L37)),0)</f>
        <v>0</v>
      </c>
      <c r="L141" s="110">
        <f>IF(VALUE(TimeRemaining[#Headers])&lt;=$F37,IFERROR(VLOOKUP(TimeRemaining[[#This Row],[Time]],Upgrades[],MATCH("T"&amp;TimeRemaining[#Headers],Upgrades[#Headers],0),FALSE),0)*MAX(0,SUM($G37:M37)),0)</f>
        <v>0</v>
      </c>
      <c r="M141" s="110">
        <f>IF(VALUE(TimeRemaining[#Headers])&lt;=$F37,IFERROR(VLOOKUP(TimeRemaining[[#This Row],[Time]],Upgrades[],MATCH("T"&amp;TimeRemaining[#Headers],Upgrades[#Headers],0),FALSE),0)*MAX(0,SUM($G37:N37)),0)</f>
        <v>0</v>
      </c>
      <c r="N141" s="110">
        <f>IF(VALUE(TimeRemaining[#Headers])&lt;=$F37,IFERROR(VLOOKUP(TimeRemaining[[#This Row],[Time]],Upgrades[],MATCH("T"&amp;TimeRemaining[#Headers],Upgrades[#Headers],0),FALSE),0)*MAX(0,SUM($G37:O37)),0)</f>
        <v>0</v>
      </c>
      <c r="O141" s="110">
        <f>IF(VALUE(TimeRemaining[#Headers])&lt;=$F37,IFERROR(VLOOKUP(TimeRemaining[[#This Row],[Time]],Upgrades[],MATCH("T"&amp;TimeRemaining[#Headers],Upgrades[#Headers],0),FALSE),0)*MAX(0,SUM($G37:P37)),0)</f>
        <v>0</v>
      </c>
      <c r="P141" s="110">
        <f>IF(VALUE(TimeRemaining[#Headers])&lt;=$F37,IFERROR(VLOOKUP(TimeRemaining[[#This Row],[Time]],Upgrades[],MATCH("T"&amp;TimeRemaining[#Headers],Upgrades[#Headers],0),FALSE),0)*MAX(0,SUM($G37:Q37)),0)</f>
        <v>0</v>
      </c>
      <c r="Q141" s="110">
        <f>IF(VALUE(TimeRemaining[#Headers])&lt;=$F37,IFERROR(VLOOKUP(TimeRemaining[[#This Row],[Time]],Upgrades[],MATCH("T"&amp;TimeRemaining[#Headers],Upgrades[#Headers],0),FALSE),0)*MAX(0,SUM($G37:R37)),0)</f>
        <v>0</v>
      </c>
      <c r="R141" s="110">
        <f>IF(TimeRemaining[[#This Row],[MatchStr]]="IGNORE",0,SUM(TimeRemaining[[#This Row],[1]:[12]]))</f>
        <v>12</v>
      </c>
    </row>
    <row r="142" spans="1:18">
      <c r="A142" s="47" t="s">
        <v>26</v>
      </c>
      <c r="B142" s="47" t="str">
        <f>VLOOKUP(TimeRemaining[[#This Row],[Time]],Upgrades[],2,FALSE)</f>
        <v>Building</v>
      </c>
      <c r="C142" s="47" t="str">
        <f>VLOOKUP(TimeRemaining[[#This Row],[Time]],Upgrades[],3,FALSE)</f>
        <v>Gold</v>
      </c>
      <c r="D142" s="75" t="str">
        <f>IF((IFERROR(MATCH(TimeRemaining[[#This Row],[Time]],$O$16:$S$16,0),0)+IFERROR(MATCH(TimeRemaining[[#This Row],[Time]],$O$17:$S$17,0),0))&gt;0,"IGNORE",TimeRemaining[Kind]&amp;"-"&amp;TimeRemaining[Resource])</f>
        <v>Building-Gold</v>
      </c>
      <c r="E142" s="101" t="str">
        <f>IFERROR(VLOOKUP(TimeRemaining[[#This Row],[Time]],Upgrades[],MATCH("T"&amp;MATCH(TRUE,INDEX(TimeRemaining[[#This Row],[1]:[12]]&lt;&gt;0,),0),Upgrades[#Headers],0),FALSE),"")</f>
        <v/>
      </c>
      <c r="F142" s="110">
        <f>IF(VALUE(TimeRemaining[#Headers])&lt;=$F38,IFERROR(VLOOKUP(TimeRemaining[[#This Row],[Time]],Upgrades[],MATCH("T"&amp;TimeRemaining[#Headers],Upgrades[#Headers],0),FALSE),0)*MAX(0,SUM($G38:G38)),0)</f>
        <v>0</v>
      </c>
      <c r="G142" s="110">
        <f>IF(VALUE(TimeRemaining[#Headers])&lt;=$F38,IFERROR(VLOOKUP(TimeRemaining[[#This Row],[Time]],Upgrades[],MATCH("T"&amp;TimeRemaining[#Headers],Upgrades[#Headers],0),FALSE),0)*MAX(0,SUM($G38:H38)),0)</f>
        <v>0</v>
      </c>
      <c r="H142" s="110">
        <f>IF(VALUE(TimeRemaining[#Headers])&lt;=$F38,IFERROR(VLOOKUP(TimeRemaining[[#This Row],[Time]],Upgrades[],MATCH("T"&amp;TimeRemaining[#Headers],Upgrades[#Headers],0),FALSE),0)*MAX(0,SUM($G38:I38)),0)</f>
        <v>0</v>
      </c>
      <c r="I142" s="110">
        <f>IF(VALUE(TimeRemaining[#Headers])&lt;=$F38,IFERROR(VLOOKUP(TimeRemaining[[#This Row],[Time]],Upgrades[],MATCH("T"&amp;TimeRemaining[#Headers],Upgrades[#Headers],0),FALSE),0)*MAX(0,SUM($G38:J38)),0)</f>
        <v>0</v>
      </c>
      <c r="J142" s="110">
        <f>IF(VALUE(TimeRemaining[#Headers])&lt;=$F38,IFERROR(VLOOKUP(TimeRemaining[[#This Row],[Time]],Upgrades[],MATCH("T"&amp;TimeRemaining[#Headers],Upgrades[#Headers],0),FALSE),0)*MAX(0,SUM($G38:K38)),0)</f>
        <v>0</v>
      </c>
      <c r="K142" s="110">
        <f>IF(VALUE(TimeRemaining[#Headers])&lt;=$F38,IFERROR(VLOOKUP(TimeRemaining[[#This Row],[Time]],Upgrades[],MATCH("T"&amp;TimeRemaining[#Headers],Upgrades[#Headers],0),FALSE),0)*MAX(0,SUM($G38:L38)),0)</f>
        <v>0</v>
      </c>
      <c r="L142" s="110">
        <f>IF(VALUE(TimeRemaining[#Headers])&lt;=$F38,IFERROR(VLOOKUP(TimeRemaining[[#This Row],[Time]],Upgrades[],MATCH("T"&amp;TimeRemaining[#Headers],Upgrades[#Headers],0),FALSE),0)*MAX(0,SUM($G38:M38)),0)</f>
        <v>0</v>
      </c>
      <c r="M142" s="110">
        <f>IF(VALUE(TimeRemaining[#Headers])&lt;=$F38,IFERROR(VLOOKUP(TimeRemaining[[#This Row],[Time]],Upgrades[],MATCH("T"&amp;TimeRemaining[#Headers],Upgrades[#Headers],0),FALSE),0)*MAX(0,SUM($G38:N38)),0)</f>
        <v>0</v>
      </c>
      <c r="N142" s="110">
        <f>IF(VALUE(TimeRemaining[#Headers])&lt;=$F38,IFERROR(VLOOKUP(TimeRemaining[[#This Row],[Time]],Upgrades[],MATCH("T"&amp;TimeRemaining[#Headers],Upgrades[#Headers],0),FALSE),0)*MAX(0,SUM($G38:O38)),0)</f>
        <v>0</v>
      </c>
      <c r="O142" s="110">
        <f>IF(VALUE(TimeRemaining[#Headers])&lt;=$F38,IFERROR(VLOOKUP(TimeRemaining[[#This Row],[Time]],Upgrades[],MATCH("T"&amp;TimeRemaining[#Headers],Upgrades[#Headers],0),FALSE),0)*MAX(0,SUM($G38:P38)),0)</f>
        <v>0</v>
      </c>
      <c r="P142" s="110">
        <f>IF(VALUE(TimeRemaining[#Headers])&lt;=$F38,IFERROR(VLOOKUP(TimeRemaining[[#This Row],[Time]],Upgrades[],MATCH("T"&amp;TimeRemaining[#Headers],Upgrades[#Headers],0),FALSE),0)*MAX(0,SUM($G38:Q38)),0)</f>
        <v>0</v>
      </c>
      <c r="Q142" s="110">
        <f>IF(VALUE(TimeRemaining[#Headers])&lt;=$F38,IFERROR(VLOOKUP(TimeRemaining[[#This Row],[Time]],Upgrades[],MATCH("T"&amp;TimeRemaining[#Headers],Upgrades[#Headers],0),FALSE),0)*MAX(0,SUM($G38:R38)),0)</f>
        <v>0</v>
      </c>
      <c r="R142" s="110">
        <f>IF(TimeRemaining[[#This Row],[MatchStr]]="IGNORE",0,SUM(TimeRemaining[[#This Row],[1]:[12]]))</f>
        <v>0</v>
      </c>
    </row>
    <row r="143" spans="1:18">
      <c r="A143" s="47" t="s">
        <v>27</v>
      </c>
      <c r="B143" s="47" t="str">
        <f>VLOOKUP(TimeRemaining[[#This Row],[Time]],Upgrades[],2,FALSE)</f>
        <v>Building</v>
      </c>
      <c r="C143" s="47" t="str">
        <f>VLOOKUP(TimeRemaining[[#This Row],[Time]],Upgrades[],3,FALSE)</f>
        <v>Gold</v>
      </c>
      <c r="D143" s="75" t="str">
        <f>IF((IFERROR(MATCH(TimeRemaining[[#This Row],[Time]],$O$16:$S$16,0),0)+IFERROR(MATCH(TimeRemaining[[#This Row],[Time]],$O$17:$S$17,0),0))&gt;0,"IGNORE",TimeRemaining[Kind]&amp;"-"&amp;TimeRemaining[Resource])</f>
        <v>Building-Gold</v>
      </c>
      <c r="E143" s="101">
        <f>IFERROR(VLOOKUP(TimeRemaining[[#This Row],[Time]],Upgrades[],MATCH("T"&amp;MATCH(TRUE,INDEX(TimeRemaining[[#This Row],[1]:[12]]&lt;&gt;0,),0),Upgrades[#Headers],0),FALSE),"")</f>
        <v>3</v>
      </c>
      <c r="F143" s="110">
        <f>IF(VALUE(TimeRemaining[#Headers])&lt;=$F39,IFERROR(VLOOKUP(TimeRemaining[[#This Row],[Time]],Upgrades[],MATCH("T"&amp;TimeRemaining[#Headers],Upgrades[#Headers],0),FALSE),0)*MAX(0,SUM($G39:G39)),0)</f>
        <v>0</v>
      </c>
      <c r="G143" s="110">
        <f>IF(VALUE(TimeRemaining[#Headers])&lt;=$F39,IFERROR(VLOOKUP(TimeRemaining[[#This Row],[Time]],Upgrades[],MATCH("T"&amp;TimeRemaining[#Headers],Upgrades[#Headers],0),FALSE),0)*MAX(0,SUM($G39:H39)),0)</f>
        <v>0</v>
      </c>
      <c r="H143" s="110">
        <f>IF(VALUE(TimeRemaining[#Headers])&lt;=$F39,IFERROR(VLOOKUP(TimeRemaining[[#This Row],[Time]],Upgrades[],MATCH("T"&amp;TimeRemaining[#Headers],Upgrades[#Headers],0),FALSE),0)*MAX(0,SUM($G39:I39)),0)</f>
        <v>0</v>
      </c>
      <c r="I143" s="110">
        <f>IF(VALUE(TimeRemaining[#Headers])&lt;=$F39,IFERROR(VLOOKUP(TimeRemaining[[#This Row],[Time]],Upgrades[],MATCH("T"&amp;TimeRemaining[#Headers],Upgrades[#Headers],0),FALSE),0)*MAX(0,SUM($G39:J39)),0)</f>
        <v>6</v>
      </c>
      <c r="J143" s="110">
        <f>IF(VALUE(TimeRemaining[#Headers])&lt;=$F39,IFERROR(VLOOKUP(TimeRemaining[[#This Row],[Time]],Upgrades[],MATCH("T"&amp;TimeRemaining[#Headers],Upgrades[#Headers],0),FALSE),0)*MAX(0,SUM($G39:K39)),0)</f>
        <v>0</v>
      </c>
      <c r="K143" s="110">
        <f>IF(VALUE(TimeRemaining[#Headers])&lt;=$F39,IFERROR(VLOOKUP(TimeRemaining[[#This Row],[Time]],Upgrades[],MATCH("T"&amp;TimeRemaining[#Headers],Upgrades[#Headers],0),FALSE),0)*MAX(0,SUM($G39:L39)),0)</f>
        <v>0</v>
      </c>
      <c r="L143" s="110">
        <f>IF(VALUE(TimeRemaining[#Headers])&lt;=$F39,IFERROR(VLOOKUP(TimeRemaining[[#This Row],[Time]],Upgrades[],MATCH("T"&amp;TimeRemaining[#Headers],Upgrades[#Headers],0),FALSE),0)*MAX(0,SUM($G39:M39)),0)</f>
        <v>0</v>
      </c>
      <c r="M143" s="110">
        <f>IF(VALUE(TimeRemaining[#Headers])&lt;=$F39,IFERROR(VLOOKUP(TimeRemaining[[#This Row],[Time]],Upgrades[],MATCH("T"&amp;TimeRemaining[#Headers],Upgrades[#Headers],0),FALSE),0)*MAX(0,SUM($G39:N39)),0)</f>
        <v>0</v>
      </c>
      <c r="N143" s="110">
        <f>IF(VALUE(TimeRemaining[#Headers])&lt;=$F39,IFERROR(VLOOKUP(TimeRemaining[[#This Row],[Time]],Upgrades[],MATCH("T"&amp;TimeRemaining[#Headers],Upgrades[#Headers],0),FALSE),0)*MAX(0,SUM($G39:O39)),0)</f>
        <v>0</v>
      </c>
      <c r="O143" s="110">
        <f>IF(VALUE(TimeRemaining[#Headers])&lt;=$F39,IFERROR(VLOOKUP(TimeRemaining[[#This Row],[Time]],Upgrades[],MATCH("T"&amp;TimeRemaining[#Headers],Upgrades[#Headers],0),FALSE),0)*MAX(0,SUM($G39:P39)),0)</f>
        <v>0</v>
      </c>
      <c r="P143" s="110">
        <f>IF(VALUE(TimeRemaining[#Headers])&lt;=$F39,IFERROR(VLOOKUP(TimeRemaining[[#This Row],[Time]],Upgrades[],MATCH("T"&amp;TimeRemaining[#Headers],Upgrades[#Headers],0),FALSE),0)*MAX(0,SUM($G39:Q39)),0)</f>
        <v>0</v>
      </c>
      <c r="Q143" s="110">
        <f>IF(VALUE(TimeRemaining[#Headers])&lt;=$F39,IFERROR(VLOOKUP(TimeRemaining[[#This Row],[Time]],Upgrades[],MATCH("T"&amp;TimeRemaining[#Headers],Upgrades[#Headers],0),FALSE),0)*MAX(0,SUM($G39:R39)),0)</f>
        <v>0</v>
      </c>
      <c r="R143" s="110">
        <f>IF(TimeRemaining[[#This Row],[MatchStr]]="IGNORE",0,SUM(TimeRemaining[[#This Row],[1]:[12]]))</f>
        <v>6</v>
      </c>
    </row>
    <row r="144" spans="1:18">
      <c r="A144" s="47" t="s">
        <v>9</v>
      </c>
      <c r="B144" s="47" t="str">
        <f>VLOOKUP(TimeRemaining[[#This Row],[Time]],Upgrades[],2,FALSE)</f>
        <v>Building</v>
      </c>
      <c r="C144" s="47" t="str">
        <f>VLOOKUP(TimeRemaining[[#This Row],[Time]],Upgrades[],3,FALSE)</f>
        <v>Gold</v>
      </c>
      <c r="D144" s="75" t="str">
        <f>IF((IFERROR(MATCH(TimeRemaining[[#This Row],[Time]],$O$16:$S$16,0),0)+IFERROR(MATCH(TimeRemaining[[#This Row],[Time]],$O$17:$S$17,0),0))&gt;0,"IGNORE",TimeRemaining[Kind]&amp;"-"&amp;TimeRemaining[Resource])</f>
        <v>Building-Gold</v>
      </c>
      <c r="E144" s="101" t="str">
        <f>IFERROR(VLOOKUP(TimeRemaining[[#This Row],[Time]],Upgrades[],MATCH("T"&amp;MATCH(TRUE,INDEX(TimeRemaining[[#This Row],[1]:[12]]&lt;&gt;0,),0),Upgrades[#Headers],0),FALSE),"")</f>
        <v/>
      </c>
      <c r="F144" s="110">
        <f>IF(VALUE(TimeRemaining[#Headers])&lt;=$F40,IFERROR(VLOOKUP(TimeRemaining[[#This Row],[Time]],Upgrades[],MATCH("T"&amp;TimeRemaining[#Headers],Upgrades[#Headers],0),FALSE),0)*MAX(0,SUM($G40:G40)),0)</f>
        <v>0</v>
      </c>
      <c r="G144" s="110">
        <f>IF(VALUE(TimeRemaining[#Headers])&lt;=$F40,IFERROR(VLOOKUP(TimeRemaining[[#This Row],[Time]],Upgrades[],MATCH("T"&amp;TimeRemaining[#Headers],Upgrades[#Headers],0),FALSE),0)*MAX(0,SUM($G40:H40)),0)</f>
        <v>0</v>
      </c>
      <c r="H144" s="110">
        <f>IF(VALUE(TimeRemaining[#Headers])&lt;=$F40,IFERROR(VLOOKUP(TimeRemaining[[#This Row],[Time]],Upgrades[],MATCH("T"&amp;TimeRemaining[#Headers],Upgrades[#Headers],0),FALSE),0)*MAX(0,SUM($G40:I40)),0)</f>
        <v>0</v>
      </c>
      <c r="I144" s="110">
        <f>IF(VALUE(TimeRemaining[#Headers])&lt;=$F40,IFERROR(VLOOKUP(TimeRemaining[[#This Row],[Time]],Upgrades[],MATCH("T"&amp;TimeRemaining[#Headers],Upgrades[#Headers],0),FALSE),0)*MAX(0,SUM($G40:J40)),0)</f>
        <v>0</v>
      </c>
      <c r="J144" s="110">
        <f>IF(VALUE(TimeRemaining[#Headers])&lt;=$F40,IFERROR(VLOOKUP(TimeRemaining[[#This Row],[Time]],Upgrades[],MATCH("T"&amp;TimeRemaining[#Headers],Upgrades[#Headers],0),FALSE),0)*MAX(0,SUM($G40:K40)),0)</f>
        <v>0</v>
      </c>
      <c r="K144" s="110">
        <f>IF(VALUE(TimeRemaining[#Headers])&lt;=$F40,IFERROR(VLOOKUP(TimeRemaining[[#This Row],[Time]],Upgrades[],MATCH("T"&amp;TimeRemaining[#Headers],Upgrades[#Headers],0),FALSE),0)*MAX(0,SUM($G40:L40)),0)</f>
        <v>0</v>
      </c>
      <c r="L144" s="110">
        <f>IF(VALUE(TimeRemaining[#Headers])&lt;=$F40,IFERROR(VLOOKUP(TimeRemaining[[#This Row],[Time]],Upgrades[],MATCH("T"&amp;TimeRemaining[#Headers],Upgrades[#Headers],0),FALSE),0)*MAX(0,SUM($G40:M40)),0)</f>
        <v>0</v>
      </c>
      <c r="M144" s="110">
        <f>IF(VALUE(TimeRemaining[#Headers])&lt;=$F40,IFERROR(VLOOKUP(TimeRemaining[[#This Row],[Time]],Upgrades[],MATCH("T"&amp;TimeRemaining[#Headers],Upgrades[#Headers],0),FALSE),0)*MAX(0,SUM($G40:N40)),0)</f>
        <v>0</v>
      </c>
      <c r="N144" s="110">
        <f>IF(VALUE(TimeRemaining[#Headers])&lt;=$F40,IFERROR(VLOOKUP(TimeRemaining[[#This Row],[Time]],Upgrades[],MATCH("T"&amp;TimeRemaining[#Headers],Upgrades[#Headers],0),FALSE),0)*MAX(0,SUM($G40:O40)),0)</f>
        <v>0</v>
      </c>
      <c r="O144" s="110">
        <f>IF(VALUE(TimeRemaining[#Headers])&lt;=$F40,IFERROR(VLOOKUP(TimeRemaining[[#This Row],[Time]],Upgrades[],MATCH("T"&amp;TimeRemaining[#Headers],Upgrades[#Headers],0),FALSE),0)*MAX(0,SUM($G40:P40)),0)</f>
        <v>0</v>
      </c>
      <c r="P144" s="110">
        <f>IF(VALUE(TimeRemaining[#Headers])&lt;=$F40,IFERROR(VLOOKUP(TimeRemaining[[#This Row],[Time]],Upgrades[],MATCH("T"&amp;TimeRemaining[#Headers],Upgrades[#Headers],0),FALSE),0)*MAX(0,SUM($G40:Q40)),0)</f>
        <v>0</v>
      </c>
      <c r="Q144" s="110">
        <f>IF(VALUE(TimeRemaining[#Headers])&lt;=$F40,IFERROR(VLOOKUP(TimeRemaining[[#This Row],[Time]],Upgrades[],MATCH("T"&amp;TimeRemaining[#Headers],Upgrades[#Headers],0),FALSE),0)*MAX(0,SUM($G40:R40)),0)</f>
        <v>0</v>
      </c>
      <c r="R144" s="110">
        <f>IF(TimeRemaining[[#This Row],[MatchStr]]="IGNORE",0,SUM(TimeRemaining[[#This Row],[1]:[12]]))</f>
        <v>0</v>
      </c>
    </row>
    <row r="145" spans="1:18">
      <c r="A145" s="47" t="s">
        <v>10</v>
      </c>
      <c r="B145" s="47" t="str">
        <f>VLOOKUP(TimeRemaining[[#This Row],[Time]],Upgrades[],2,FALSE)</f>
        <v>Building</v>
      </c>
      <c r="C145" s="47" t="str">
        <f>VLOOKUP(TimeRemaining[[#This Row],[Time]],Upgrades[],3,FALSE)</f>
        <v>Gold</v>
      </c>
      <c r="D145" s="75" t="str">
        <f>IF((IFERROR(MATCH(TimeRemaining[[#This Row],[Time]],$O$16:$S$16,0),0)+IFERROR(MATCH(TimeRemaining[[#This Row],[Time]],$O$17:$S$17,0),0))&gt;0,"IGNORE",TimeRemaining[Kind]&amp;"-"&amp;TimeRemaining[Resource])</f>
        <v>Building-Gold</v>
      </c>
      <c r="E145" s="101" t="str">
        <f>IFERROR(VLOOKUP(TimeRemaining[[#This Row],[Time]],Upgrades[],MATCH("T"&amp;MATCH(TRUE,INDEX(TimeRemaining[[#This Row],[1]:[12]]&lt;&gt;0,),0),Upgrades[#Headers],0),FALSE),"")</f>
        <v/>
      </c>
      <c r="F145" s="110">
        <f>IF(VALUE(TimeRemaining[#Headers])&lt;=$F41,IFERROR(VLOOKUP(TimeRemaining[[#This Row],[Time]],Upgrades[],MATCH("T"&amp;TimeRemaining[#Headers],Upgrades[#Headers],0),FALSE),0)*MAX(0,SUM($G41:G41)),0)</f>
        <v>0</v>
      </c>
      <c r="G145" s="110">
        <f>IF(VALUE(TimeRemaining[#Headers])&lt;=$F41,IFERROR(VLOOKUP(TimeRemaining[[#This Row],[Time]],Upgrades[],MATCH("T"&amp;TimeRemaining[#Headers],Upgrades[#Headers],0),FALSE),0)*MAX(0,SUM($G41:H41)),0)</f>
        <v>0</v>
      </c>
      <c r="H145" s="110">
        <f>IF(VALUE(TimeRemaining[#Headers])&lt;=$F41,IFERROR(VLOOKUP(TimeRemaining[[#This Row],[Time]],Upgrades[],MATCH("T"&amp;TimeRemaining[#Headers],Upgrades[#Headers],0),FALSE),0)*MAX(0,SUM($G41:I41)),0)</f>
        <v>0</v>
      </c>
      <c r="I145" s="110">
        <f>IF(VALUE(TimeRemaining[#Headers])&lt;=$F41,IFERROR(VLOOKUP(TimeRemaining[[#This Row],[Time]],Upgrades[],MATCH("T"&amp;TimeRemaining[#Headers],Upgrades[#Headers],0),FALSE),0)*MAX(0,SUM($G41:J41)),0)</f>
        <v>0</v>
      </c>
      <c r="J145" s="110">
        <f>IF(VALUE(TimeRemaining[#Headers])&lt;=$F41,IFERROR(VLOOKUP(TimeRemaining[[#This Row],[Time]],Upgrades[],MATCH("T"&amp;TimeRemaining[#Headers],Upgrades[#Headers],0),FALSE),0)*MAX(0,SUM($G41:K41)),0)</f>
        <v>0</v>
      </c>
      <c r="K145" s="110">
        <f>IF(VALUE(TimeRemaining[#Headers])&lt;=$F41,IFERROR(VLOOKUP(TimeRemaining[[#This Row],[Time]],Upgrades[],MATCH("T"&amp;TimeRemaining[#Headers],Upgrades[#Headers],0),FALSE),0)*MAX(0,SUM($G41:L41)),0)</f>
        <v>0</v>
      </c>
      <c r="L145" s="110">
        <f>IF(VALUE(TimeRemaining[#Headers])&lt;=$F41,IFERROR(VLOOKUP(TimeRemaining[[#This Row],[Time]],Upgrades[],MATCH("T"&amp;TimeRemaining[#Headers],Upgrades[#Headers],0),FALSE),0)*MAX(0,SUM($G41:M41)),0)</f>
        <v>0</v>
      </c>
      <c r="M145" s="110">
        <f>IF(VALUE(TimeRemaining[#Headers])&lt;=$F41,IFERROR(VLOOKUP(TimeRemaining[[#This Row],[Time]],Upgrades[],MATCH("T"&amp;TimeRemaining[#Headers],Upgrades[#Headers],0),FALSE),0)*MAX(0,SUM($G41:N41)),0)</f>
        <v>0</v>
      </c>
      <c r="N145" s="110">
        <f>IF(VALUE(TimeRemaining[#Headers])&lt;=$F41,IFERROR(VLOOKUP(TimeRemaining[[#This Row],[Time]],Upgrades[],MATCH("T"&amp;TimeRemaining[#Headers],Upgrades[#Headers],0),FALSE),0)*MAX(0,SUM($G41:O41)),0)</f>
        <v>0</v>
      </c>
      <c r="O145" s="110">
        <f>IF(VALUE(TimeRemaining[#Headers])&lt;=$F41,IFERROR(VLOOKUP(TimeRemaining[[#This Row],[Time]],Upgrades[],MATCH("T"&amp;TimeRemaining[#Headers],Upgrades[#Headers],0),FALSE),0)*MAX(0,SUM($G41:P41)),0)</f>
        <v>0</v>
      </c>
      <c r="P145" s="110">
        <f>IF(VALUE(TimeRemaining[#Headers])&lt;=$F41,IFERROR(VLOOKUP(TimeRemaining[[#This Row],[Time]],Upgrades[],MATCH("T"&amp;TimeRemaining[#Headers],Upgrades[#Headers],0),FALSE),0)*MAX(0,SUM($G41:Q41)),0)</f>
        <v>0</v>
      </c>
      <c r="Q145" s="110">
        <f>IF(VALUE(TimeRemaining[#Headers])&lt;=$F41,IFERROR(VLOOKUP(TimeRemaining[[#This Row],[Time]],Upgrades[],MATCH("T"&amp;TimeRemaining[#Headers],Upgrades[#Headers],0),FALSE),0)*MAX(0,SUM($G41:R41)),0)</f>
        <v>0</v>
      </c>
      <c r="R145" s="110">
        <f>IF(TimeRemaining[[#This Row],[MatchStr]]="IGNORE",0,SUM(TimeRemaining[[#This Row],[1]:[12]]))</f>
        <v>0</v>
      </c>
    </row>
    <row r="146" spans="1:18">
      <c r="A146" s="47" t="s">
        <v>28</v>
      </c>
      <c r="B146" s="47" t="str">
        <f>VLOOKUP(TimeRemaining[[#This Row],[Time]],Upgrades[],2,FALSE)</f>
        <v>Building</v>
      </c>
      <c r="C146" s="47" t="str">
        <f>VLOOKUP(TimeRemaining[[#This Row],[Time]],Upgrades[],3,FALSE)</f>
        <v>Gold</v>
      </c>
      <c r="D146" s="75" t="str">
        <f>IF((IFERROR(MATCH(TimeRemaining[[#This Row],[Time]],$O$16:$S$16,0),0)+IFERROR(MATCH(TimeRemaining[[#This Row],[Time]],$O$17:$S$17,0),0))&gt;0,"IGNORE",TimeRemaining[Kind]&amp;"-"&amp;TimeRemaining[Resource])</f>
        <v>Building-Gold</v>
      </c>
      <c r="E146" s="101" t="str">
        <f>IFERROR(VLOOKUP(TimeRemaining[[#This Row],[Time]],Upgrades[],MATCH("T"&amp;MATCH(TRUE,INDEX(TimeRemaining[[#This Row],[1]:[12]]&lt;&gt;0,),0),Upgrades[#Headers],0),FALSE),"")</f>
        <v/>
      </c>
      <c r="F146" s="110">
        <f>IF(VALUE(TimeRemaining[#Headers])&lt;=$F42,IFERROR(VLOOKUP(TimeRemaining[[#This Row],[Time]],Upgrades[],MATCH("T"&amp;TimeRemaining[#Headers],Upgrades[#Headers],0),FALSE),0)*MAX(0,SUM($G42:G42)),0)</f>
        <v>0</v>
      </c>
      <c r="G146" s="110">
        <f>IF(VALUE(TimeRemaining[#Headers])&lt;=$F42,IFERROR(VLOOKUP(TimeRemaining[[#This Row],[Time]],Upgrades[],MATCH("T"&amp;TimeRemaining[#Headers],Upgrades[#Headers],0),FALSE),0)*MAX(0,SUM($G42:H42)),0)</f>
        <v>0</v>
      </c>
      <c r="H146" s="110">
        <f>IF(VALUE(TimeRemaining[#Headers])&lt;=$F42,IFERROR(VLOOKUP(TimeRemaining[[#This Row],[Time]],Upgrades[],MATCH("T"&amp;TimeRemaining[#Headers],Upgrades[#Headers],0),FALSE),0)*MAX(0,SUM($G42:I42)),0)</f>
        <v>0</v>
      </c>
      <c r="I146" s="110">
        <f>IF(VALUE(TimeRemaining[#Headers])&lt;=$F42,IFERROR(VLOOKUP(TimeRemaining[[#This Row],[Time]],Upgrades[],MATCH("T"&amp;TimeRemaining[#Headers],Upgrades[#Headers],0),FALSE),0)*MAX(0,SUM($G42:J42)),0)</f>
        <v>0</v>
      </c>
      <c r="J146" s="110">
        <f>IF(VALUE(TimeRemaining[#Headers])&lt;=$F42,IFERROR(VLOOKUP(TimeRemaining[[#This Row],[Time]],Upgrades[],MATCH("T"&amp;TimeRemaining[#Headers],Upgrades[#Headers],0),FALSE),0)*MAX(0,SUM($G42:K42)),0)</f>
        <v>0</v>
      </c>
      <c r="K146" s="110">
        <f>IF(VALUE(TimeRemaining[#Headers])&lt;=$F42,IFERROR(VLOOKUP(TimeRemaining[[#This Row],[Time]],Upgrades[],MATCH("T"&amp;TimeRemaining[#Headers],Upgrades[#Headers],0),FALSE),0)*MAX(0,SUM($G42:L42)),0)</f>
        <v>0</v>
      </c>
      <c r="L146" s="110">
        <f>IF(VALUE(TimeRemaining[#Headers])&lt;=$F42,IFERROR(VLOOKUP(TimeRemaining[[#This Row],[Time]],Upgrades[],MATCH("T"&amp;TimeRemaining[#Headers],Upgrades[#Headers],0),FALSE),0)*MAX(0,SUM($G42:M42)),0)</f>
        <v>0</v>
      </c>
      <c r="M146" s="110">
        <f>IF(VALUE(TimeRemaining[#Headers])&lt;=$F42,IFERROR(VLOOKUP(TimeRemaining[[#This Row],[Time]],Upgrades[],MATCH("T"&amp;TimeRemaining[#Headers],Upgrades[#Headers],0),FALSE),0)*MAX(0,SUM($G42:N42)),0)</f>
        <v>0</v>
      </c>
      <c r="N146" s="110">
        <f>IF(VALUE(TimeRemaining[#Headers])&lt;=$F42,IFERROR(VLOOKUP(TimeRemaining[[#This Row],[Time]],Upgrades[],MATCH("T"&amp;TimeRemaining[#Headers],Upgrades[#Headers],0),FALSE),0)*MAX(0,SUM($G42:O42)),0)</f>
        <v>0</v>
      </c>
      <c r="O146" s="110">
        <f>IF(VALUE(TimeRemaining[#Headers])&lt;=$F42,IFERROR(VLOOKUP(TimeRemaining[[#This Row],[Time]],Upgrades[],MATCH("T"&amp;TimeRemaining[#Headers],Upgrades[#Headers],0),FALSE),0)*MAX(0,SUM($G42:P42)),0)</f>
        <v>0</v>
      </c>
      <c r="P146" s="110">
        <f>IF(VALUE(TimeRemaining[#Headers])&lt;=$F42,IFERROR(VLOOKUP(TimeRemaining[[#This Row],[Time]],Upgrades[],MATCH("T"&amp;TimeRemaining[#Headers],Upgrades[#Headers],0),FALSE),0)*MAX(0,SUM($G42:Q42)),0)</f>
        <v>0</v>
      </c>
      <c r="Q146" s="110">
        <f>IF(VALUE(TimeRemaining[#Headers])&lt;=$F42,IFERROR(VLOOKUP(TimeRemaining[[#This Row],[Time]],Upgrades[],MATCH("T"&amp;TimeRemaining[#Headers],Upgrades[#Headers],0),FALSE),0)*MAX(0,SUM($G42:R42)),0)</f>
        <v>0</v>
      </c>
      <c r="R146" s="110">
        <f>IF(TimeRemaining[[#This Row],[MatchStr]]="IGNORE",0,SUM(TimeRemaining[[#This Row],[1]:[12]]))</f>
        <v>0</v>
      </c>
    </row>
    <row r="147" spans="1:18">
      <c r="A147" s="47" t="s">
        <v>11</v>
      </c>
      <c r="B147" s="47" t="str">
        <f>VLOOKUP(TimeRemaining[[#This Row],[Time]],Upgrades[],2,FALSE)</f>
        <v>Building</v>
      </c>
      <c r="C147" s="47" t="str">
        <f>VLOOKUP(TimeRemaining[[#This Row],[Time]],Upgrades[],3,FALSE)</f>
        <v>Gold</v>
      </c>
      <c r="D147" s="75" t="str">
        <f>IF((IFERROR(MATCH(TimeRemaining[[#This Row],[Time]],$O$16:$S$16,0),0)+IFERROR(MATCH(TimeRemaining[[#This Row],[Time]],$O$17:$S$17,0),0))&gt;0,"IGNORE",TimeRemaining[Kind]&amp;"-"&amp;TimeRemaining[Resource])</f>
        <v>Building-Gold</v>
      </c>
      <c r="E147" s="101">
        <f>IFERROR(VLOOKUP(TimeRemaining[[#This Row],[Time]],Upgrades[],MATCH("T"&amp;MATCH(TRUE,INDEX(TimeRemaining[[#This Row],[1]:[12]]&lt;&gt;0,),0),Upgrades[#Headers],0),FALSE),"")</f>
        <v>4</v>
      </c>
      <c r="F147" s="110">
        <f>IF(VALUE(TimeRemaining[#Headers])&lt;=$F43,IFERROR(VLOOKUP(TimeRemaining[[#This Row],[Time]],Upgrades[],MATCH("T"&amp;TimeRemaining[#Headers],Upgrades[#Headers],0),FALSE),0)*MAX(0,SUM($G43:G43)),0)</f>
        <v>0</v>
      </c>
      <c r="G147" s="110">
        <f>IF(VALUE(TimeRemaining[#Headers])&lt;=$F43,IFERROR(VLOOKUP(TimeRemaining[[#This Row],[Time]],Upgrades[],MATCH("T"&amp;TimeRemaining[#Headers],Upgrades[#Headers],0),FALSE),0)*MAX(0,SUM($G43:H43)),0)</f>
        <v>8</v>
      </c>
      <c r="H147" s="110">
        <f>IF(VALUE(TimeRemaining[#Headers])&lt;=$F43,IFERROR(VLOOKUP(TimeRemaining[[#This Row],[Time]],Upgrades[],MATCH("T"&amp;TimeRemaining[#Headers],Upgrades[#Headers],0),FALSE),0)*MAX(0,SUM($G43:I43)),0)</f>
        <v>12</v>
      </c>
      <c r="I147" s="110">
        <f>IF(VALUE(TimeRemaining[#Headers])&lt;=$F43,IFERROR(VLOOKUP(TimeRemaining[[#This Row],[Time]],Upgrades[],MATCH("T"&amp;TimeRemaining[#Headers],Upgrades[#Headers],0),FALSE),0)*MAX(0,SUM($G43:J43)),0)</f>
        <v>0</v>
      </c>
      <c r="J147" s="110">
        <f>IF(VALUE(TimeRemaining[#Headers])&lt;=$F43,IFERROR(VLOOKUP(TimeRemaining[[#This Row],[Time]],Upgrades[],MATCH("T"&amp;TimeRemaining[#Headers],Upgrades[#Headers],0),FALSE),0)*MAX(0,SUM($G43:K43)),0)</f>
        <v>0</v>
      </c>
      <c r="K147" s="110">
        <f>IF(VALUE(TimeRemaining[#Headers])&lt;=$F43,IFERROR(VLOOKUP(TimeRemaining[[#This Row],[Time]],Upgrades[],MATCH("T"&amp;TimeRemaining[#Headers],Upgrades[#Headers],0),FALSE),0)*MAX(0,SUM($G43:L43)),0)</f>
        <v>0</v>
      </c>
      <c r="L147" s="110">
        <f>IF(VALUE(TimeRemaining[#Headers])&lt;=$F43,IFERROR(VLOOKUP(TimeRemaining[[#This Row],[Time]],Upgrades[],MATCH("T"&amp;TimeRemaining[#Headers],Upgrades[#Headers],0),FALSE),0)*MAX(0,SUM($G43:M43)),0)</f>
        <v>0</v>
      </c>
      <c r="M147" s="110">
        <f>IF(VALUE(TimeRemaining[#Headers])&lt;=$F43,IFERROR(VLOOKUP(TimeRemaining[[#This Row],[Time]],Upgrades[],MATCH("T"&amp;TimeRemaining[#Headers],Upgrades[#Headers],0),FALSE),0)*MAX(0,SUM($G43:N43)),0)</f>
        <v>0</v>
      </c>
      <c r="N147" s="110">
        <f>IF(VALUE(TimeRemaining[#Headers])&lt;=$F43,IFERROR(VLOOKUP(TimeRemaining[[#This Row],[Time]],Upgrades[],MATCH("T"&amp;TimeRemaining[#Headers],Upgrades[#Headers],0),FALSE),0)*MAX(0,SUM($G43:O43)),0)</f>
        <v>0</v>
      </c>
      <c r="O147" s="110">
        <f>IF(VALUE(TimeRemaining[#Headers])&lt;=$F43,IFERROR(VLOOKUP(TimeRemaining[[#This Row],[Time]],Upgrades[],MATCH("T"&amp;TimeRemaining[#Headers],Upgrades[#Headers],0),FALSE),0)*MAX(0,SUM($G43:P43)),0)</f>
        <v>0</v>
      </c>
      <c r="P147" s="110">
        <f>IF(VALUE(TimeRemaining[#Headers])&lt;=$F43,IFERROR(VLOOKUP(TimeRemaining[[#This Row],[Time]],Upgrades[],MATCH("T"&amp;TimeRemaining[#Headers],Upgrades[#Headers],0),FALSE),0)*MAX(0,SUM($G43:Q43)),0)</f>
        <v>0</v>
      </c>
      <c r="Q147" s="110">
        <f>IF(VALUE(TimeRemaining[#Headers])&lt;=$F43,IFERROR(VLOOKUP(TimeRemaining[[#This Row],[Time]],Upgrades[],MATCH("T"&amp;TimeRemaining[#Headers],Upgrades[#Headers],0),FALSE),0)*MAX(0,SUM($G43:R43)),0)</f>
        <v>0</v>
      </c>
      <c r="R147" s="110">
        <f>IF(TimeRemaining[[#This Row],[MatchStr]]="IGNORE",0,SUM(TimeRemaining[[#This Row],[1]:[12]]))</f>
        <v>20</v>
      </c>
    </row>
    <row r="148" spans="1:18">
      <c r="A148" s="47" t="s">
        <v>12</v>
      </c>
      <c r="B148" s="47" t="str">
        <f>VLOOKUP(TimeRemaining[[#This Row],[Time]],Upgrades[],2,FALSE)</f>
        <v>Building</v>
      </c>
      <c r="C148" s="47" t="str">
        <f>VLOOKUP(TimeRemaining[[#This Row],[Time]],Upgrades[],3,FALSE)</f>
        <v>Gold</v>
      </c>
      <c r="D148" s="75" t="str">
        <f>IF((IFERROR(MATCH(TimeRemaining[[#This Row],[Time]],$O$16:$S$16,0),0)+IFERROR(MATCH(TimeRemaining[[#This Row],[Time]],$O$17:$S$17,0),0))&gt;0,"IGNORE",TimeRemaining[Kind]&amp;"-"&amp;TimeRemaining[Resource])</f>
        <v>Building-Gold</v>
      </c>
      <c r="E148" s="101" t="str">
        <f>IFERROR(VLOOKUP(TimeRemaining[[#This Row],[Time]],Upgrades[],MATCH("T"&amp;MATCH(TRUE,INDEX(TimeRemaining[[#This Row],[1]:[12]]&lt;&gt;0,),0),Upgrades[#Headers],0),FALSE),"")</f>
        <v/>
      </c>
      <c r="F148" s="110">
        <f>IF(VALUE(TimeRemaining[#Headers])&lt;=$F44,IFERROR(VLOOKUP(TimeRemaining[[#This Row],[Time]],Upgrades[],MATCH("T"&amp;TimeRemaining[#Headers],Upgrades[#Headers],0),FALSE),0)*MAX(0,SUM($G44:G44)),0)</f>
        <v>0</v>
      </c>
      <c r="G148" s="110">
        <f>IF(VALUE(TimeRemaining[#Headers])&lt;=$F44,IFERROR(VLOOKUP(TimeRemaining[[#This Row],[Time]],Upgrades[],MATCH("T"&amp;TimeRemaining[#Headers],Upgrades[#Headers],0),FALSE),0)*MAX(0,SUM($G44:H44)),0)</f>
        <v>0</v>
      </c>
      <c r="H148" s="110">
        <f>IF(VALUE(TimeRemaining[#Headers])&lt;=$F44,IFERROR(VLOOKUP(TimeRemaining[[#This Row],[Time]],Upgrades[],MATCH("T"&amp;TimeRemaining[#Headers],Upgrades[#Headers],0),FALSE),0)*MAX(0,SUM($G44:I44)),0)</f>
        <v>0</v>
      </c>
      <c r="I148" s="110">
        <f>IF(VALUE(TimeRemaining[#Headers])&lt;=$F44,IFERROR(VLOOKUP(TimeRemaining[[#This Row],[Time]],Upgrades[],MATCH("T"&amp;TimeRemaining[#Headers],Upgrades[#Headers],0),FALSE),0)*MAX(0,SUM($G44:J44)),0)</f>
        <v>0</v>
      </c>
      <c r="J148" s="110">
        <f>IF(VALUE(TimeRemaining[#Headers])&lt;=$F44,IFERROR(VLOOKUP(TimeRemaining[[#This Row],[Time]],Upgrades[],MATCH("T"&amp;TimeRemaining[#Headers],Upgrades[#Headers],0),FALSE),0)*MAX(0,SUM($G44:K44)),0)</f>
        <v>0</v>
      </c>
      <c r="K148" s="110">
        <f>IF(VALUE(TimeRemaining[#Headers])&lt;=$F44,IFERROR(VLOOKUP(TimeRemaining[[#This Row],[Time]],Upgrades[],MATCH("T"&amp;TimeRemaining[#Headers],Upgrades[#Headers],0),FALSE),0)*MAX(0,SUM($G44:L44)),0)</f>
        <v>0</v>
      </c>
      <c r="L148" s="110">
        <f>IF(VALUE(TimeRemaining[#Headers])&lt;=$F44,IFERROR(VLOOKUP(TimeRemaining[[#This Row],[Time]],Upgrades[],MATCH("T"&amp;TimeRemaining[#Headers],Upgrades[#Headers],0),FALSE),0)*MAX(0,SUM($G44:M44)),0)</f>
        <v>0</v>
      </c>
      <c r="M148" s="110">
        <f>IF(VALUE(TimeRemaining[#Headers])&lt;=$F44,IFERROR(VLOOKUP(TimeRemaining[[#This Row],[Time]],Upgrades[],MATCH("T"&amp;TimeRemaining[#Headers],Upgrades[#Headers],0),FALSE),0)*MAX(0,SUM($G44:N44)),0)</f>
        <v>0</v>
      </c>
      <c r="N148" s="110">
        <f>IF(VALUE(TimeRemaining[#Headers])&lt;=$F44,IFERROR(VLOOKUP(TimeRemaining[[#This Row],[Time]],Upgrades[],MATCH("T"&amp;TimeRemaining[#Headers],Upgrades[#Headers],0),FALSE),0)*MAX(0,SUM($G44:O44)),0)</f>
        <v>0</v>
      </c>
      <c r="O148" s="110">
        <f>IF(VALUE(TimeRemaining[#Headers])&lt;=$F44,IFERROR(VLOOKUP(TimeRemaining[[#This Row],[Time]],Upgrades[],MATCH("T"&amp;TimeRemaining[#Headers],Upgrades[#Headers],0),FALSE),0)*MAX(0,SUM($G44:P44)),0)</f>
        <v>0</v>
      </c>
      <c r="P148" s="110">
        <f>IF(VALUE(TimeRemaining[#Headers])&lt;=$F44,IFERROR(VLOOKUP(TimeRemaining[[#This Row],[Time]],Upgrades[],MATCH("T"&amp;TimeRemaining[#Headers],Upgrades[#Headers],0),FALSE),0)*MAX(0,SUM($G44:Q44)),0)</f>
        <v>0</v>
      </c>
      <c r="Q148" s="110">
        <f>IF(VALUE(TimeRemaining[#Headers])&lt;=$F44,IFERROR(VLOOKUP(TimeRemaining[[#This Row],[Time]],Upgrades[],MATCH("T"&amp;TimeRemaining[#Headers],Upgrades[#Headers],0),FALSE),0)*MAX(0,SUM($G44:R44)),0)</f>
        <v>0</v>
      </c>
      <c r="R148" s="110">
        <f>IF(TimeRemaining[[#This Row],[MatchStr]]="IGNORE",0,SUM(TimeRemaining[[#This Row],[1]:[12]]))</f>
        <v>0</v>
      </c>
    </row>
    <row r="149" spans="1:18">
      <c r="A149" s="47" t="s">
        <v>29</v>
      </c>
      <c r="B149" s="47" t="str">
        <f>VLOOKUP(TimeRemaining[[#This Row],[Time]],Upgrades[],2,FALSE)</f>
        <v>Building</v>
      </c>
      <c r="C149" s="47" t="str">
        <f>VLOOKUP(TimeRemaining[[#This Row],[Time]],Upgrades[],3,FALSE)</f>
        <v>Gold</v>
      </c>
      <c r="D149" s="75" t="str">
        <f>IF((IFERROR(MATCH(TimeRemaining[[#This Row],[Time]],$O$16:$S$16,0),0)+IFERROR(MATCH(TimeRemaining[[#This Row],[Time]],$O$17:$S$17,0),0))&gt;0,"IGNORE",TimeRemaining[Kind]&amp;"-"&amp;TimeRemaining[Resource])</f>
        <v>Building-Gold</v>
      </c>
      <c r="E149" s="101" t="str">
        <f>IFERROR(VLOOKUP(TimeRemaining[[#This Row],[Time]],Upgrades[],MATCH("T"&amp;MATCH(TRUE,INDEX(TimeRemaining[[#This Row],[1]:[12]]&lt;&gt;0,),0),Upgrades[#Headers],0),FALSE),"")</f>
        <v/>
      </c>
      <c r="F149" s="110">
        <f>IF(VALUE(TimeRemaining[#Headers])&lt;=$F45,IFERROR(VLOOKUP(TimeRemaining[[#This Row],[Time]],Upgrades[],MATCH("T"&amp;TimeRemaining[#Headers],Upgrades[#Headers],0),FALSE),0)*MAX(0,SUM($G45:G45)),0)</f>
        <v>0</v>
      </c>
      <c r="G149" s="110">
        <f>IF(VALUE(TimeRemaining[#Headers])&lt;=$F45,IFERROR(VLOOKUP(TimeRemaining[[#This Row],[Time]],Upgrades[],MATCH("T"&amp;TimeRemaining[#Headers],Upgrades[#Headers],0),FALSE),0)*MAX(0,SUM($G45:H45)),0)</f>
        <v>0</v>
      </c>
      <c r="H149" s="110">
        <f>IF(VALUE(TimeRemaining[#Headers])&lt;=$F45,IFERROR(VLOOKUP(TimeRemaining[[#This Row],[Time]],Upgrades[],MATCH("T"&amp;TimeRemaining[#Headers],Upgrades[#Headers],0),FALSE),0)*MAX(0,SUM($G45:I45)),0)</f>
        <v>0</v>
      </c>
      <c r="I149" s="110">
        <f>IF(VALUE(TimeRemaining[#Headers])&lt;=$F45,IFERROR(VLOOKUP(TimeRemaining[[#This Row],[Time]],Upgrades[],MATCH("T"&amp;TimeRemaining[#Headers],Upgrades[#Headers],0),FALSE),0)*MAX(0,SUM($G45:J45)),0)</f>
        <v>0</v>
      </c>
      <c r="J149" s="110">
        <f>IF(VALUE(TimeRemaining[#Headers])&lt;=$F45,IFERROR(VLOOKUP(TimeRemaining[[#This Row],[Time]],Upgrades[],MATCH("T"&amp;TimeRemaining[#Headers],Upgrades[#Headers],0),FALSE),0)*MAX(0,SUM($G45:K45)),0)</f>
        <v>0</v>
      </c>
      <c r="K149" s="110">
        <f>IF(VALUE(TimeRemaining[#Headers])&lt;=$F45,IFERROR(VLOOKUP(TimeRemaining[[#This Row],[Time]],Upgrades[],MATCH("T"&amp;TimeRemaining[#Headers],Upgrades[#Headers],0),FALSE),0)*MAX(0,SUM($G45:L45)),0)</f>
        <v>0</v>
      </c>
      <c r="L149" s="110">
        <f>IF(VALUE(TimeRemaining[#Headers])&lt;=$F45,IFERROR(VLOOKUP(TimeRemaining[[#This Row],[Time]],Upgrades[],MATCH("T"&amp;TimeRemaining[#Headers],Upgrades[#Headers],0),FALSE),0)*MAX(0,SUM($G45:M45)),0)</f>
        <v>0</v>
      </c>
      <c r="M149" s="110">
        <f>IF(VALUE(TimeRemaining[#Headers])&lt;=$F45,IFERROR(VLOOKUP(TimeRemaining[[#This Row],[Time]],Upgrades[],MATCH("T"&amp;TimeRemaining[#Headers],Upgrades[#Headers],0),FALSE),0)*MAX(0,SUM($G45:N45)),0)</f>
        <v>0</v>
      </c>
      <c r="N149" s="110">
        <f>IF(VALUE(TimeRemaining[#Headers])&lt;=$F45,IFERROR(VLOOKUP(TimeRemaining[[#This Row],[Time]],Upgrades[],MATCH("T"&amp;TimeRemaining[#Headers],Upgrades[#Headers],0),FALSE),0)*MAX(0,SUM($G45:O45)),0)</f>
        <v>0</v>
      </c>
      <c r="O149" s="110">
        <f>IF(VALUE(TimeRemaining[#Headers])&lt;=$F45,IFERROR(VLOOKUP(TimeRemaining[[#This Row],[Time]],Upgrades[],MATCH("T"&amp;TimeRemaining[#Headers],Upgrades[#Headers],0),FALSE),0)*MAX(0,SUM($G45:P45)),0)</f>
        <v>0</v>
      </c>
      <c r="P149" s="110">
        <f>IF(VALUE(TimeRemaining[#Headers])&lt;=$F45,IFERROR(VLOOKUP(TimeRemaining[[#This Row],[Time]],Upgrades[],MATCH("T"&amp;TimeRemaining[#Headers],Upgrades[#Headers],0),FALSE),0)*MAX(0,SUM($G45:Q45)),0)</f>
        <v>0</v>
      </c>
      <c r="Q149" s="110">
        <f>IF(VALUE(TimeRemaining[#Headers])&lt;=$F45,IFERROR(VLOOKUP(TimeRemaining[[#This Row],[Time]],Upgrades[],MATCH("T"&amp;TimeRemaining[#Headers],Upgrades[#Headers],0),FALSE),0)*MAX(0,SUM($G45:R45)),0)</f>
        <v>0</v>
      </c>
      <c r="R149" s="110">
        <f>IF(TimeRemaining[[#This Row],[MatchStr]]="IGNORE",0,SUM(TimeRemaining[[#This Row],[1]:[12]]))</f>
        <v>0</v>
      </c>
    </row>
    <row r="150" spans="1:18">
      <c r="A150" s="47" t="s">
        <v>107</v>
      </c>
      <c r="B150" s="103" t="str">
        <f>VLOOKUP(TimeRemaining[[#This Row],[Time]],Upgrades[],2,FALSE)</f>
        <v>Building</v>
      </c>
      <c r="C150" s="103" t="str">
        <f>VLOOKUP(TimeRemaining[[#This Row],[Time]],Upgrades[],3,FALSE)</f>
        <v>Dark Elixir</v>
      </c>
      <c r="D150" s="104" t="str">
        <f>IF((IFERROR(MATCH(TimeRemaining[[#This Row],[Time]],$O$16:$S$16,0),0)+IFERROR(MATCH(TimeRemaining[[#This Row],[Time]],$O$17:$S$17,0),0))&gt;0,"IGNORE",TimeRemaining[Kind]&amp;"-"&amp;TimeRemaining[Resource])</f>
        <v>Building-Dark Elixir</v>
      </c>
      <c r="E150" s="101" t="str">
        <f>IFERROR(VLOOKUP(TimeRemaining[[#This Row],[Time]],Upgrades[],MATCH("T"&amp;MATCH(TRUE,INDEX(TimeRemaining[[#This Row],[1]:[12]]&lt;&gt;0,),0),Upgrades[#Headers],0),FALSE),"")</f>
        <v/>
      </c>
      <c r="F150" s="110">
        <f>IF(VALUE(TimeRemaining[#Headers])&lt;=$F46,IFERROR(VLOOKUP(TimeRemaining[[#This Row],[Time]],Upgrades[],MATCH("T"&amp;TimeRemaining[#Headers],Upgrades[#Headers],0),FALSE),0)*MAX(0,SUM($G46:G46)),0)</f>
        <v>0</v>
      </c>
      <c r="G150" s="110">
        <f>IF(VALUE(TimeRemaining[#Headers])&lt;=$F46,IFERROR(VLOOKUP(TimeRemaining[[#This Row],[Time]],Upgrades[],MATCH("T"&amp;TimeRemaining[#Headers],Upgrades[#Headers],0),FALSE),0)*MAX(0,SUM($G46:H46)),0)</f>
        <v>0</v>
      </c>
      <c r="H150" s="110">
        <f>IF(VALUE(TimeRemaining[#Headers])&lt;=$F46,IFERROR(VLOOKUP(TimeRemaining[[#This Row],[Time]],Upgrades[],MATCH("T"&amp;TimeRemaining[#Headers],Upgrades[#Headers],0),FALSE),0)*MAX(0,SUM($G46:I46)),0)</f>
        <v>0</v>
      </c>
      <c r="I150" s="110">
        <f>IF(VALUE(TimeRemaining[#Headers])&lt;=$F46,IFERROR(VLOOKUP(TimeRemaining[[#This Row],[Time]],Upgrades[],MATCH("T"&amp;TimeRemaining[#Headers],Upgrades[#Headers],0),FALSE),0)*MAX(0,SUM($G46:J46)),0)</f>
        <v>0</v>
      </c>
      <c r="J150" s="110">
        <f>IF(VALUE(TimeRemaining[#Headers])&lt;=$F46,IFERROR(VLOOKUP(TimeRemaining[[#This Row],[Time]],Upgrades[],MATCH("T"&amp;TimeRemaining[#Headers],Upgrades[#Headers],0),FALSE),0)*MAX(0,SUM($G46:K46)),0)</f>
        <v>0</v>
      </c>
      <c r="K150" s="110">
        <f>IF(VALUE(TimeRemaining[#Headers])&lt;=$F46,IFERROR(VLOOKUP(TimeRemaining[[#This Row],[Time]],Upgrades[],MATCH("T"&amp;TimeRemaining[#Headers],Upgrades[#Headers],0),FALSE),0)*MAX(0,SUM($G46:L46)),0)</f>
        <v>0</v>
      </c>
      <c r="L150" s="110">
        <f>IF(VALUE(TimeRemaining[#Headers])&lt;=$F46,IFERROR(VLOOKUP(TimeRemaining[[#This Row],[Time]],Upgrades[],MATCH("T"&amp;TimeRemaining[#Headers],Upgrades[#Headers],0),FALSE),0)*MAX(0,SUM($G46:M46)),0)</f>
        <v>0</v>
      </c>
      <c r="M150" s="110">
        <f>IF(VALUE(TimeRemaining[#Headers])&lt;=$F46,IFERROR(VLOOKUP(TimeRemaining[[#This Row],[Time]],Upgrades[],MATCH("T"&amp;TimeRemaining[#Headers],Upgrades[#Headers],0),FALSE),0)*MAX(0,SUM($G46:N46)),0)</f>
        <v>0</v>
      </c>
      <c r="N150" s="110">
        <f>IF(VALUE(TimeRemaining[#Headers])&lt;=$F46,IFERROR(VLOOKUP(TimeRemaining[[#This Row],[Time]],Upgrades[],MATCH("T"&amp;TimeRemaining[#Headers],Upgrades[#Headers],0),FALSE),0)*MAX(0,SUM($G46:O46)),0)</f>
        <v>0</v>
      </c>
      <c r="O150" s="110">
        <f>IF(VALUE(TimeRemaining[#Headers])&lt;=$F46,IFERROR(VLOOKUP(TimeRemaining[[#This Row],[Time]],Upgrades[],MATCH("T"&amp;TimeRemaining[#Headers],Upgrades[#Headers],0),FALSE),0)*MAX(0,SUM($G46:P46)),0)</f>
        <v>0</v>
      </c>
      <c r="P150" s="110">
        <f>IF(VALUE(TimeRemaining[#Headers])&lt;=$F46,IFERROR(VLOOKUP(TimeRemaining[[#This Row],[Time]],Upgrades[],MATCH("T"&amp;TimeRemaining[#Headers],Upgrades[#Headers],0),FALSE),0)*MAX(0,SUM($G46:Q46)),0)</f>
        <v>0</v>
      </c>
      <c r="Q150" s="110">
        <f>IF(VALUE(TimeRemaining[#Headers])&lt;=$F46,IFERROR(VLOOKUP(TimeRemaining[[#This Row],[Time]],Upgrades[],MATCH("T"&amp;TimeRemaining[#Headers],Upgrades[#Headers],0),FALSE),0)*MAX(0,SUM($G46:R46)),0)</f>
        <v>0</v>
      </c>
      <c r="R150" s="110">
        <f>IF(TimeRemaining[[#This Row],[MatchStr]]="IGNORE",0,SUM(TimeRemaining[[#This Row],[1]:[12]]))</f>
        <v>0</v>
      </c>
    </row>
    <row r="151" spans="1:18">
      <c r="A151" s="47" t="s">
        <v>108</v>
      </c>
      <c r="B151" s="103" t="str">
        <f>VLOOKUP(TimeRemaining[[#This Row],[Time]],Upgrades[],2,FALSE)</f>
        <v>Building</v>
      </c>
      <c r="C151" s="103" t="str">
        <f>VLOOKUP(TimeRemaining[[#This Row],[Time]],Upgrades[],3,FALSE)</f>
        <v>Dark Elixir</v>
      </c>
      <c r="D151" s="104" t="str">
        <f>IF((IFERROR(MATCH(TimeRemaining[[#This Row],[Time]],$O$16:$S$16,0),0)+IFERROR(MATCH(TimeRemaining[[#This Row],[Time]],$O$17:$S$17,0),0))&gt;0,"IGNORE",TimeRemaining[Kind]&amp;"-"&amp;TimeRemaining[Resource])</f>
        <v>Building-Dark Elixir</v>
      </c>
      <c r="E151" s="101" t="str">
        <f>IFERROR(VLOOKUP(TimeRemaining[[#This Row],[Time]],Upgrades[],MATCH("T"&amp;MATCH(TRUE,INDEX(TimeRemaining[[#This Row],[1]:[12]]&lt;&gt;0,),0),Upgrades[#Headers],0),FALSE),"")</f>
        <v/>
      </c>
      <c r="F151" s="110">
        <f>IF(VALUE(TimeRemaining[#Headers])&lt;=$F47,IFERROR(VLOOKUP(TimeRemaining[[#This Row],[Time]],Upgrades[],MATCH("T"&amp;TimeRemaining[#Headers],Upgrades[#Headers],0),FALSE),0)*MAX(0,SUM($G47:G47)),0)</f>
        <v>0</v>
      </c>
      <c r="G151" s="110">
        <f>IF(VALUE(TimeRemaining[#Headers])&lt;=$F47,IFERROR(VLOOKUP(TimeRemaining[[#This Row],[Time]],Upgrades[],MATCH("T"&amp;TimeRemaining[#Headers],Upgrades[#Headers],0),FALSE),0)*MAX(0,SUM($G47:H47)),0)</f>
        <v>0</v>
      </c>
      <c r="H151" s="110">
        <f>IF(VALUE(TimeRemaining[#Headers])&lt;=$F47,IFERROR(VLOOKUP(TimeRemaining[[#This Row],[Time]],Upgrades[],MATCH("T"&amp;TimeRemaining[#Headers],Upgrades[#Headers],0),FALSE),0)*MAX(0,SUM($G47:I47)),0)</f>
        <v>0</v>
      </c>
      <c r="I151" s="110">
        <f>IF(VALUE(TimeRemaining[#Headers])&lt;=$F47,IFERROR(VLOOKUP(TimeRemaining[[#This Row],[Time]],Upgrades[],MATCH("T"&amp;TimeRemaining[#Headers],Upgrades[#Headers],0),FALSE),0)*MAX(0,SUM($G47:J47)),0)</f>
        <v>0</v>
      </c>
      <c r="J151" s="110">
        <f>IF(VALUE(TimeRemaining[#Headers])&lt;=$F47,IFERROR(VLOOKUP(TimeRemaining[[#This Row],[Time]],Upgrades[],MATCH("T"&amp;TimeRemaining[#Headers],Upgrades[#Headers],0),FALSE),0)*MAX(0,SUM($G47:K47)),0)</f>
        <v>0</v>
      </c>
      <c r="K151" s="110">
        <f>IF(VALUE(TimeRemaining[#Headers])&lt;=$F47,IFERROR(VLOOKUP(TimeRemaining[[#This Row],[Time]],Upgrades[],MATCH("T"&amp;TimeRemaining[#Headers],Upgrades[#Headers],0),FALSE),0)*MAX(0,SUM($G47:L47)),0)</f>
        <v>0</v>
      </c>
      <c r="L151" s="110">
        <f>IF(VALUE(TimeRemaining[#Headers])&lt;=$F47,IFERROR(VLOOKUP(TimeRemaining[[#This Row],[Time]],Upgrades[],MATCH("T"&amp;TimeRemaining[#Headers],Upgrades[#Headers],0),FALSE),0)*MAX(0,SUM($G47:M47)),0)</f>
        <v>0</v>
      </c>
      <c r="M151" s="110">
        <f>IF(VALUE(TimeRemaining[#Headers])&lt;=$F47,IFERROR(VLOOKUP(TimeRemaining[[#This Row],[Time]],Upgrades[],MATCH("T"&amp;TimeRemaining[#Headers],Upgrades[#Headers],0),FALSE),0)*MAX(0,SUM($G47:N47)),0)</f>
        <v>0</v>
      </c>
      <c r="N151" s="110">
        <f>IF(VALUE(TimeRemaining[#Headers])&lt;=$F47,IFERROR(VLOOKUP(TimeRemaining[[#This Row],[Time]],Upgrades[],MATCH("T"&amp;TimeRemaining[#Headers],Upgrades[#Headers],0),FALSE),0)*MAX(0,SUM($G47:O47)),0)</f>
        <v>0</v>
      </c>
      <c r="O151" s="110">
        <f>IF(VALUE(TimeRemaining[#Headers])&lt;=$F47,IFERROR(VLOOKUP(TimeRemaining[[#This Row],[Time]],Upgrades[],MATCH("T"&amp;TimeRemaining[#Headers],Upgrades[#Headers],0),FALSE),0)*MAX(0,SUM($G47:P47)),0)</f>
        <v>0</v>
      </c>
      <c r="P151" s="110">
        <f>IF(VALUE(TimeRemaining[#Headers])&lt;=$F47,IFERROR(VLOOKUP(TimeRemaining[[#This Row],[Time]],Upgrades[],MATCH("T"&amp;TimeRemaining[#Headers],Upgrades[#Headers],0),FALSE),0)*MAX(0,SUM($G47:Q47)),0)</f>
        <v>0</v>
      </c>
      <c r="Q151" s="110">
        <f>IF(VALUE(TimeRemaining[#Headers])&lt;=$F47,IFERROR(VLOOKUP(TimeRemaining[[#This Row],[Time]],Upgrades[],MATCH("T"&amp;TimeRemaining[#Headers],Upgrades[#Headers],0),FALSE),0)*MAX(0,SUM($G47:R47)),0)</f>
        <v>0</v>
      </c>
      <c r="R151" s="110">
        <f>IF(TimeRemaining[[#This Row],[MatchStr]]="IGNORE",0,SUM(TimeRemaining[[#This Row],[1]:[12]]))</f>
        <v>0</v>
      </c>
    </row>
    <row r="152" spans="1:18">
      <c r="A152" s="47" t="s">
        <v>84</v>
      </c>
      <c r="B152" s="103" t="str">
        <f>VLOOKUP(TimeRemaining[[#This Row],[Time]],Upgrades[],2,FALSE)</f>
        <v>Upgrade</v>
      </c>
      <c r="C152" s="103" t="str">
        <f>VLOOKUP(TimeRemaining[[#This Row],[Time]],Upgrades[],3,FALSE)</f>
        <v>Elixir</v>
      </c>
      <c r="D152" s="104" t="str">
        <f>IF((IFERROR(MATCH(TimeRemaining[[#This Row],[Time]],$O$16:$S$16,0),0)+IFERROR(MATCH(TimeRemaining[[#This Row],[Time]],$O$17:$S$17,0),0))&gt;0,"IGNORE",TimeRemaining[Kind]&amp;"-"&amp;TimeRemaining[Resource])</f>
        <v>Upgrade-Elixir</v>
      </c>
      <c r="E152" s="101" t="str">
        <f>IFERROR(VLOOKUP(TimeRemaining[[#This Row],[Time]],Upgrades[],MATCH("T"&amp;MATCH(TRUE,INDEX(TimeRemaining[[#This Row],[1]:[12]]&lt;&gt;0,),0),Upgrades[#Headers],0),FALSE),"")</f>
        <v/>
      </c>
      <c r="F152" s="110">
        <f>IF(VALUE(TimeRemaining[#Headers])&lt;=$F48,IFERROR(VLOOKUP(TimeRemaining[[#This Row],[Time]],Upgrades[],MATCH("T"&amp;TimeRemaining[#Headers],Upgrades[#Headers],0),FALSE),0)*MAX(0,SUM($G48:G48)),0)</f>
        <v>0</v>
      </c>
      <c r="G152" s="110">
        <f>IF(VALUE(TimeRemaining[#Headers])&lt;=$F48,IFERROR(VLOOKUP(TimeRemaining[[#This Row],[Time]],Upgrades[],MATCH("T"&amp;TimeRemaining[#Headers],Upgrades[#Headers],0),FALSE),0)*MAX(0,SUM($G48:H48)),0)</f>
        <v>0</v>
      </c>
      <c r="H152" s="110">
        <f>IF(VALUE(TimeRemaining[#Headers])&lt;=$F48,IFERROR(VLOOKUP(TimeRemaining[[#This Row],[Time]],Upgrades[],MATCH("T"&amp;TimeRemaining[#Headers],Upgrades[#Headers],0),FALSE),0)*MAX(0,SUM($G48:I48)),0)</f>
        <v>0</v>
      </c>
      <c r="I152" s="110">
        <f>IF(VALUE(TimeRemaining[#Headers])&lt;=$F48,IFERROR(VLOOKUP(TimeRemaining[[#This Row],[Time]],Upgrades[],MATCH("T"&amp;TimeRemaining[#Headers],Upgrades[#Headers],0),FALSE),0)*MAX(0,SUM($G48:J48)),0)</f>
        <v>0</v>
      </c>
      <c r="J152" s="110">
        <f>IF(VALUE(TimeRemaining[#Headers])&lt;=$F48,IFERROR(VLOOKUP(TimeRemaining[[#This Row],[Time]],Upgrades[],MATCH("T"&amp;TimeRemaining[#Headers],Upgrades[#Headers],0),FALSE),0)*MAX(0,SUM($G48:K48)),0)</f>
        <v>0</v>
      </c>
      <c r="K152" s="110">
        <f>IF(VALUE(TimeRemaining[#Headers])&lt;=$F48,IFERROR(VLOOKUP(TimeRemaining[[#This Row],[Time]],Upgrades[],MATCH("T"&amp;TimeRemaining[#Headers],Upgrades[#Headers],0),FALSE),0)*MAX(0,SUM($G48:L48)),0)</f>
        <v>0</v>
      </c>
      <c r="L152" s="110">
        <f>IF(VALUE(TimeRemaining[#Headers])&lt;=$F48,IFERROR(VLOOKUP(TimeRemaining[[#This Row],[Time]],Upgrades[],MATCH("T"&amp;TimeRemaining[#Headers],Upgrades[#Headers],0),FALSE),0)*MAX(0,SUM($G48:M48)),0)</f>
        <v>0</v>
      </c>
      <c r="M152" s="110">
        <f>IF(VALUE(TimeRemaining[#Headers])&lt;=$F48,IFERROR(VLOOKUP(TimeRemaining[[#This Row],[Time]],Upgrades[],MATCH("T"&amp;TimeRemaining[#Headers],Upgrades[#Headers],0),FALSE),0)*MAX(0,SUM($G48:N48)),0)</f>
        <v>0</v>
      </c>
      <c r="N152" s="110">
        <f>IF(VALUE(TimeRemaining[#Headers])&lt;=$F48,IFERROR(VLOOKUP(TimeRemaining[[#This Row],[Time]],Upgrades[],MATCH("T"&amp;TimeRemaining[#Headers],Upgrades[#Headers],0),FALSE),0)*MAX(0,SUM($G48:O48)),0)</f>
        <v>0</v>
      </c>
      <c r="O152" s="110">
        <f>IF(VALUE(TimeRemaining[#Headers])&lt;=$F48,IFERROR(VLOOKUP(TimeRemaining[[#This Row],[Time]],Upgrades[],MATCH("T"&amp;TimeRemaining[#Headers],Upgrades[#Headers],0),FALSE),0)*MAX(0,SUM($G48:P48)),0)</f>
        <v>0</v>
      </c>
      <c r="P152" s="110">
        <f>IF(VALUE(TimeRemaining[#Headers])&lt;=$F48,IFERROR(VLOOKUP(TimeRemaining[[#This Row],[Time]],Upgrades[],MATCH("T"&amp;TimeRemaining[#Headers],Upgrades[#Headers],0),FALSE),0)*MAX(0,SUM($G48:Q48)),0)</f>
        <v>0</v>
      </c>
      <c r="Q152" s="110">
        <f>IF(VALUE(TimeRemaining[#Headers])&lt;=$F48,IFERROR(VLOOKUP(TimeRemaining[[#This Row],[Time]],Upgrades[],MATCH("T"&amp;TimeRemaining[#Headers],Upgrades[#Headers],0),FALSE),0)*MAX(0,SUM($G48:R48)),0)</f>
        <v>0</v>
      </c>
      <c r="R152" s="110">
        <f>IF(TimeRemaining[[#This Row],[MatchStr]]="IGNORE",0,SUM(TimeRemaining[[#This Row],[1]:[12]]))</f>
        <v>0</v>
      </c>
    </row>
    <row r="153" spans="1:18">
      <c r="A153" s="47" t="s">
        <v>85</v>
      </c>
      <c r="B153" s="103" t="str">
        <f>VLOOKUP(TimeRemaining[[#This Row],[Time]],Upgrades[],2,FALSE)</f>
        <v>Upgrade</v>
      </c>
      <c r="C153" s="103" t="str">
        <f>VLOOKUP(TimeRemaining[[#This Row],[Time]],Upgrades[],3,FALSE)</f>
        <v>Elixir</v>
      </c>
      <c r="D153" s="104" t="str">
        <f>IF((IFERROR(MATCH(TimeRemaining[[#This Row],[Time]],$O$16:$S$16,0),0)+IFERROR(MATCH(TimeRemaining[[#This Row],[Time]],$O$17:$S$17,0),0))&gt;0,"IGNORE",TimeRemaining[Kind]&amp;"-"&amp;TimeRemaining[Resource])</f>
        <v>Upgrade-Elixir</v>
      </c>
      <c r="E153" s="101" t="str">
        <f>IFERROR(VLOOKUP(TimeRemaining[[#This Row],[Time]],Upgrades[],MATCH("T"&amp;MATCH(TRUE,INDEX(TimeRemaining[[#This Row],[1]:[12]]&lt;&gt;0,),0),Upgrades[#Headers],0),FALSE),"")</f>
        <v/>
      </c>
      <c r="F153" s="110">
        <f>IF(VALUE(TimeRemaining[#Headers])&lt;=$F49,IFERROR(VLOOKUP(TimeRemaining[[#This Row],[Time]],Upgrades[],MATCH("T"&amp;TimeRemaining[#Headers],Upgrades[#Headers],0),FALSE),0)*MAX(0,SUM($G49:G49)),0)</f>
        <v>0</v>
      </c>
      <c r="G153" s="110">
        <f>IF(VALUE(TimeRemaining[#Headers])&lt;=$F49,IFERROR(VLOOKUP(TimeRemaining[[#This Row],[Time]],Upgrades[],MATCH("T"&amp;TimeRemaining[#Headers],Upgrades[#Headers],0),FALSE),0)*MAX(0,SUM($G49:H49)),0)</f>
        <v>0</v>
      </c>
      <c r="H153" s="110">
        <f>IF(VALUE(TimeRemaining[#Headers])&lt;=$F49,IFERROR(VLOOKUP(TimeRemaining[[#This Row],[Time]],Upgrades[],MATCH("T"&amp;TimeRemaining[#Headers],Upgrades[#Headers],0),FALSE),0)*MAX(0,SUM($G49:I49)),0)</f>
        <v>0</v>
      </c>
      <c r="I153" s="110">
        <f>IF(VALUE(TimeRemaining[#Headers])&lt;=$F49,IFERROR(VLOOKUP(TimeRemaining[[#This Row],[Time]],Upgrades[],MATCH("T"&amp;TimeRemaining[#Headers],Upgrades[#Headers],0),FALSE),0)*MAX(0,SUM($G49:J49)),0)</f>
        <v>0</v>
      </c>
      <c r="J153" s="110">
        <f>IF(VALUE(TimeRemaining[#Headers])&lt;=$F49,IFERROR(VLOOKUP(TimeRemaining[[#This Row],[Time]],Upgrades[],MATCH("T"&amp;TimeRemaining[#Headers],Upgrades[#Headers],0),FALSE),0)*MAX(0,SUM($G49:K49)),0)</f>
        <v>0</v>
      </c>
      <c r="K153" s="110">
        <f>IF(VALUE(TimeRemaining[#Headers])&lt;=$F49,IFERROR(VLOOKUP(TimeRemaining[[#This Row],[Time]],Upgrades[],MATCH("T"&amp;TimeRemaining[#Headers],Upgrades[#Headers],0),FALSE),0)*MAX(0,SUM($G49:L49)),0)</f>
        <v>0</v>
      </c>
      <c r="L153" s="110">
        <f>IF(VALUE(TimeRemaining[#Headers])&lt;=$F49,IFERROR(VLOOKUP(TimeRemaining[[#This Row],[Time]],Upgrades[],MATCH("T"&amp;TimeRemaining[#Headers],Upgrades[#Headers],0),FALSE),0)*MAX(0,SUM($G49:M49)),0)</f>
        <v>0</v>
      </c>
      <c r="M153" s="110">
        <f>IF(VALUE(TimeRemaining[#Headers])&lt;=$F49,IFERROR(VLOOKUP(TimeRemaining[[#This Row],[Time]],Upgrades[],MATCH("T"&amp;TimeRemaining[#Headers],Upgrades[#Headers],0),FALSE),0)*MAX(0,SUM($G49:N49)),0)</f>
        <v>0</v>
      </c>
      <c r="N153" s="110">
        <f>IF(VALUE(TimeRemaining[#Headers])&lt;=$F49,IFERROR(VLOOKUP(TimeRemaining[[#This Row],[Time]],Upgrades[],MATCH("T"&amp;TimeRemaining[#Headers],Upgrades[#Headers],0),FALSE),0)*MAX(0,SUM($G49:O49)),0)</f>
        <v>0</v>
      </c>
      <c r="O153" s="110">
        <f>IF(VALUE(TimeRemaining[#Headers])&lt;=$F49,IFERROR(VLOOKUP(TimeRemaining[[#This Row],[Time]],Upgrades[],MATCH("T"&amp;TimeRemaining[#Headers],Upgrades[#Headers],0),FALSE),0)*MAX(0,SUM($G49:P49)),0)</f>
        <v>0</v>
      </c>
      <c r="P153" s="110">
        <f>IF(VALUE(TimeRemaining[#Headers])&lt;=$F49,IFERROR(VLOOKUP(TimeRemaining[[#This Row],[Time]],Upgrades[],MATCH("T"&amp;TimeRemaining[#Headers],Upgrades[#Headers],0),FALSE),0)*MAX(0,SUM($G49:Q49)),0)</f>
        <v>0</v>
      </c>
      <c r="Q153" s="110">
        <f>IF(VALUE(TimeRemaining[#Headers])&lt;=$F49,IFERROR(VLOOKUP(TimeRemaining[[#This Row],[Time]],Upgrades[],MATCH("T"&amp;TimeRemaining[#Headers],Upgrades[#Headers],0),FALSE),0)*MAX(0,SUM($G49:R49)),0)</f>
        <v>0</v>
      </c>
      <c r="R153" s="110">
        <f>IF(TimeRemaining[[#This Row],[MatchStr]]="IGNORE",0,SUM(TimeRemaining[[#This Row],[1]:[12]]))</f>
        <v>0</v>
      </c>
    </row>
    <row r="154" spans="1:18">
      <c r="A154" s="47" t="s">
        <v>86</v>
      </c>
      <c r="B154" s="103" t="str">
        <f>VLOOKUP(TimeRemaining[[#This Row],[Time]],Upgrades[],2,FALSE)</f>
        <v>Upgrade</v>
      </c>
      <c r="C154" s="103" t="str">
        <f>VLOOKUP(TimeRemaining[[#This Row],[Time]],Upgrades[],3,FALSE)</f>
        <v>Elixir</v>
      </c>
      <c r="D154" s="104" t="str">
        <f>IF((IFERROR(MATCH(TimeRemaining[[#This Row],[Time]],$O$16:$S$16,0),0)+IFERROR(MATCH(TimeRemaining[[#This Row],[Time]],$O$17:$S$17,0),0))&gt;0,"IGNORE",TimeRemaining[Kind]&amp;"-"&amp;TimeRemaining[Resource])</f>
        <v>Upgrade-Elixir</v>
      </c>
      <c r="E154" s="101">
        <f>IFERROR(VLOOKUP(TimeRemaining[[#This Row],[Time]],Upgrades[],MATCH("T"&amp;MATCH(TRUE,INDEX(TimeRemaining[[#This Row],[1]:[12]]&lt;&gt;0,),0),Upgrades[#Headers],0),FALSE),"")</f>
        <v>3</v>
      </c>
      <c r="F154" s="110">
        <f>IF(VALUE(TimeRemaining[#Headers])&lt;=$F50,IFERROR(VLOOKUP(TimeRemaining[[#This Row],[Time]],Upgrades[],MATCH("T"&amp;TimeRemaining[#Headers],Upgrades[#Headers],0),FALSE),0)*MAX(0,SUM($G50:G50)),0)</f>
        <v>0</v>
      </c>
      <c r="G154" s="110">
        <f>IF(VALUE(TimeRemaining[#Headers])&lt;=$F50,IFERROR(VLOOKUP(TimeRemaining[[#This Row],[Time]],Upgrades[],MATCH("T"&amp;TimeRemaining[#Headers],Upgrades[#Headers],0),FALSE),0)*MAX(0,SUM($G50:H50)),0)</f>
        <v>0</v>
      </c>
      <c r="H154" s="110">
        <f>IF(VALUE(TimeRemaining[#Headers])&lt;=$F50,IFERROR(VLOOKUP(TimeRemaining[[#This Row],[Time]],Upgrades[],MATCH("T"&amp;TimeRemaining[#Headers],Upgrades[#Headers],0),FALSE),0)*MAX(0,SUM($G50:I50)),0)</f>
        <v>0</v>
      </c>
      <c r="I154" s="110">
        <f>IF(VALUE(TimeRemaining[#Headers])&lt;=$F50,IFERROR(VLOOKUP(TimeRemaining[[#This Row],[Time]],Upgrades[],MATCH("T"&amp;TimeRemaining[#Headers],Upgrades[#Headers],0),FALSE),0)*MAX(0,SUM($G50:J50)),0)</f>
        <v>3</v>
      </c>
      <c r="J154" s="110">
        <f>IF(VALUE(TimeRemaining[#Headers])&lt;=$F50,IFERROR(VLOOKUP(TimeRemaining[[#This Row],[Time]],Upgrades[],MATCH("T"&amp;TimeRemaining[#Headers],Upgrades[#Headers],0),FALSE),0)*MAX(0,SUM($G50:K50)),0)</f>
        <v>0</v>
      </c>
      <c r="K154" s="110">
        <f>IF(VALUE(TimeRemaining[#Headers])&lt;=$F50,IFERROR(VLOOKUP(TimeRemaining[[#This Row],[Time]],Upgrades[],MATCH("T"&amp;TimeRemaining[#Headers],Upgrades[#Headers],0),FALSE),0)*MAX(0,SUM($G50:L50)),0)</f>
        <v>0</v>
      </c>
      <c r="L154" s="110">
        <f>IF(VALUE(TimeRemaining[#Headers])&lt;=$F50,IFERROR(VLOOKUP(TimeRemaining[[#This Row],[Time]],Upgrades[],MATCH("T"&amp;TimeRemaining[#Headers],Upgrades[#Headers],0),FALSE),0)*MAX(0,SUM($G50:M50)),0)</f>
        <v>0</v>
      </c>
      <c r="M154" s="110">
        <f>IF(VALUE(TimeRemaining[#Headers])&lt;=$F50,IFERROR(VLOOKUP(TimeRemaining[[#This Row],[Time]],Upgrades[],MATCH("T"&amp;TimeRemaining[#Headers],Upgrades[#Headers],0),FALSE),0)*MAX(0,SUM($G50:N50)),0)</f>
        <v>0</v>
      </c>
      <c r="N154" s="110">
        <f>IF(VALUE(TimeRemaining[#Headers])&lt;=$F50,IFERROR(VLOOKUP(TimeRemaining[[#This Row],[Time]],Upgrades[],MATCH("T"&amp;TimeRemaining[#Headers],Upgrades[#Headers],0),FALSE),0)*MAX(0,SUM($G50:O50)),0)</f>
        <v>0</v>
      </c>
      <c r="O154" s="110">
        <f>IF(VALUE(TimeRemaining[#Headers])&lt;=$F50,IFERROR(VLOOKUP(TimeRemaining[[#This Row],[Time]],Upgrades[],MATCH("T"&amp;TimeRemaining[#Headers],Upgrades[#Headers],0),FALSE),0)*MAX(0,SUM($G50:P50)),0)</f>
        <v>0</v>
      </c>
      <c r="P154" s="110">
        <f>IF(VALUE(TimeRemaining[#Headers])&lt;=$F50,IFERROR(VLOOKUP(TimeRemaining[[#This Row],[Time]],Upgrades[],MATCH("T"&amp;TimeRemaining[#Headers],Upgrades[#Headers],0),FALSE),0)*MAX(0,SUM($G50:Q50)),0)</f>
        <v>0</v>
      </c>
      <c r="Q154" s="110">
        <f>IF(VALUE(TimeRemaining[#Headers])&lt;=$F50,IFERROR(VLOOKUP(TimeRemaining[[#This Row],[Time]],Upgrades[],MATCH("T"&amp;TimeRemaining[#Headers],Upgrades[#Headers],0),FALSE),0)*MAX(0,SUM($G50:R50)),0)</f>
        <v>0</v>
      </c>
      <c r="R154" s="110">
        <f>IF(TimeRemaining[[#This Row],[MatchStr]]="IGNORE",0,SUM(TimeRemaining[[#This Row],[1]:[12]]))</f>
        <v>3</v>
      </c>
    </row>
    <row r="155" spans="1:18">
      <c r="A155" s="47" t="s">
        <v>87</v>
      </c>
      <c r="B155" s="103" t="str">
        <f>VLOOKUP(TimeRemaining[[#This Row],[Time]],Upgrades[],2,FALSE)</f>
        <v>Upgrade</v>
      </c>
      <c r="C155" s="103" t="str">
        <f>VLOOKUP(TimeRemaining[[#This Row],[Time]],Upgrades[],3,FALSE)</f>
        <v>Elixir</v>
      </c>
      <c r="D155" s="104" t="str">
        <f>IF((IFERROR(MATCH(TimeRemaining[[#This Row],[Time]],$O$16:$S$16,0),0)+IFERROR(MATCH(TimeRemaining[[#This Row],[Time]],$O$17:$S$17,0),0))&gt;0,"IGNORE",TimeRemaining[Kind]&amp;"-"&amp;TimeRemaining[Resource])</f>
        <v>Upgrade-Elixir</v>
      </c>
      <c r="E155" s="101" t="str">
        <f>IFERROR(VLOOKUP(TimeRemaining[[#This Row],[Time]],Upgrades[],MATCH("T"&amp;MATCH(TRUE,INDEX(TimeRemaining[[#This Row],[1]:[12]]&lt;&gt;0,),0),Upgrades[#Headers],0),FALSE),"")</f>
        <v/>
      </c>
      <c r="F155" s="110">
        <f>IF(VALUE(TimeRemaining[#Headers])&lt;=$F51,IFERROR(VLOOKUP(TimeRemaining[[#This Row],[Time]],Upgrades[],MATCH("T"&amp;TimeRemaining[#Headers],Upgrades[#Headers],0),FALSE),0)*MAX(0,SUM($G51:G51)),0)</f>
        <v>0</v>
      </c>
      <c r="G155" s="110">
        <f>IF(VALUE(TimeRemaining[#Headers])&lt;=$F51,IFERROR(VLOOKUP(TimeRemaining[[#This Row],[Time]],Upgrades[],MATCH("T"&amp;TimeRemaining[#Headers],Upgrades[#Headers],0),FALSE),0)*MAX(0,SUM($G51:H51)),0)</f>
        <v>0</v>
      </c>
      <c r="H155" s="110">
        <f>IF(VALUE(TimeRemaining[#Headers])&lt;=$F51,IFERROR(VLOOKUP(TimeRemaining[[#This Row],[Time]],Upgrades[],MATCH("T"&amp;TimeRemaining[#Headers],Upgrades[#Headers],0),FALSE),0)*MAX(0,SUM($G51:I51)),0)</f>
        <v>0</v>
      </c>
      <c r="I155" s="110">
        <f>IF(VALUE(TimeRemaining[#Headers])&lt;=$F51,IFERROR(VLOOKUP(TimeRemaining[[#This Row],[Time]],Upgrades[],MATCH("T"&amp;TimeRemaining[#Headers],Upgrades[#Headers],0),FALSE),0)*MAX(0,SUM($G51:J51)),0)</f>
        <v>0</v>
      </c>
      <c r="J155" s="110">
        <f>IF(VALUE(TimeRemaining[#Headers])&lt;=$F51,IFERROR(VLOOKUP(TimeRemaining[[#This Row],[Time]],Upgrades[],MATCH("T"&amp;TimeRemaining[#Headers],Upgrades[#Headers],0),FALSE),0)*MAX(0,SUM($G51:K51)),0)</f>
        <v>0</v>
      </c>
      <c r="K155" s="110">
        <f>IF(VALUE(TimeRemaining[#Headers])&lt;=$F51,IFERROR(VLOOKUP(TimeRemaining[[#This Row],[Time]],Upgrades[],MATCH("T"&amp;TimeRemaining[#Headers],Upgrades[#Headers],0),FALSE),0)*MAX(0,SUM($G51:L51)),0)</f>
        <v>0</v>
      </c>
      <c r="L155" s="110">
        <f>IF(VALUE(TimeRemaining[#Headers])&lt;=$F51,IFERROR(VLOOKUP(TimeRemaining[[#This Row],[Time]],Upgrades[],MATCH("T"&amp;TimeRemaining[#Headers],Upgrades[#Headers],0),FALSE),0)*MAX(0,SUM($G51:M51)),0)</f>
        <v>0</v>
      </c>
      <c r="M155" s="110">
        <f>IF(VALUE(TimeRemaining[#Headers])&lt;=$F51,IFERROR(VLOOKUP(TimeRemaining[[#This Row],[Time]],Upgrades[],MATCH("T"&amp;TimeRemaining[#Headers],Upgrades[#Headers],0),FALSE),0)*MAX(0,SUM($G51:N51)),0)</f>
        <v>0</v>
      </c>
      <c r="N155" s="110">
        <f>IF(VALUE(TimeRemaining[#Headers])&lt;=$F51,IFERROR(VLOOKUP(TimeRemaining[[#This Row],[Time]],Upgrades[],MATCH("T"&amp;TimeRemaining[#Headers],Upgrades[#Headers],0),FALSE),0)*MAX(0,SUM($G51:O51)),0)</f>
        <v>0</v>
      </c>
      <c r="O155" s="110">
        <f>IF(VALUE(TimeRemaining[#Headers])&lt;=$F51,IFERROR(VLOOKUP(TimeRemaining[[#This Row],[Time]],Upgrades[],MATCH("T"&amp;TimeRemaining[#Headers],Upgrades[#Headers],0),FALSE),0)*MAX(0,SUM($G51:P51)),0)</f>
        <v>0</v>
      </c>
      <c r="P155" s="110">
        <f>IF(VALUE(TimeRemaining[#Headers])&lt;=$F51,IFERROR(VLOOKUP(TimeRemaining[[#This Row],[Time]],Upgrades[],MATCH("T"&amp;TimeRemaining[#Headers],Upgrades[#Headers],0),FALSE),0)*MAX(0,SUM($G51:Q51)),0)</f>
        <v>0</v>
      </c>
      <c r="Q155" s="110">
        <f>IF(VALUE(TimeRemaining[#Headers])&lt;=$F51,IFERROR(VLOOKUP(TimeRemaining[[#This Row],[Time]],Upgrades[],MATCH("T"&amp;TimeRemaining[#Headers],Upgrades[#Headers],0),FALSE),0)*MAX(0,SUM($G51:R51)),0)</f>
        <v>0</v>
      </c>
      <c r="R155" s="110">
        <f>IF(TimeRemaining[[#This Row],[MatchStr]]="IGNORE",0,SUM(TimeRemaining[[#This Row],[1]:[12]]))</f>
        <v>0</v>
      </c>
    </row>
    <row r="156" spans="1:18">
      <c r="A156" s="47" t="s">
        <v>88</v>
      </c>
      <c r="B156" s="103" t="str">
        <f>VLOOKUP(TimeRemaining[[#This Row],[Time]],Upgrades[],2,FALSE)</f>
        <v>Upgrade</v>
      </c>
      <c r="C156" s="103" t="str">
        <f>VLOOKUP(TimeRemaining[[#This Row],[Time]],Upgrades[],3,FALSE)</f>
        <v>Elixir</v>
      </c>
      <c r="D156" s="104" t="str">
        <f>IF((IFERROR(MATCH(TimeRemaining[[#This Row],[Time]],$O$16:$S$16,0),0)+IFERROR(MATCH(TimeRemaining[[#This Row],[Time]],$O$17:$S$17,0),0))&gt;0,"IGNORE",TimeRemaining[Kind]&amp;"-"&amp;TimeRemaining[Resource])</f>
        <v>Upgrade-Elixir</v>
      </c>
      <c r="E156" s="101">
        <f>IFERROR(VLOOKUP(TimeRemaining[[#This Row],[Time]],Upgrades[],MATCH("T"&amp;MATCH(TRUE,INDEX(TimeRemaining[[#This Row],[1]:[12]]&lt;&gt;0,),0),Upgrades[#Headers],0),FALSE),"")</f>
        <v>3</v>
      </c>
      <c r="F156" s="110">
        <f>IF(VALUE(TimeRemaining[#Headers])&lt;=$F52,IFERROR(VLOOKUP(TimeRemaining[[#This Row],[Time]],Upgrades[],MATCH("T"&amp;TimeRemaining[#Headers],Upgrades[#Headers],0),FALSE),0)*MAX(0,SUM($G52:G52)),0)</f>
        <v>0</v>
      </c>
      <c r="G156" s="110">
        <f>IF(VALUE(TimeRemaining[#Headers])&lt;=$F52,IFERROR(VLOOKUP(TimeRemaining[[#This Row],[Time]],Upgrades[],MATCH("T"&amp;TimeRemaining[#Headers],Upgrades[#Headers],0),FALSE),0)*MAX(0,SUM($G52:H52)),0)</f>
        <v>0</v>
      </c>
      <c r="H156" s="110">
        <f>IF(VALUE(TimeRemaining[#Headers])&lt;=$F52,IFERROR(VLOOKUP(TimeRemaining[[#This Row],[Time]],Upgrades[],MATCH("T"&amp;TimeRemaining[#Headers],Upgrades[#Headers],0),FALSE),0)*MAX(0,SUM($G52:I52)),0)</f>
        <v>0</v>
      </c>
      <c r="I156" s="110">
        <f>IF(VALUE(TimeRemaining[#Headers])&lt;=$F52,IFERROR(VLOOKUP(TimeRemaining[[#This Row],[Time]],Upgrades[],MATCH("T"&amp;TimeRemaining[#Headers],Upgrades[#Headers],0),FALSE),0)*MAX(0,SUM($G52:J52)),0)</f>
        <v>3</v>
      </c>
      <c r="J156" s="110">
        <f>IF(VALUE(TimeRemaining[#Headers])&lt;=$F52,IFERROR(VLOOKUP(TimeRemaining[[#This Row],[Time]],Upgrades[],MATCH("T"&amp;TimeRemaining[#Headers],Upgrades[#Headers],0),FALSE),0)*MAX(0,SUM($G52:K52)),0)</f>
        <v>0</v>
      </c>
      <c r="K156" s="110">
        <f>IF(VALUE(TimeRemaining[#Headers])&lt;=$F52,IFERROR(VLOOKUP(TimeRemaining[[#This Row],[Time]],Upgrades[],MATCH("T"&amp;TimeRemaining[#Headers],Upgrades[#Headers],0),FALSE),0)*MAX(0,SUM($G52:L52)),0)</f>
        <v>0</v>
      </c>
      <c r="L156" s="110">
        <f>IF(VALUE(TimeRemaining[#Headers])&lt;=$F52,IFERROR(VLOOKUP(TimeRemaining[[#This Row],[Time]],Upgrades[],MATCH("T"&amp;TimeRemaining[#Headers],Upgrades[#Headers],0),FALSE),0)*MAX(0,SUM($G52:M52)),0)</f>
        <v>0</v>
      </c>
      <c r="M156" s="110">
        <f>IF(VALUE(TimeRemaining[#Headers])&lt;=$F52,IFERROR(VLOOKUP(TimeRemaining[[#This Row],[Time]],Upgrades[],MATCH("T"&amp;TimeRemaining[#Headers],Upgrades[#Headers],0),FALSE),0)*MAX(0,SUM($G52:N52)),0)</f>
        <v>0</v>
      </c>
      <c r="N156" s="110">
        <f>IF(VALUE(TimeRemaining[#Headers])&lt;=$F52,IFERROR(VLOOKUP(TimeRemaining[[#This Row],[Time]],Upgrades[],MATCH("T"&amp;TimeRemaining[#Headers],Upgrades[#Headers],0),FALSE),0)*MAX(0,SUM($G52:O52)),0)</f>
        <v>0</v>
      </c>
      <c r="O156" s="110">
        <f>IF(VALUE(TimeRemaining[#Headers])&lt;=$F52,IFERROR(VLOOKUP(TimeRemaining[[#This Row],[Time]],Upgrades[],MATCH("T"&amp;TimeRemaining[#Headers],Upgrades[#Headers],0),FALSE),0)*MAX(0,SUM($G52:P52)),0)</f>
        <v>0</v>
      </c>
      <c r="P156" s="110">
        <f>IF(VALUE(TimeRemaining[#Headers])&lt;=$F52,IFERROR(VLOOKUP(TimeRemaining[[#This Row],[Time]],Upgrades[],MATCH("T"&amp;TimeRemaining[#Headers],Upgrades[#Headers],0),FALSE),0)*MAX(0,SUM($G52:Q52)),0)</f>
        <v>0</v>
      </c>
      <c r="Q156" s="110">
        <f>IF(VALUE(TimeRemaining[#Headers])&lt;=$F52,IFERROR(VLOOKUP(TimeRemaining[[#This Row],[Time]],Upgrades[],MATCH("T"&amp;TimeRemaining[#Headers],Upgrades[#Headers],0),FALSE),0)*MAX(0,SUM($G52:R52)),0)</f>
        <v>0</v>
      </c>
      <c r="R156" s="110">
        <f>IF(TimeRemaining[[#This Row],[MatchStr]]="IGNORE",0,SUM(TimeRemaining[[#This Row],[1]:[12]]))</f>
        <v>3</v>
      </c>
    </row>
    <row r="157" spans="1:18">
      <c r="A157" s="47" t="s">
        <v>89</v>
      </c>
      <c r="B157" s="103" t="str">
        <f>VLOOKUP(TimeRemaining[[#This Row],[Time]],Upgrades[],2,FALSE)</f>
        <v>Upgrade</v>
      </c>
      <c r="C157" s="103" t="str">
        <f>VLOOKUP(TimeRemaining[[#This Row],[Time]],Upgrades[],3,FALSE)</f>
        <v>Elixir</v>
      </c>
      <c r="D157" s="104" t="str">
        <f>IF((IFERROR(MATCH(TimeRemaining[[#This Row],[Time]],$O$16:$S$16,0),0)+IFERROR(MATCH(TimeRemaining[[#This Row],[Time]],$O$17:$S$17,0),0))&gt;0,"IGNORE",TimeRemaining[Kind]&amp;"-"&amp;TimeRemaining[Resource])</f>
        <v>IGNORE</v>
      </c>
      <c r="E157" s="101">
        <f>IFERROR(VLOOKUP(TimeRemaining[[#This Row],[Time]],Upgrades[],MATCH("T"&amp;MATCH(TRUE,INDEX(TimeRemaining[[#This Row],[1]:[12]]&lt;&gt;0,),0),Upgrades[#Headers],0),FALSE),"")</f>
        <v>2</v>
      </c>
      <c r="F157" s="110">
        <f>IF(VALUE(TimeRemaining[#Headers])&lt;=$F53,IFERROR(VLOOKUP(TimeRemaining[[#This Row],[Time]],Upgrades[],MATCH("T"&amp;TimeRemaining[#Headers],Upgrades[#Headers],0),FALSE),0)*MAX(0,SUM($G53:G53)),0)</f>
        <v>0</v>
      </c>
      <c r="G157" s="110">
        <f>IF(VALUE(TimeRemaining[#Headers])&lt;=$F53,IFERROR(VLOOKUP(TimeRemaining[[#This Row],[Time]],Upgrades[],MATCH("T"&amp;TimeRemaining[#Headers],Upgrades[#Headers],0),FALSE),0)*MAX(0,SUM($G53:H53)),0)</f>
        <v>0</v>
      </c>
      <c r="H157" s="110">
        <f>IF(VALUE(TimeRemaining[#Headers])&lt;=$F53,IFERROR(VLOOKUP(TimeRemaining[[#This Row],[Time]],Upgrades[],MATCH("T"&amp;TimeRemaining[#Headers],Upgrades[#Headers],0),FALSE),0)*MAX(0,SUM($G53:I53)),0)</f>
        <v>2</v>
      </c>
      <c r="I157" s="110">
        <f>IF(VALUE(TimeRemaining[#Headers])&lt;=$F53,IFERROR(VLOOKUP(TimeRemaining[[#This Row],[Time]],Upgrades[],MATCH("T"&amp;TimeRemaining[#Headers],Upgrades[#Headers],0),FALSE),0)*MAX(0,SUM($G53:J53)),0)</f>
        <v>3</v>
      </c>
      <c r="J157" s="110">
        <f>IF(VALUE(TimeRemaining[#Headers])&lt;=$F53,IFERROR(VLOOKUP(TimeRemaining[[#This Row],[Time]],Upgrades[],MATCH("T"&amp;TimeRemaining[#Headers],Upgrades[#Headers],0),FALSE),0)*MAX(0,SUM($G53:K53)),0)</f>
        <v>0</v>
      </c>
      <c r="K157" s="110">
        <f>IF(VALUE(TimeRemaining[#Headers])&lt;=$F53,IFERROR(VLOOKUP(TimeRemaining[[#This Row],[Time]],Upgrades[],MATCH("T"&amp;TimeRemaining[#Headers],Upgrades[#Headers],0),FALSE),0)*MAX(0,SUM($G53:L53)),0)</f>
        <v>0</v>
      </c>
      <c r="L157" s="110">
        <f>IF(VALUE(TimeRemaining[#Headers])&lt;=$F53,IFERROR(VLOOKUP(TimeRemaining[[#This Row],[Time]],Upgrades[],MATCH("T"&amp;TimeRemaining[#Headers],Upgrades[#Headers],0),FALSE),0)*MAX(0,SUM($G53:M53)),0)</f>
        <v>0</v>
      </c>
      <c r="M157" s="110">
        <f>IF(VALUE(TimeRemaining[#Headers])&lt;=$F53,IFERROR(VLOOKUP(TimeRemaining[[#This Row],[Time]],Upgrades[],MATCH("T"&amp;TimeRemaining[#Headers],Upgrades[#Headers],0),FALSE),0)*MAX(0,SUM($G53:N53)),0)</f>
        <v>0</v>
      </c>
      <c r="N157" s="110">
        <f>IF(VALUE(TimeRemaining[#Headers])&lt;=$F53,IFERROR(VLOOKUP(TimeRemaining[[#This Row],[Time]],Upgrades[],MATCH("T"&amp;TimeRemaining[#Headers],Upgrades[#Headers],0),FALSE),0)*MAX(0,SUM($G53:O53)),0)</f>
        <v>0</v>
      </c>
      <c r="O157" s="110">
        <f>IF(VALUE(TimeRemaining[#Headers])&lt;=$F53,IFERROR(VLOOKUP(TimeRemaining[[#This Row],[Time]],Upgrades[],MATCH("T"&amp;TimeRemaining[#Headers],Upgrades[#Headers],0),FALSE),0)*MAX(0,SUM($G53:P53)),0)</f>
        <v>0</v>
      </c>
      <c r="P157" s="110">
        <f>IF(VALUE(TimeRemaining[#Headers])&lt;=$F53,IFERROR(VLOOKUP(TimeRemaining[[#This Row],[Time]],Upgrades[],MATCH("T"&amp;TimeRemaining[#Headers],Upgrades[#Headers],0),FALSE),0)*MAX(0,SUM($G53:Q53)),0)</f>
        <v>0</v>
      </c>
      <c r="Q157" s="110">
        <f>IF(VALUE(TimeRemaining[#Headers])&lt;=$F53,IFERROR(VLOOKUP(TimeRemaining[[#This Row],[Time]],Upgrades[],MATCH("T"&amp;TimeRemaining[#Headers],Upgrades[#Headers],0),FALSE),0)*MAX(0,SUM($G53:R53)),0)</f>
        <v>0</v>
      </c>
      <c r="R157" s="110">
        <f>IF(TimeRemaining[[#This Row],[MatchStr]]="IGNORE",0,SUM(TimeRemaining[[#This Row],[1]:[12]]))</f>
        <v>0</v>
      </c>
    </row>
    <row r="158" spans="1:18">
      <c r="A158" s="47" t="s">
        <v>90</v>
      </c>
      <c r="B158" s="103" t="str">
        <f>VLOOKUP(TimeRemaining[[#This Row],[Time]],Upgrades[],2,FALSE)</f>
        <v>Upgrade</v>
      </c>
      <c r="C158" s="103" t="str">
        <f>VLOOKUP(TimeRemaining[[#This Row],[Time]],Upgrades[],3,FALSE)</f>
        <v>Elixir</v>
      </c>
      <c r="D158" s="104" t="str">
        <f>IF((IFERROR(MATCH(TimeRemaining[[#This Row],[Time]],$O$16:$S$16,0),0)+IFERROR(MATCH(TimeRemaining[[#This Row],[Time]],$O$17:$S$17,0),0))&gt;0,"IGNORE",TimeRemaining[Kind]&amp;"-"&amp;TimeRemaining[Resource])</f>
        <v>Upgrade-Elixir</v>
      </c>
      <c r="E158" s="101">
        <f>IFERROR(VLOOKUP(TimeRemaining[[#This Row],[Time]],Upgrades[],MATCH("T"&amp;MATCH(TRUE,INDEX(TimeRemaining[[#This Row],[1]:[12]]&lt;&gt;0,),0),Upgrades[#Headers],0),FALSE),"")</f>
        <v>3</v>
      </c>
      <c r="F158" s="110">
        <f>IF(VALUE(TimeRemaining[#Headers])&lt;=$F54,IFERROR(VLOOKUP(TimeRemaining[[#This Row],[Time]],Upgrades[],MATCH("T"&amp;TimeRemaining[#Headers],Upgrades[#Headers],0),FALSE),0)*MAX(0,SUM($G54:G54)),0)</f>
        <v>0</v>
      </c>
      <c r="G158" s="110">
        <f>IF(VALUE(TimeRemaining[#Headers])&lt;=$F54,IFERROR(VLOOKUP(TimeRemaining[[#This Row],[Time]],Upgrades[],MATCH("T"&amp;TimeRemaining[#Headers],Upgrades[#Headers],0),FALSE),0)*MAX(0,SUM($G54:H54)),0)</f>
        <v>0</v>
      </c>
      <c r="H158" s="110">
        <f>IF(VALUE(TimeRemaining[#Headers])&lt;=$F54,IFERROR(VLOOKUP(TimeRemaining[[#This Row],[Time]],Upgrades[],MATCH("T"&amp;TimeRemaining[#Headers],Upgrades[#Headers],0),FALSE),0)*MAX(0,SUM($G54:I54)),0)</f>
        <v>0</v>
      </c>
      <c r="I158" s="110">
        <f>IF(VALUE(TimeRemaining[#Headers])&lt;=$F54,IFERROR(VLOOKUP(TimeRemaining[[#This Row],[Time]],Upgrades[],MATCH("T"&amp;TimeRemaining[#Headers],Upgrades[#Headers],0),FALSE),0)*MAX(0,SUM($G54:J54)),0)</f>
        <v>3</v>
      </c>
      <c r="J158" s="110">
        <f>IF(VALUE(TimeRemaining[#Headers])&lt;=$F54,IFERROR(VLOOKUP(TimeRemaining[[#This Row],[Time]],Upgrades[],MATCH("T"&amp;TimeRemaining[#Headers],Upgrades[#Headers],0),FALSE),0)*MAX(0,SUM($G54:K54)),0)</f>
        <v>0</v>
      </c>
      <c r="K158" s="110">
        <f>IF(VALUE(TimeRemaining[#Headers])&lt;=$F54,IFERROR(VLOOKUP(TimeRemaining[[#This Row],[Time]],Upgrades[],MATCH("T"&amp;TimeRemaining[#Headers],Upgrades[#Headers],0),FALSE),0)*MAX(0,SUM($G54:L54)),0)</f>
        <v>0</v>
      </c>
      <c r="L158" s="110">
        <f>IF(VALUE(TimeRemaining[#Headers])&lt;=$F54,IFERROR(VLOOKUP(TimeRemaining[[#This Row],[Time]],Upgrades[],MATCH("T"&amp;TimeRemaining[#Headers],Upgrades[#Headers],0),FALSE),0)*MAX(0,SUM($G54:M54)),0)</f>
        <v>0</v>
      </c>
      <c r="M158" s="110">
        <f>IF(VALUE(TimeRemaining[#Headers])&lt;=$F54,IFERROR(VLOOKUP(TimeRemaining[[#This Row],[Time]],Upgrades[],MATCH("T"&amp;TimeRemaining[#Headers],Upgrades[#Headers],0),FALSE),0)*MAX(0,SUM($G54:N54)),0)</f>
        <v>0</v>
      </c>
      <c r="N158" s="110">
        <f>IF(VALUE(TimeRemaining[#Headers])&lt;=$F54,IFERROR(VLOOKUP(TimeRemaining[[#This Row],[Time]],Upgrades[],MATCH("T"&amp;TimeRemaining[#Headers],Upgrades[#Headers],0),FALSE),0)*MAX(0,SUM($G54:O54)),0)</f>
        <v>0</v>
      </c>
      <c r="O158" s="110">
        <f>IF(VALUE(TimeRemaining[#Headers])&lt;=$F54,IFERROR(VLOOKUP(TimeRemaining[[#This Row],[Time]],Upgrades[],MATCH("T"&amp;TimeRemaining[#Headers],Upgrades[#Headers],0),FALSE),0)*MAX(0,SUM($G54:P54)),0)</f>
        <v>0</v>
      </c>
      <c r="P158" s="110">
        <f>IF(VALUE(TimeRemaining[#Headers])&lt;=$F54,IFERROR(VLOOKUP(TimeRemaining[[#This Row],[Time]],Upgrades[],MATCH("T"&amp;TimeRemaining[#Headers],Upgrades[#Headers],0),FALSE),0)*MAX(0,SUM($G54:Q54)),0)</f>
        <v>0</v>
      </c>
      <c r="Q158" s="110">
        <f>IF(VALUE(TimeRemaining[#Headers])&lt;=$F54,IFERROR(VLOOKUP(TimeRemaining[[#This Row],[Time]],Upgrades[],MATCH("T"&amp;TimeRemaining[#Headers],Upgrades[#Headers],0),FALSE),0)*MAX(0,SUM($G54:R54)),0)</f>
        <v>0</v>
      </c>
      <c r="R158" s="110">
        <f>IF(TimeRemaining[[#This Row],[MatchStr]]="IGNORE",0,SUM(TimeRemaining[[#This Row],[1]:[12]]))</f>
        <v>3</v>
      </c>
    </row>
    <row r="159" spans="1:18">
      <c r="A159" s="47" t="s">
        <v>91</v>
      </c>
      <c r="B159" s="103" t="str">
        <f>VLOOKUP(TimeRemaining[[#This Row],[Time]],Upgrades[],2,FALSE)</f>
        <v>Upgrade</v>
      </c>
      <c r="C159" s="103" t="str">
        <f>VLOOKUP(TimeRemaining[[#This Row],[Time]],Upgrades[],3,FALSE)</f>
        <v>Elixir</v>
      </c>
      <c r="D159" s="104" t="str">
        <f>IF((IFERROR(MATCH(TimeRemaining[[#This Row],[Time]],$O$16:$S$16,0),0)+IFERROR(MATCH(TimeRemaining[[#This Row],[Time]],$O$17:$S$17,0),0))&gt;0,"IGNORE",TimeRemaining[Kind]&amp;"-"&amp;TimeRemaining[Resource])</f>
        <v>Upgrade-Elixir</v>
      </c>
      <c r="E159" s="101" t="str">
        <f>IFERROR(VLOOKUP(TimeRemaining[[#This Row],[Time]],Upgrades[],MATCH("T"&amp;MATCH(TRUE,INDEX(TimeRemaining[[#This Row],[1]:[12]]&lt;&gt;0,),0),Upgrades[#Headers],0),FALSE),"")</f>
        <v/>
      </c>
      <c r="F159" s="110">
        <f>IF(VALUE(TimeRemaining[#Headers])&lt;=$F55,IFERROR(VLOOKUP(TimeRemaining[[#This Row],[Time]],Upgrades[],MATCH("T"&amp;TimeRemaining[#Headers],Upgrades[#Headers],0),FALSE),0)*MAX(0,SUM($G55:G55)),0)</f>
        <v>0</v>
      </c>
      <c r="G159" s="110">
        <f>IF(VALUE(TimeRemaining[#Headers])&lt;=$F55,IFERROR(VLOOKUP(TimeRemaining[[#This Row],[Time]],Upgrades[],MATCH("T"&amp;TimeRemaining[#Headers],Upgrades[#Headers],0),FALSE),0)*MAX(0,SUM($G55:H55)),0)</f>
        <v>0</v>
      </c>
      <c r="H159" s="110">
        <f>IF(VALUE(TimeRemaining[#Headers])&lt;=$F55,IFERROR(VLOOKUP(TimeRemaining[[#This Row],[Time]],Upgrades[],MATCH("T"&amp;TimeRemaining[#Headers],Upgrades[#Headers],0),FALSE),0)*MAX(0,SUM($G55:I55)),0)</f>
        <v>0</v>
      </c>
      <c r="I159" s="110">
        <f>IF(VALUE(TimeRemaining[#Headers])&lt;=$F55,IFERROR(VLOOKUP(TimeRemaining[[#This Row],[Time]],Upgrades[],MATCH("T"&amp;TimeRemaining[#Headers],Upgrades[#Headers],0),FALSE),0)*MAX(0,SUM($G55:J55)),0)</f>
        <v>0</v>
      </c>
      <c r="J159" s="110">
        <f>IF(VALUE(TimeRemaining[#Headers])&lt;=$F55,IFERROR(VLOOKUP(TimeRemaining[[#This Row],[Time]],Upgrades[],MATCH("T"&amp;TimeRemaining[#Headers],Upgrades[#Headers],0),FALSE),0)*MAX(0,SUM($G55:K55)),0)</f>
        <v>0</v>
      </c>
      <c r="K159" s="110">
        <f>IF(VALUE(TimeRemaining[#Headers])&lt;=$F55,IFERROR(VLOOKUP(TimeRemaining[[#This Row],[Time]],Upgrades[],MATCH("T"&amp;TimeRemaining[#Headers],Upgrades[#Headers],0),FALSE),0)*MAX(0,SUM($G55:L55)),0)</f>
        <v>0</v>
      </c>
      <c r="L159" s="110">
        <f>IF(VALUE(TimeRemaining[#Headers])&lt;=$F55,IFERROR(VLOOKUP(TimeRemaining[[#This Row],[Time]],Upgrades[],MATCH("T"&amp;TimeRemaining[#Headers],Upgrades[#Headers],0),FALSE),0)*MAX(0,SUM($G55:M55)),0)</f>
        <v>0</v>
      </c>
      <c r="M159" s="110">
        <f>IF(VALUE(TimeRemaining[#Headers])&lt;=$F55,IFERROR(VLOOKUP(TimeRemaining[[#This Row],[Time]],Upgrades[],MATCH("T"&amp;TimeRemaining[#Headers],Upgrades[#Headers],0),FALSE),0)*MAX(0,SUM($G55:N55)),0)</f>
        <v>0</v>
      </c>
      <c r="N159" s="110">
        <f>IF(VALUE(TimeRemaining[#Headers])&lt;=$F55,IFERROR(VLOOKUP(TimeRemaining[[#This Row],[Time]],Upgrades[],MATCH("T"&amp;TimeRemaining[#Headers],Upgrades[#Headers],0),FALSE),0)*MAX(0,SUM($G55:O55)),0)</f>
        <v>0</v>
      </c>
      <c r="O159" s="110">
        <f>IF(VALUE(TimeRemaining[#Headers])&lt;=$F55,IFERROR(VLOOKUP(TimeRemaining[[#This Row],[Time]],Upgrades[],MATCH("T"&amp;TimeRemaining[#Headers],Upgrades[#Headers],0),FALSE),0)*MAX(0,SUM($G55:P55)),0)</f>
        <v>0</v>
      </c>
      <c r="P159" s="110">
        <f>IF(VALUE(TimeRemaining[#Headers])&lt;=$F55,IFERROR(VLOOKUP(TimeRemaining[[#This Row],[Time]],Upgrades[],MATCH("T"&amp;TimeRemaining[#Headers],Upgrades[#Headers],0),FALSE),0)*MAX(0,SUM($G55:Q55)),0)</f>
        <v>0</v>
      </c>
      <c r="Q159" s="110">
        <f>IF(VALUE(TimeRemaining[#Headers])&lt;=$F55,IFERROR(VLOOKUP(TimeRemaining[[#This Row],[Time]],Upgrades[],MATCH("T"&amp;TimeRemaining[#Headers],Upgrades[#Headers],0),FALSE),0)*MAX(0,SUM($G55:R55)),0)</f>
        <v>0</v>
      </c>
      <c r="R159" s="110">
        <f>IF(TimeRemaining[[#This Row],[MatchStr]]="IGNORE",0,SUM(TimeRemaining[[#This Row],[1]:[12]]))</f>
        <v>0</v>
      </c>
    </row>
    <row r="160" spans="1:18">
      <c r="A160" s="47" t="s">
        <v>92</v>
      </c>
      <c r="B160" s="103" t="str">
        <f>VLOOKUP(TimeRemaining[[#This Row],[Time]],Upgrades[],2,FALSE)</f>
        <v>Upgrade</v>
      </c>
      <c r="C160" s="103" t="str">
        <f>VLOOKUP(TimeRemaining[[#This Row],[Time]],Upgrades[],3,FALSE)</f>
        <v>Elixir</v>
      </c>
      <c r="D160" s="104" t="str">
        <f>IF((IFERROR(MATCH(TimeRemaining[[#This Row],[Time]],$O$16:$S$16,0),0)+IFERROR(MATCH(TimeRemaining[[#This Row],[Time]],$O$17:$S$17,0),0))&gt;0,"IGNORE",TimeRemaining[Kind]&amp;"-"&amp;TimeRemaining[Resource])</f>
        <v>Upgrade-Elixir</v>
      </c>
      <c r="E160" s="101">
        <f>IFERROR(VLOOKUP(TimeRemaining[[#This Row],[Time]],Upgrades[],MATCH("T"&amp;MATCH(TRUE,INDEX(TimeRemaining[[#This Row],[1]:[12]]&lt;&gt;0,),0),Upgrades[#Headers],0),FALSE),"")</f>
        <v>7</v>
      </c>
      <c r="F160" s="110">
        <f>IF(VALUE(TimeRemaining[#Headers])&lt;=$F56,IFERROR(VLOOKUP(TimeRemaining[[#This Row],[Time]],Upgrades[],MATCH("T"&amp;TimeRemaining[#Headers],Upgrades[#Headers],0),FALSE),0)*MAX(0,SUM($G56:G56)),0)</f>
        <v>0</v>
      </c>
      <c r="G160" s="110">
        <f>IF(VALUE(TimeRemaining[#Headers])&lt;=$F56,IFERROR(VLOOKUP(TimeRemaining[[#This Row],[Time]],Upgrades[],MATCH("T"&amp;TimeRemaining[#Headers],Upgrades[#Headers],0),FALSE),0)*MAX(0,SUM($G56:H56)),0)</f>
        <v>7</v>
      </c>
      <c r="H160" s="110">
        <f>IF(VALUE(TimeRemaining[#Headers])&lt;=$F56,IFERROR(VLOOKUP(TimeRemaining[[#This Row],[Time]],Upgrades[],MATCH("T"&amp;TimeRemaining[#Headers],Upgrades[#Headers],0),FALSE),0)*MAX(0,SUM($G56:I56)),0)</f>
        <v>0</v>
      </c>
      <c r="I160" s="110">
        <f>IF(VALUE(TimeRemaining[#Headers])&lt;=$F56,IFERROR(VLOOKUP(TimeRemaining[[#This Row],[Time]],Upgrades[],MATCH("T"&amp;TimeRemaining[#Headers],Upgrades[#Headers],0),FALSE),0)*MAX(0,SUM($G56:J56)),0)</f>
        <v>0</v>
      </c>
      <c r="J160" s="110">
        <f>IF(VALUE(TimeRemaining[#Headers])&lt;=$F56,IFERROR(VLOOKUP(TimeRemaining[[#This Row],[Time]],Upgrades[],MATCH("T"&amp;TimeRemaining[#Headers],Upgrades[#Headers],0),FALSE),0)*MAX(0,SUM($G56:K56)),0)</f>
        <v>0</v>
      </c>
      <c r="K160" s="110">
        <f>IF(VALUE(TimeRemaining[#Headers])&lt;=$F56,IFERROR(VLOOKUP(TimeRemaining[[#This Row],[Time]],Upgrades[],MATCH("T"&amp;TimeRemaining[#Headers],Upgrades[#Headers],0),FALSE),0)*MAX(0,SUM($G56:L56)),0)</f>
        <v>0</v>
      </c>
      <c r="L160" s="110">
        <f>IF(VALUE(TimeRemaining[#Headers])&lt;=$F56,IFERROR(VLOOKUP(TimeRemaining[[#This Row],[Time]],Upgrades[],MATCH("T"&amp;TimeRemaining[#Headers],Upgrades[#Headers],0),FALSE),0)*MAX(0,SUM($G56:M56)),0)</f>
        <v>0</v>
      </c>
      <c r="M160" s="110">
        <f>IF(VALUE(TimeRemaining[#Headers])&lt;=$F56,IFERROR(VLOOKUP(TimeRemaining[[#This Row],[Time]],Upgrades[],MATCH("T"&amp;TimeRemaining[#Headers],Upgrades[#Headers],0),FALSE),0)*MAX(0,SUM($G56:N56)),0)</f>
        <v>0</v>
      </c>
      <c r="N160" s="110">
        <f>IF(VALUE(TimeRemaining[#Headers])&lt;=$F56,IFERROR(VLOOKUP(TimeRemaining[[#This Row],[Time]],Upgrades[],MATCH("T"&amp;TimeRemaining[#Headers],Upgrades[#Headers],0),FALSE),0)*MAX(0,SUM($G56:O56)),0)</f>
        <v>0</v>
      </c>
      <c r="O160" s="110">
        <f>IF(VALUE(TimeRemaining[#Headers])&lt;=$F56,IFERROR(VLOOKUP(TimeRemaining[[#This Row],[Time]],Upgrades[],MATCH("T"&amp;TimeRemaining[#Headers],Upgrades[#Headers],0),FALSE),0)*MAX(0,SUM($G56:P56)),0)</f>
        <v>0</v>
      </c>
      <c r="P160" s="110">
        <f>IF(VALUE(TimeRemaining[#Headers])&lt;=$F56,IFERROR(VLOOKUP(TimeRemaining[[#This Row],[Time]],Upgrades[],MATCH("T"&amp;TimeRemaining[#Headers],Upgrades[#Headers],0),FALSE),0)*MAX(0,SUM($G56:Q56)),0)</f>
        <v>0</v>
      </c>
      <c r="Q160" s="110">
        <f>IF(VALUE(TimeRemaining[#Headers])&lt;=$F56,IFERROR(VLOOKUP(TimeRemaining[[#This Row],[Time]],Upgrades[],MATCH("T"&amp;TimeRemaining[#Headers],Upgrades[#Headers],0),FALSE),0)*MAX(0,SUM($G56:R56)),0)</f>
        <v>0</v>
      </c>
      <c r="R160" s="110">
        <f>IF(TimeRemaining[[#This Row],[MatchStr]]="IGNORE",0,SUM(TimeRemaining[[#This Row],[1]:[12]]))</f>
        <v>7</v>
      </c>
    </row>
    <row r="161" spans="1:18">
      <c r="A161" s="47" t="s">
        <v>93</v>
      </c>
      <c r="B161" s="103" t="str">
        <f>VLOOKUP(TimeRemaining[[#This Row],[Time]],Upgrades[],2,FALSE)</f>
        <v>Upgrade</v>
      </c>
      <c r="C161" s="103" t="str">
        <f>VLOOKUP(TimeRemaining[[#This Row],[Time]],Upgrades[],3,FALSE)</f>
        <v>Elixir</v>
      </c>
      <c r="D161" s="104" t="str">
        <f>IF((IFERROR(MATCH(TimeRemaining[[#This Row],[Time]],$O$16:$S$16,0),0)+IFERROR(MATCH(TimeRemaining[[#This Row],[Time]],$O$17:$S$17,0),0))&gt;0,"IGNORE",TimeRemaining[Kind]&amp;"-"&amp;TimeRemaining[Resource])</f>
        <v>Upgrade-Elixir</v>
      </c>
      <c r="E161" s="101" t="str">
        <f>IFERROR(VLOOKUP(TimeRemaining[[#This Row],[Time]],Upgrades[],MATCH("T"&amp;MATCH(TRUE,INDEX(TimeRemaining[[#This Row],[1]:[12]]&lt;&gt;0,),0),Upgrades[#Headers],0),FALSE),"")</f>
        <v/>
      </c>
      <c r="F161" s="110">
        <f>IF(VALUE(TimeRemaining[#Headers])&lt;=$F57,IFERROR(VLOOKUP(TimeRemaining[[#This Row],[Time]],Upgrades[],MATCH("T"&amp;TimeRemaining[#Headers],Upgrades[#Headers],0),FALSE),0)*MAX(0,SUM($G57:G57)),0)</f>
        <v>0</v>
      </c>
      <c r="G161" s="110">
        <f>IF(VALUE(TimeRemaining[#Headers])&lt;=$F57,IFERROR(VLOOKUP(TimeRemaining[[#This Row],[Time]],Upgrades[],MATCH("T"&amp;TimeRemaining[#Headers],Upgrades[#Headers],0),FALSE),0)*MAX(0,SUM($G57:H57)),0)</f>
        <v>0</v>
      </c>
      <c r="H161" s="110">
        <f>IF(VALUE(TimeRemaining[#Headers])&lt;=$F57,IFERROR(VLOOKUP(TimeRemaining[[#This Row],[Time]],Upgrades[],MATCH("T"&amp;TimeRemaining[#Headers],Upgrades[#Headers],0),FALSE),0)*MAX(0,SUM($G57:I57)),0)</f>
        <v>0</v>
      </c>
      <c r="I161" s="110">
        <f>IF(VALUE(TimeRemaining[#Headers])&lt;=$F57,IFERROR(VLOOKUP(TimeRemaining[[#This Row],[Time]],Upgrades[],MATCH("T"&amp;TimeRemaining[#Headers],Upgrades[#Headers],0),FALSE),0)*MAX(0,SUM($G57:J57)),0)</f>
        <v>0</v>
      </c>
      <c r="J161" s="110">
        <f>IF(VALUE(TimeRemaining[#Headers])&lt;=$F57,IFERROR(VLOOKUP(TimeRemaining[[#This Row],[Time]],Upgrades[],MATCH("T"&amp;TimeRemaining[#Headers],Upgrades[#Headers],0),FALSE),0)*MAX(0,SUM($G57:K57)),0)</f>
        <v>0</v>
      </c>
      <c r="K161" s="110">
        <f>IF(VALUE(TimeRemaining[#Headers])&lt;=$F57,IFERROR(VLOOKUP(TimeRemaining[[#This Row],[Time]],Upgrades[],MATCH("T"&amp;TimeRemaining[#Headers],Upgrades[#Headers],0),FALSE),0)*MAX(0,SUM($G57:L57)),0)</f>
        <v>0</v>
      </c>
      <c r="L161" s="110">
        <f>IF(VALUE(TimeRemaining[#Headers])&lt;=$F57,IFERROR(VLOOKUP(TimeRemaining[[#This Row],[Time]],Upgrades[],MATCH("T"&amp;TimeRemaining[#Headers],Upgrades[#Headers],0),FALSE),0)*MAX(0,SUM($G57:M57)),0)</f>
        <v>0</v>
      </c>
      <c r="M161" s="110">
        <f>IF(VALUE(TimeRemaining[#Headers])&lt;=$F57,IFERROR(VLOOKUP(TimeRemaining[[#This Row],[Time]],Upgrades[],MATCH("T"&amp;TimeRemaining[#Headers],Upgrades[#Headers],0),FALSE),0)*MAX(0,SUM($G57:N57)),0)</f>
        <v>0</v>
      </c>
      <c r="N161" s="110">
        <f>IF(VALUE(TimeRemaining[#Headers])&lt;=$F57,IFERROR(VLOOKUP(TimeRemaining[[#This Row],[Time]],Upgrades[],MATCH("T"&amp;TimeRemaining[#Headers],Upgrades[#Headers],0),FALSE),0)*MAX(0,SUM($G57:O57)),0)</f>
        <v>0</v>
      </c>
      <c r="O161" s="110">
        <f>IF(VALUE(TimeRemaining[#Headers])&lt;=$F57,IFERROR(VLOOKUP(TimeRemaining[[#This Row],[Time]],Upgrades[],MATCH("T"&amp;TimeRemaining[#Headers],Upgrades[#Headers],0),FALSE),0)*MAX(0,SUM($G57:P57)),0)</f>
        <v>0</v>
      </c>
      <c r="P161" s="110">
        <f>IF(VALUE(TimeRemaining[#Headers])&lt;=$F57,IFERROR(VLOOKUP(TimeRemaining[[#This Row],[Time]],Upgrades[],MATCH("T"&amp;TimeRemaining[#Headers],Upgrades[#Headers],0),FALSE),0)*MAX(0,SUM($G57:Q57)),0)</f>
        <v>0</v>
      </c>
      <c r="Q161" s="110">
        <f>IF(VALUE(TimeRemaining[#Headers])&lt;=$F57,IFERROR(VLOOKUP(TimeRemaining[[#This Row],[Time]],Upgrades[],MATCH("T"&amp;TimeRemaining[#Headers],Upgrades[#Headers],0),FALSE),0)*MAX(0,SUM($G57:R57)),0)</f>
        <v>0</v>
      </c>
      <c r="R161" s="110">
        <f>IF(TimeRemaining[[#This Row],[MatchStr]]="IGNORE",0,SUM(TimeRemaining[[#This Row],[1]:[12]]))</f>
        <v>0</v>
      </c>
    </row>
    <row r="162" spans="1:18">
      <c r="A162" s="47" t="s">
        <v>94</v>
      </c>
      <c r="B162" s="103" t="str">
        <f>VLOOKUP(TimeRemaining[[#This Row],[Time]],Upgrades[],2,FALSE)</f>
        <v>Upgrade</v>
      </c>
      <c r="C162" s="103" t="str">
        <f>VLOOKUP(TimeRemaining[[#This Row],[Time]],Upgrades[],3,FALSE)</f>
        <v>Elixir</v>
      </c>
      <c r="D162" s="104" t="str">
        <f>IF((IFERROR(MATCH(TimeRemaining[[#This Row],[Time]],$O$16:$S$16,0),0)+IFERROR(MATCH(TimeRemaining[[#This Row],[Time]],$O$17:$S$17,0),0))&gt;0,"IGNORE",TimeRemaining[Kind]&amp;"-"&amp;TimeRemaining[Resource])</f>
        <v>Upgrade-Elixir</v>
      </c>
      <c r="E162" s="101">
        <f>IFERROR(VLOOKUP(TimeRemaining[[#This Row],[Time]],Upgrades[],MATCH("T"&amp;MATCH(TRUE,INDEX(TimeRemaining[[#This Row],[1]:[12]]&lt;&gt;0,),0),Upgrades[#Headers],0),FALSE),"")</f>
        <v>3</v>
      </c>
      <c r="F162" s="110">
        <f>IF(VALUE(TimeRemaining[#Headers])&lt;=$F58,IFERROR(VLOOKUP(TimeRemaining[[#This Row],[Time]],Upgrades[],MATCH("T"&amp;TimeRemaining[#Headers],Upgrades[#Headers],0),FALSE),0)*MAX(0,SUM($G58:G58)),0)</f>
        <v>0</v>
      </c>
      <c r="G162" s="110">
        <f>IF(VALUE(TimeRemaining[#Headers])&lt;=$F58,IFERROR(VLOOKUP(TimeRemaining[[#This Row],[Time]],Upgrades[],MATCH("T"&amp;TimeRemaining[#Headers],Upgrades[#Headers],0),FALSE),0)*MAX(0,SUM($G58:H58)),0)</f>
        <v>0</v>
      </c>
      <c r="H162" s="110">
        <f>IF(VALUE(TimeRemaining[#Headers])&lt;=$F58,IFERROR(VLOOKUP(TimeRemaining[[#This Row],[Time]],Upgrades[],MATCH("T"&amp;TimeRemaining[#Headers],Upgrades[#Headers],0),FALSE),0)*MAX(0,SUM($G58:I58)),0)</f>
        <v>0</v>
      </c>
      <c r="I162" s="110">
        <f>IF(VALUE(TimeRemaining[#Headers])&lt;=$F58,IFERROR(VLOOKUP(TimeRemaining[[#This Row],[Time]],Upgrades[],MATCH("T"&amp;TimeRemaining[#Headers],Upgrades[#Headers],0),FALSE),0)*MAX(0,SUM($G58:J58)),0)</f>
        <v>3</v>
      </c>
      <c r="J162" s="110">
        <f>IF(VALUE(TimeRemaining[#Headers])&lt;=$F58,IFERROR(VLOOKUP(TimeRemaining[[#This Row],[Time]],Upgrades[],MATCH("T"&amp;TimeRemaining[#Headers],Upgrades[#Headers],0),FALSE),0)*MAX(0,SUM($G58:K58)),0)</f>
        <v>0</v>
      </c>
      <c r="K162" s="110">
        <f>IF(VALUE(TimeRemaining[#Headers])&lt;=$F58,IFERROR(VLOOKUP(TimeRemaining[[#This Row],[Time]],Upgrades[],MATCH("T"&amp;TimeRemaining[#Headers],Upgrades[#Headers],0),FALSE),0)*MAX(0,SUM($G58:L58)),0)</f>
        <v>0</v>
      </c>
      <c r="L162" s="110">
        <f>IF(VALUE(TimeRemaining[#Headers])&lt;=$F58,IFERROR(VLOOKUP(TimeRemaining[[#This Row],[Time]],Upgrades[],MATCH("T"&amp;TimeRemaining[#Headers],Upgrades[#Headers],0),FALSE),0)*MAX(0,SUM($G58:M58)),0)</f>
        <v>0</v>
      </c>
      <c r="M162" s="110">
        <f>IF(VALUE(TimeRemaining[#Headers])&lt;=$F58,IFERROR(VLOOKUP(TimeRemaining[[#This Row],[Time]],Upgrades[],MATCH("T"&amp;TimeRemaining[#Headers],Upgrades[#Headers],0),FALSE),0)*MAX(0,SUM($G58:N58)),0)</f>
        <v>0</v>
      </c>
      <c r="N162" s="110">
        <f>IF(VALUE(TimeRemaining[#Headers])&lt;=$F58,IFERROR(VLOOKUP(TimeRemaining[[#This Row],[Time]],Upgrades[],MATCH("T"&amp;TimeRemaining[#Headers],Upgrades[#Headers],0),FALSE),0)*MAX(0,SUM($G58:O58)),0)</f>
        <v>0</v>
      </c>
      <c r="O162" s="110">
        <f>IF(VALUE(TimeRemaining[#Headers])&lt;=$F58,IFERROR(VLOOKUP(TimeRemaining[[#This Row],[Time]],Upgrades[],MATCH("T"&amp;TimeRemaining[#Headers],Upgrades[#Headers],0),FALSE),0)*MAX(0,SUM($G58:P58)),0)</f>
        <v>0</v>
      </c>
      <c r="P162" s="110">
        <f>IF(VALUE(TimeRemaining[#Headers])&lt;=$F58,IFERROR(VLOOKUP(TimeRemaining[[#This Row],[Time]],Upgrades[],MATCH("T"&amp;TimeRemaining[#Headers],Upgrades[#Headers],0),FALSE),0)*MAX(0,SUM($G58:Q58)),0)</f>
        <v>0</v>
      </c>
      <c r="Q162" s="110">
        <f>IF(VALUE(TimeRemaining[#Headers])&lt;=$F58,IFERROR(VLOOKUP(TimeRemaining[[#This Row],[Time]],Upgrades[],MATCH("T"&amp;TimeRemaining[#Headers],Upgrades[#Headers],0),FALSE),0)*MAX(0,SUM($G58:R58)),0)</f>
        <v>0</v>
      </c>
      <c r="R162" s="110">
        <f>IF(TimeRemaining[[#This Row],[MatchStr]]="IGNORE",0,SUM(TimeRemaining[[#This Row],[1]:[12]]))</f>
        <v>3</v>
      </c>
    </row>
    <row r="163" spans="1:18">
      <c r="A163" s="47" t="s">
        <v>95</v>
      </c>
      <c r="B163" s="103" t="str">
        <f>VLOOKUP(TimeRemaining[[#This Row],[Time]],Upgrades[],2,FALSE)</f>
        <v>Upgrade</v>
      </c>
      <c r="C163" s="103" t="str">
        <f>VLOOKUP(TimeRemaining[[#This Row],[Time]],Upgrades[],3,FALSE)</f>
        <v>Elixir</v>
      </c>
      <c r="D163" s="104" t="str">
        <f>IF((IFERROR(MATCH(TimeRemaining[[#This Row],[Time]],$O$16:$S$16,0),0)+IFERROR(MATCH(TimeRemaining[[#This Row],[Time]],$O$17:$S$17,0),0))&gt;0,"IGNORE",TimeRemaining[Kind]&amp;"-"&amp;TimeRemaining[Resource])</f>
        <v>Upgrade-Elixir</v>
      </c>
      <c r="E163" s="101">
        <f>IFERROR(VLOOKUP(TimeRemaining[[#This Row],[Time]],Upgrades[],MATCH("T"&amp;MATCH(TRUE,INDEX(TimeRemaining[[#This Row],[1]:[12]]&lt;&gt;0,),0),Upgrades[#Headers],0),FALSE),"")</f>
        <v>3</v>
      </c>
      <c r="F163" s="110">
        <f>IF(VALUE(TimeRemaining[#Headers])&lt;=$F59,IFERROR(VLOOKUP(TimeRemaining[[#This Row],[Time]],Upgrades[],MATCH("T"&amp;TimeRemaining[#Headers],Upgrades[#Headers],0),FALSE),0)*MAX(0,SUM($G59:G59)),0)</f>
        <v>0</v>
      </c>
      <c r="G163" s="110">
        <f>IF(VALUE(TimeRemaining[#Headers])&lt;=$F59,IFERROR(VLOOKUP(TimeRemaining[[#This Row],[Time]],Upgrades[],MATCH("T"&amp;TimeRemaining[#Headers],Upgrades[#Headers],0),FALSE),0)*MAX(0,SUM($G59:H59)),0)</f>
        <v>0</v>
      </c>
      <c r="H163" s="110">
        <f>IF(VALUE(TimeRemaining[#Headers])&lt;=$F59,IFERROR(VLOOKUP(TimeRemaining[[#This Row],[Time]],Upgrades[],MATCH("T"&amp;TimeRemaining[#Headers],Upgrades[#Headers],0),FALSE),0)*MAX(0,SUM($G59:I59)),0)</f>
        <v>0</v>
      </c>
      <c r="I163" s="110">
        <f>IF(VALUE(TimeRemaining[#Headers])&lt;=$F59,IFERROR(VLOOKUP(TimeRemaining[[#This Row],[Time]],Upgrades[],MATCH("T"&amp;TimeRemaining[#Headers],Upgrades[#Headers],0),FALSE),0)*MAX(0,SUM($G59:J59)),0)</f>
        <v>3</v>
      </c>
      <c r="J163" s="110">
        <f>IF(VALUE(TimeRemaining[#Headers])&lt;=$F59,IFERROR(VLOOKUP(TimeRemaining[[#This Row],[Time]],Upgrades[],MATCH("T"&amp;TimeRemaining[#Headers],Upgrades[#Headers],0),FALSE),0)*MAX(0,SUM($G59:K59)),0)</f>
        <v>0</v>
      </c>
      <c r="K163" s="110">
        <f>IF(VALUE(TimeRemaining[#Headers])&lt;=$F59,IFERROR(VLOOKUP(TimeRemaining[[#This Row],[Time]],Upgrades[],MATCH("T"&amp;TimeRemaining[#Headers],Upgrades[#Headers],0),FALSE),0)*MAX(0,SUM($G59:L59)),0)</f>
        <v>0</v>
      </c>
      <c r="L163" s="110">
        <f>IF(VALUE(TimeRemaining[#Headers])&lt;=$F59,IFERROR(VLOOKUP(TimeRemaining[[#This Row],[Time]],Upgrades[],MATCH("T"&amp;TimeRemaining[#Headers],Upgrades[#Headers],0),FALSE),0)*MAX(0,SUM($G59:M59)),0)</f>
        <v>0</v>
      </c>
      <c r="M163" s="110">
        <f>IF(VALUE(TimeRemaining[#Headers])&lt;=$F59,IFERROR(VLOOKUP(TimeRemaining[[#This Row],[Time]],Upgrades[],MATCH("T"&amp;TimeRemaining[#Headers],Upgrades[#Headers],0),FALSE),0)*MAX(0,SUM($G59:N59)),0)</f>
        <v>0</v>
      </c>
      <c r="N163" s="110">
        <f>IF(VALUE(TimeRemaining[#Headers])&lt;=$F59,IFERROR(VLOOKUP(TimeRemaining[[#This Row],[Time]],Upgrades[],MATCH("T"&amp;TimeRemaining[#Headers],Upgrades[#Headers],0),FALSE),0)*MAX(0,SUM($G59:O59)),0)</f>
        <v>0</v>
      </c>
      <c r="O163" s="110">
        <f>IF(VALUE(TimeRemaining[#Headers])&lt;=$F59,IFERROR(VLOOKUP(TimeRemaining[[#This Row],[Time]],Upgrades[],MATCH("T"&amp;TimeRemaining[#Headers],Upgrades[#Headers],0),FALSE),0)*MAX(0,SUM($G59:P59)),0)</f>
        <v>0</v>
      </c>
      <c r="P163" s="110">
        <f>IF(VALUE(TimeRemaining[#Headers])&lt;=$F59,IFERROR(VLOOKUP(TimeRemaining[[#This Row],[Time]],Upgrades[],MATCH("T"&amp;TimeRemaining[#Headers],Upgrades[#Headers],0),FALSE),0)*MAX(0,SUM($G59:Q59)),0)</f>
        <v>0</v>
      </c>
      <c r="Q163" s="110">
        <f>IF(VALUE(TimeRemaining[#Headers])&lt;=$F59,IFERROR(VLOOKUP(TimeRemaining[[#This Row],[Time]],Upgrades[],MATCH("T"&amp;TimeRemaining[#Headers],Upgrades[#Headers],0),FALSE),0)*MAX(0,SUM($G59:R59)),0)</f>
        <v>0</v>
      </c>
      <c r="R163" s="110">
        <f>IF(TimeRemaining[[#This Row],[MatchStr]]="IGNORE",0,SUM(TimeRemaining[[#This Row],[1]:[12]]))</f>
        <v>3</v>
      </c>
    </row>
    <row r="164" spans="1:18">
      <c r="A164" s="47" t="s">
        <v>96</v>
      </c>
      <c r="B164" s="103" t="str">
        <f>VLOOKUP(TimeRemaining[[#This Row],[Time]],Upgrades[],2,FALSE)</f>
        <v>Upgrade</v>
      </c>
      <c r="C164" s="103" t="str">
        <f>VLOOKUP(TimeRemaining[[#This Row],[Time]],Upgrades[],3,FALSE)</f>
        <v>Elixir</v>
      </c>
      <c r="D164" s="104" t="str">
        <f>IF((IFERROR(MATCH(TimeRemaining[[#This Row],[Time]],$O$16:$S$16,0),0)+IFERROR(MATCH(TimeRemaining[[#This Row],[Time]],$O$17:$S$17,0),0))&gt;0,"IGNORE",TimeRemaining[Kind]&amp;"-"&amp;TimeRemaining[Resource])</f>
        <v>Upgrade-Elixir</v>
      </c>
      <c r="E164" s="101">
        <f>IFERROR(VLOOKUP(TimeRemaining[[#This Row],[Time]],Upgrades[],MATCH("T"&amp;MATCH(TRUE,INDEX(TimeRemaining[[#This Row],[1]:[12]]&lt;&gt;0,),0),Upgrades[#Headers],0),FALSE),"")</f>
        <v>3</v>
      </c>
      <c r="F164" s="110">
        <f>IF(VALUE(TimeRemaining[#Headers])&lt;=$F60,IFERROR(VLOOKUP(TimeRemaining[[#This Row],[Time]],Upgrades[],MATCH("T"&amp;TimeRemaining[#Headers],Upgrades[#Headers],0),FALSE),0)*MAX(0,SUM($G60:G60)),0)</f>
        <v>0</v>
      </c>
      <c r="G164" s="110">
        <f>IF(VALUE(TimeRemaining[#Headers])&lt;=$F60,IFERROR(VLOOKUP(TimeRemaining[[#This Row],[Time]],Upgrades[],MATCH("T"&amp;TimeRemaining[#Headers],Upgrades[#Headers],0),FALSE),0)*MAX(0,SUM($G60:H60)),0)</f>
        <v>0</v>
      </c>
      <c r="H164" s="110">
        <f>IF(VALUE(TimeRemaining[#Headers])&lt;=$F60,IFERROR(VLOOKUP(TimeRemaining[[#This Row],[Time]],Upgrades[],MATCH("T"&amp;TimeRemaining[#Headers],Upgrades[#Headers],0),FALSE),0)*MAX(0,SUM($G60:I60)),0)</f>
        <v>3</v>
      </c>
      <c r="I164" s="110">
        <f>IF(VALUE(TimeRemaining[#Headers])&lt;=$F60,IFERROR(VLOOKUP(TimeRemaining[[#This Row],[Time]],Upgrades[],MATCH("T"&amp;TimeRemaining[#Headers],Upgrades[#Headers],0),FALSE),0)*MAX(0,SUM($G60:J60)),0)</f>
        <v>5</v>
      </c>
      <c r="J164" s="110">
        <f>IF(VALUE(TimeRemaining[#Headers])&lt;=$F60,IFERROR(VLOOKUP(TimeRemaining[[#This Row],[Time]],Upgrades[],MATCH("T"&amp;TimeRemaining[#Headers],Upgrades[#Headers],0),FALSE),0)*MAX(0,SUM($G60:K60)),0)</f>
        <v>0</v>
      </c>
      <c r="K164" s="110">
        <f>IF(VALUE(TimeRemaining[#Headers])&lt;=$F60,IFERROR(VLOOKUP(TimeRemaining[[#This Row],[Time]],Upgrades[],MATCH("T"&amp;TimeRemaining[#Headers],Upgrades[#Headers],0),FALSE),0)*MAX(0,SUM($G60:L60)),0)</f>
        <v>0</v>
      </c>
      <c r="L164" s="110">
        <f>IF(VALUE(TimeRemaining[#Headers])&lt;=$F60,IFERROR(VLOOKUP(TimeRemaining[[#This Row],[Time]],Upgrades[],MATCH("T"&amp;TimeRemaining[#Headers],Upgrades[#Headers],0),FALSE),0)*MAX(0,SUM($G60:M60)),0)</f>
        <v>0</v>
      </c>
      <c r="M164" s="110">
        <f>IF(VALUE(TimeRemaining[#Headers])&lt;=$F60,IFERROR(VLOOKUP(TimeRemaining[[#This Row],[Time]],Upgrades[],MATCH("T"&amp;TimeRemaining[#Headers],Upgrades[#Headers],0),FALSE),0)*MAX(0,SUM($G60:N60)),0)</f>
        <v>0</v>
      </c>
      <c r="N164" s="110">
        <f>IF(VALUE(TimeRemaining[#Headers])&lt;=$F60,IFERROR(VLOOKUP(TimeRemaining[[#This Row],[Time]],Upgrades[],MATCH("T"&amp;TimeRemaining[#Headers],Upgrades[#Headers],0),FALSE),0)*MAX(0,SUM($G60:O60)),0)</f>
        <v>0</v>
      </c>
      <c r="O164" s="110">
        <f>IF(VALUE(TimeRemaining[#Headers])&lt;=$F60,IFERROR(VLOOKUP(TimeRemaining[[#This Row],[Time]],Upgrades[],MATCH("T"&amp;TimeRemaining[#Headers],Upgrades[#Headers],0),FALSE),0)*MAX(0,SUM($G60:P60)),0)</f>
        <v>0</v>
      </c>
      <c r="P164" s="110">
        <f>IF(VALUE(TimeRemaining[#Headers])&lt;=$F60,IFERROR(VLOOKUP(TimeRemaining[[#This Row],[Time]],Upgrades[],MATCH("T"&amp;TimeRemaining[#Headers],Upgrades[#Headers],0),FALSE),0)*MAX(0,SUM($G60:Q60)),0)</f>
        <v>0</v>
      </c>
      <c r="Q164" s="110">
        <f>IF(VALUE(TimeRemaining[#Headers])&lt;=$F60,IFERROR(VLOOKUP(TimeRemaining[[#This Row],[Time]],Upgrades[],MATCH("T"&amp;TimeRemaining[#Headers],Upgrades[#Headers],0),FALSE),0)*MAX(0,SUM($G60:R60)),0)</f>
        <v>0</v>
      </c>
      <c r="R164" s="110">
        <f>IF(TimeRemaining[[#This Row],[MatchStr]]="IGNORE",0,SUM(TimeRemaining[[#This Row],[1]:[12]]))</f>
        <v>8</v>
      </c>
    </row>
    <row r="165" spans="1:18">
      <c r="A165" s="47" t="s">
        <v>97</v>
      </c>
      <c r="B165" s="103" t="str">
        <f>VLOOKUP(TimeRemaining[[#This Row],[Time]],Upgrades[],2,FALSE)</f>
        <v>Upgrade</v>
      </c>
      <c r="C165" s="103" t="str">
        <f>VLOOKUP(TimeRemaining[[#This Row],[Time]],Upgrades[],3,FALSE)</f>
        <v>Elixir</v>
      </c>
      <c r="D165" s="104" t="str">
        <f>IF((IFERROR(MATCH(TimeRemaining[[#This Row],[Time]],$O$16:$S$16,0),0)+IFERROR(MATCH(TimeRemaining[[#This Row],[Time]],$O$17:$S$17,0),0))&gt;0,"IGNORE",TimeRemaining[Kind]&amp;"-"&amp;TimeRemaining[Resource])</f>
        <v>Upgrade-Elixir</v>
      </c>
      <c r="E165" s="101" t="str">
        <f>IFERROR(VLOOKUP(TimeRemaining[[#This Row],[Time]],Upgrades[],MATCH("T"&amp;MATCH(TRUE,INDEX(TimeRemaining[[#This Row],[1]:[12]]&lt;&gt;0,),0),Upgrades[#Headers],0),FALSE),"")</f>
        <v/>
      </c>
      <c r="F165" s="110">
        <f>IF(VALUE(TimeRemaining[#Headers])&lt;=$F61,IFERROR(VLOOKUP(TimeRemaining[[#This Row],[Time]],Upgrades[],MATCH("T"&amp;TimeRemaining[#Headers],Upgrades[#Headers],0),FALSE),0)*MAX(0,SUM($G61:G61)),0)</f>
        <v>0</v>
      </c>
      <c r="G165" s="110">
        <f>IF(VALUE(TimeRemaining[#Headers])&lt;=$F61,IFERROR(VLOOKUP(TimeRemaining[[#This Row],[Time]],Upgrades[],MATCH("T"&amp;TimeRemaining[#Headers],Upgrades[#Headers],0),FALSE),0)*MAX(0,SUM($G61:H61)),0)</f>
        <v>0</v>
      </c>
      <c r="H165" s="110">
        <f>IF(VALUE(TimeRemaining[#Headers])&lt;=$F61,IFERROR(VLOOKUP(TimeRemaining[[#This Row],[Time]],Upgrades[],MATCH("T"&amp;TimeRemaining[#Headers],Upgrades[#Headers],0),FALSE),0)*MAX(0,SUM($G61:I61)),0)</f>
        <v>0</v>
      </c>
      <c r="I165" s="110">
        <f>IF(VALUE(TimeRemaining[#Headers])&lt;=$F61,IFERROR(VLOOKUP(TimeRemaining[[#This Row],[Time]],Upgrades[],MATCH("T"&amp;TimeRemaining[#Headers],Upgrades[#Headers],0),FALSE),0)*MAX(0,SUM($G61:J61)),0)</f>
        <v>0</v>
      </c>
      <c r="J165" s="110">
        <f>IF(VALUE(TimeRemaining[#Headers])&lt;=$F61,IFERROR(VLOOKUP(TimeRemaining[[#This Row],[Time]],Upgrades[],MATCH("T"&amp;TimeRemaining[#Headers],Upgrades[#Headers],0),FALSE),0)*MAX(0,SUM($G61:K61)),0)</f>
        <v>0</v>
      </c>
      <c r="K165" s="110">
        <f>IF(VALUE(TimeRemaining[#Headers])&lt;=$F61,IFERROR(VLOOKUP(TimeRemaining[[#This Row],[Time]],Upgrades[],MATCH("T"&amp;TimeRemaining[#Headers],Upgrades[#Headers],0),FALSE),0)*MAX(0,SUM($G61:L61)),0)</f>
        <v>0</v>
      </c>
      <c r="L165" s="110">
        <f>IF(VALUE(TimeRemaining[#Headers])&lt;=$F61,IFERROR(VLOOKUP(TimeRemaining[[#This Row],[Time]],Upgrades[],MATCH("T"&amp;TimeRemaining[#Headers],Upgrades[#Headers],0),FALSE),0)*MAX(0,SUM($G61:M61)),0)</f>
        <v>0</v>
      </c>
      <c r="M165" s="110">
        <f>IF(VALUE(TimeRemaining[#Headers])&lt;=$F61,IFERROR(VLOOKUP(TimeRemaining[[#This Row],[Time]],Upgrades[],MATCH("T"&amp;TimeRemaining[#Headers],Upgrades[#Headers],0),FALSE),0)*MAX(0,SUM($G61:N61)),0)</f>
        <v>0</v>
      </c>
      <c r="N165" s="110">
        <f>IF(VALUE(TimeRemaining[#Headers])&lt;=$F61,IFERROR(VLOOKUP(TimeRemaining[[#This Row],[Time]],Upgrades[],MATCH("T"&amp;TimeRemaining[#Headers],Upgrades[#Headers],0),FALSE),0)*MAX(0,SUM($G61:O61)),0)</f>
        <v>0</v>
      </c>
      <c r="O165" s="110">
        <f>IF(VALUE(TimeRemaining[#Headers])&lt;=$F61,IFERROR(VLOOKUP(TimeRemaining[[#This Row],[Time]],Upgrades[],MATCH("T"&amp;TimeRemaining[#Headers],Upgrades[#Headers],0),FALSE),0)*MAX(0,SUM($G61:P61)),0)</f>
        <v>0</v>
      </c>
      <c r="P165" s="110">
        <f>IF(VALUE(TimeRemaining[#Headers])&lt;=$F61,IFERROR(VLOOKUP(TimeRemaining[[#This Row],[Time]],Upgrades[],MATCH("T"&amp;TimeRemaining[#Headers],Upgrades[#Headers],0),FALSE),0)*MAX(0,SUM($G61:Q61)),0)</f>
        <v>0</v>
      </c>
      <c r="Q165" s="110">
        <f>IF(VALUE(TimeRemaining[#Headers])&lt;=$F61,IFERROR(VLOOKUP(TimeRemaining[[#This Row],[Time]],Upgrades[],MATCH("T"&amp;TimeRemaining[#Headers],Upgrades[#Headers],0),FALSE),0)*MAX(0,SUM($G61:R61)),0)</f>
        <v>0</v>
      </c>
      <c r="R165" s="110">
        <f>IF(TimeRemaining[[#This Row],[MatchStr]]="IGNORE",0,SUM(TimeRemaining[[#This Row],[1]:[12]]))</f>
        <v>0</v>
      </c>
    </row>
    <row r="166" spans="1:18">
      <c r="A166" s="47" t="s">
        <v>98</v>
      </c>
      <c r="B166" s="103" t="str">
        <f>VLOOKUP(TimeRemaining[[#This Row],[Time]],Upgrades[],2,FALSE)</f>
        <v>Upgrade</v>
      </c>
      <c r="C166" s="103" t="str">
        <f>VLOOKUP(TimeRemaining[[#This Row],[Time]],Upgrades[],3,FALSE)</f>
        <v>Elixir</v>
      </c>
      <c r="D166" s="104" t="str">
        <f>IF((IFERROR(MATCH(TimeRemaining[[#This Row],[Time]],$O$16:$S$16,0),0)+IFERROR(MATCH(TimeRemaining[[#This Row],[Time]],$O$17:$S$17,0),0))&gt;0,"IGNORE",TimeRemaining[Kind]&amp;"-"&amp;TimeRemaining[Resource])</f>
        <v>Upgrade-Elixir</v>
      </c>
      <c r="E166" s="101" t="str">
        <f>IFERROR(VLOOKUP(TimeRemaining[[#This Row],[Time]],Upgrades[],MATCH("T"&amp;MATCH(TRUE,INDEX(TimeRemaining[[#This Row],[1]:[12]]&lt;&gt;0,),0),Upgrades[#Headers],0),FALSE),"")</f>
        <v/>
      </c>
      <c r="F166" s="110">
        <f>IF(VALUE(TimeRemaining[#Headers])&lt;=$F62,IFERROR(VLOOKUP(TimeRemaining[[#This Row],[Time]],Upgrades[],MATCH("T"&amp;TimeRemaining[#Headers],Upgrades[#Headers],0),FALSE),0)*MAX(0,SUM($G62:G62)),0)</f>
        <v>0</v>
      </c>
      <c r="G166" s="110">
        <f>IF(VALUE(TimeRemaining[#Headers])&lt;=$F62,IFERROR(VLOOKUP(TimeRemaining[[#This Row],[Time]],Upgrades[],MATCH("T"&amp;TimeRemaining[#Headers],Upgrades[#Headers],0),FALSE),0)*MAX(0,SUM($G62:H62)),0)</f>
        <v>0</v>
      </c>
      <c r="H166" s="110">
        <f>IF(VALUE(TimeRemaining[#Headers])&lt;=$F62,IFERROR(VLOOKUP(TimeRemaining[[#This Row],[Time]],Upgrades[],MATCH("T"&amp;TimeRemaining[#Headers],Upgrades[#Headers],0),FALSE),0)*MAX(0,SUM($G62:I62)),0)</f>
        <v>0</v>
      </c>
      <c r="I166" s="110">
        <f>IF(VALUE(TimeRemaining[#Headers])&lt;=$F62,IFERROR(VLOOKUP(TimeRemaining[[#This Row],[Time]],Upgrades[],MATCH("T"&amp;TimeRemaining[#Headers],Upgrades[#Headers],0),FALSE),0)*MAX(0,SUM($G62:J62)),0)</f>
        <v>0</v>
      </c>
      <c r="J166" s="110">
        <f>IF(VALUE(TimeRemaining[#Headers])&lt;=$F62,IFERROR(VLOOKUP(TimeRemaining[[#This Row],[Time]],Upgrades[],MATCH("T"&amp;TimeRemaining[#Headers],Upgrades[#Headers],0),FALSE),0)*MAX(0,SUM($G62:K62)),0)</f>
        <v>0</v>
      </c>
      <c r="K166" s="110">
        <f>IF(VALUE(TimeRemaining[#Headers])&lt;=$F62,IFERROR(VLOOKUP(TimeRemaining[[#This Row],[Time]],Upgrades[],MATCH("T"&amp;TimeRemaining[#Headers],Upgrades[#Headers],0),FALSE),0)*MAX(0,SUM($G62:L62)),0)</f>
        <v>0</v>
      </c>
      <c r="L166" s="110">
        <f>IF(VALUE(TimeRemaining[#Headers])&lt;=$F62,IFERROR(VLOOKUP(TimeRemaining[[#This Row],[Time]],Upgrades[],MATCH("T"&amp;TimeRemaining[#Headers],Upgrades[#Headers],0),FALSE),0)*MAX(0,SUM($G62:M62)),0)</f>
        <v>0</v>
      </c>
      <c r="M166" s="110">
        <f>IF(VALUE(TimeRemaining[#Headers])&lt;=$F62,IFERROR(VLOOKUP(TimeRemaining[[#This Row],[Time]],Upgrades[],MATCH("T"&amp;TimeRemaining[#Headers],Upgrades[#Headers],0),FALSE),0)*MAX(0,SUM($G62:N62)),0)</f>
        <v>0</v>
      </c>
      <c r="N166" s="110">
        <f>IF(VALUE(TimeRemaining[#Headers])&lt;=$F62,IFERROR(VLOOKUP(TimeRemaining[[#This Row],[Time]],Upgrades[],MATCH("T"&amp;TimeRemaining[#Headers],Upgrades[#Headers],0),FALSE),0)*MAX(0,SUM($G62:O62)),0)</f>
        <v>0</v>
      </c>
      <c r="O166" s="110">
        <f>IF(VALUE(TimeRemaining[#Headers])&lt;=$F62,IFERROR(VLOOKUP(TimeRemaining[[#This Row],[Time]],Upgrades[],MATCH("T"&amp;TimeRemaining[#Headers],Upgrades[#Headers],0),FALSE),0)*MAX(0,SUM($G62:P62)),0)</f>
        <v>0</v>
      </c>
      <c r="P166" s="110">
        <f>IF(VALUE(TimeRemaining[#Headers])&lt;=$F62,IFERROR(VLOOKUP(TimeRemaining[[#This Row],[Time]],Upgrades[],MATCH("T"&amp;TimeRemaining[#Headers],Upgrades[#Headers],0),FALSE),0)*MAX(0,SUM($G62:Q62)),0)</f>
        <v>0</v>
      </c>
      <c r="Q166" s="110">
        <f>IF(VALUE(TimeRemaining[#Headers])&lt;=$F62,IFERROR(VLOOKUP(TimeRemaining[[#This Row],[Time]],Upgrades[],MATCH("T"&amp;TimeRemaining[#Headers],Upgrades[#Headers],0),FALSE),0)*MAX(0,SUM($G62:R62)),0)</f>
        <v>0</v>
      </c>
      <c r="R166" s="110">
        <f>IF(TimeRemaining[[#This Row],[MatchStr]]="IGNORE",0,SUM(TimeRemaining[[#This Row],[1]:[12]]))</f>
        <v>0</v>
      </c>
    </row>
    <row r="167" spans="1:18">
      <c r="A167" s="47" t="s">
        <v>99</v>
      </c>
      <c r="B167" s="103" t="str">
        <f>VLOOKUP(TimeRemaining[[#This Row],[Time]],Upgrades[],2,FALSE)</f>
        <v>Upgrade</v>
      </c>
      <c r="C167" s="103" t="str">
        <f>VLOOKUP(TimeRemaining[[#This Row],[Time]],Upgrades[],3,FALSE)</f>
        <v>Dark Elixir</v>
      </c>
      <c r="D167" s="104" t="str">
        <f>IF((IFERROR(MATCH(TimeRemaining[[#This Row],[Time]],$O$16:$S$16,0),0)+IFERROR(MATCH(TimeRemaining[[#This Row],[Time]],$O$17:$S$17,0),0))&gt;0,"IGNORE",TimeRemaining[Kind]&amp;"-"&amp;TimeRemaining[Resource])</f>
        <v>Upgrade-Dark Elixir</v>
      </c>
      <c r="E167" s="101">
        <f>IFERROR(VLOOKUP(TimeRemaining[[#This Row],[Time]],Upgrades[],MATCH("T"&amp;MATCH(TRUE,INDEX(TimeRemaining[[#This Row],[1]:[12]]&lt;&gt;0,),0),Upgrades[#Headers],0),FALSE),"")</f>
        <v>5</v>
      </c>
      <c r="F167" s="110">
        <f>IF(VALUE(TimeRemaining[#Headers])&lt;=$F63,IFERROR(VLOOKUP(TimeRemaining[[#This Row],[Time]],Upgrades[],MATCH("T"&amp;TimeRemaining[#Headers],Upgrades[#Headers],0),FALSE),0)*MAX(0,SUM($G63:G63)),0)</f>
        <v>0</v>
      </c>
      <c r="G167" s="110">
        <f>IF(VALUE(TimeRemaining[#Headers])&lt;=$F63,IFERROR(VLOOKUP(TimeRemaining[[#This Row],[Time]],Upgrades[],MATCH("T"&amp;TimeRemaining[#Headers],Upgrades[#Headers],0),FALSE),0)*MAX(0,SUM($G63:H63)),0)</f>
        <v>5</v>
      </c>
      <c r="H167" s="110">
        <f>IF(VALUE(TimeRemaining[#Headers])&lt;=$F63,IFERROR(VLOOKUP(TimeRemaining[[#This Row],[Time]],Upgrades[],MATCH("T"&amp;TimeRemaining[#Headers],Upgrades[#Headers],0),FALSE),0)*MAX(0,SUM($G63:I63)),0)</f>
        <v>0</v>
      </c>
      <c r="I167" s="110">
        <f>IF(VALUE(TimeRemaining[#Headers])&lt;=$F63,IFERROR(VLOOKUP(TimeRemaining[[#This Row],[Time]],Upgrades[],MATCH("T"&amp;TimeRemaining[#Headers],Upgrades[#Headers],0),FALSE),0)*MAX(0,SUM($G63:J63)),0)</f>
        <v>0</v>
      </c>
      <c r="J167" s="110">
        <f>IF(VALUE(TimeRemaining[#Headers])&lt;=$F63,IFERROR(VLOOKUP(TimeRemaining[[#This Row],[Time]],Upgrades[],MATCH("T"&amp;TimeRemaining[#Headers],Upgrades[#Headers],0),FALSE),0)*MAX(0,SUM($G63:K63)),0)</f>
        <v>0</v>
      </c>
      <c r="K167" s="110">
        <f>IF(VALUE(TimeRemaining[#Headers])&lt;=$F63,IFERROR(VLOOKUP(TimeRemaining[[#This Row],[Time]],Upgrades[],MATCH("T"&amp;TimeRemaining[#Headers],Upgrades[#Headers],0),FALSE),0)*MAX(0,SUM($G63:L63)),0)</f>
        <v>0</v>
      </c>
      <c r="L167" s="110">
        <f>IF(VALUE(TimeRemaining[#Headers])&lt;=$F63,IFERROR(VLOOKUP(TimeRemaining[[#This Row],[Time]],Upgrades[],MATCH("T"&amp;TimeRemaining[#Headers],Upgrades[#Headers],0),FALSE),0)*MAX(0,SUM($G63:M63)),0)</f>
        <v>0</v>
      </c>
      <c r="M167" s="110">
        <f>IF(VALUE(TimeRemaining[#Headers])&lt;=$F63,IFERROR(VLOOKUP(TimeRemaining[[#This Row],[Time]],Upgrades[],MATCH("T"&amp;TimeRemaining[#Headers],Upgrades[#Headers],0),FALSE),0)*MAX(0,SUM($G63:N63)),0)</f>
        <v>0</v>
      </c>
      <c r="N167" s="110">
        <f>IF(VALUE(TimeRemaining[#Headers])&lt;=$F63,IFERROR(VLOOKUP(TimeRemaining[[#This Row],[Time]],Upgrades[],MATCH("T"&amp;TimeRemaining[#Headers],Upgrades[#Headers],0),FALSE),0)*MAX(0,SUM($G63:O63)),0)</f>
        <v>0</v>
      </c>
      <c r="O167" s="110">
        <f>IF(VALUE(TimeRemaining[#Headers])&lt;=$F63,IFERROR(VLOOKUP(TimeRemaining[[#This Row],[Time]],Upgrades[],MATCH("T"&amp;TimeRemaining[#Headers],Upgrades[#Headers],0),FALSE),0)*MAX(0,SUM($G63:P63)),0)</f>
        <v>0</v>
      </c>
      <c r="P167" s="110">
        <f>IF(VALUE(TimeRemaining[#Headers])&lt;=$F63,IFERROR(VLOOKUP(TimeRemaining[[#This Row],[Time]],Upgrades[],MATCH("T"&amp;TimeRemaining[#Headers],Upgrades[#Headers],0),FALSE),0)*MAX(0,SUM($G63:Q63)),0)</f>
        <v>0</v>
      </c>
      <c r="Q167" s="110">
        <f>IF(VALUE(TimeRemaining[#Headers])&lt;=$F63,IFERROR(VLOOKUP(TimeRemaining[[#This Row],[Time]],Upgrades[],MATCH("T"&amp;TimeRemaining[#Headers],Upgrades[#Headers],0),FALSE),0)*MAX(0,SUM($G63:R63)),0)</f>
        <v>0</v>
      </c>
      <c r="R167" s="110">
        <f>IF(TimeRemaining[[#This Row],[MatchStr]]="IGNORE",0,SUM(TimeRemaining[[#This Row],[1]:[12]]))</f>
        <v>5</v>
      </c>
    </row>
    <row r="168" spans="1:18">
      <c r="A168" s="47" t="s">
        <v>100</v>
      </c>
      <c r="B168" s="103" t="str">
        <f>VLOOKUP(TimeRemaining[[#This Row],[Time]],Upgrades[],2,FALSE)</f>
        <v>Upgrade</v>
      </c>
      <c r="C168" s="103" t="str">
        <f>VLOOKUP(TimeRemaining[[#This Row],[Time]],Upgrades[],3,FALSE)</f>
        <v>Dark Elixir</v>
      </c>
      <c r="D168" s="104" t="str">
        <f>IF((IFERROR(MATCH(TimeRemaining[[#This Row],[Time]],$O$16:$S$16,0),0)+IFERROR(MATCH(TimeRemaining[[#This Row],[Time]],$O$17:$S$17,0),0))&gt;0,"IGNORE",TimeRemaining[Kind]&amp;"-"&amp;TimeRemaining[Resource])</f>
        <v>Upgrade-Dark Elixir</v>
      </c>
      <c r="E168" s="101">
        <f>IFERROR(VLOOKUP(TimeRemaining[[#This Row],[Time]],Upgrades[],MATCH("T"&amp;MATCH(TRUE,INDEX(TimeRemaining[[#This Row],[1]:[12]]&lt;&gt;0,),0),Upgrades[#Headers],0),FALSE),"")</f>
        <v>8</v>
      </c>
      <c r="F168" s="110">
        <f>IF(VALUE(TimeRemaining[#Headers])&lt;=$F64,IFERROR(VLOOKUP(TimeRemaining[[#This Row],[Time]],Upgrades[],MATCH("T"&amp;TimeRemaining[#Headers],Upgrades[#Headers],0),FALSE),0)*MAX(0,SUM($G64:G64)),0)</f>
        <v>0</v>
      </c>
      <c r="G168" s="110">
        <f>IF(VALUE(TimeRemaining[#Headers])&lt;=$F64,IFERROR(VLOOKUP(TimeRemaining[[#This Row],[Time]],Upgrades[],MATCH("T"&amp;TimeRemaining[#Headers],Upgrades[#Headers],0),FALSE),0)*MAX(0,SUM($G64:H64)),0)</f>
        <v>8</v>
      </c>
      <c r="H168" s="110">
        <f>IF(VALUE(TimeRemaining[#Headers])&lt;=$F64,IFERROR(VLOOKUP(TimeRemaining[[#This Row],[Time]],Upgrades[],MATCH("T"&amp;TimeRemaining[#Headers],Upgrades[#Headers],0),FALSE),0)*MAX(0,SUM($G64:I64)),0)</f>
        <v>0</v>
      </c>
      <c r="I168" s="110">
        <f>IF(VALUE(TimeRemaining[#Headers])&lt;=$F64,IFERROR(VLOOKUP(TimeRemaining[[#This Row],[Time]],Upgrades[],MATCH("T"&amp;TimeRemaining[#Headers],Upgrades[#Headers],0),FALSE),0)*MAX(0,SUM($G64:J64)),0)</f>
        <v>0</v>
      </c>
      <c r="J168" s="110">
        <f>IF(VALUE(TimeRemaining[#Headers])&lt;=$F64,IFERROR(VLOOKUP(TimeRemaining[[#This Row],[Time]],Upgrades[],MATCH("T"&amp;TimeRemaining[#Headers],Upgrades[#Headers],0),FALSE),0)*MAX(0,SUM($G64:K64)),0)</f>
        <v>0</v>
      </c>
      <c r="K168" s="110">
        <f>IF(VALUE(TimeRemaining[#Headers])&lt;=$F64,IFERROR(VLOOKUP(TimeRemaining[[#This Row],[Time]],Upgrades[],MATCH("T"&amp;TimeRemaining[#Headers],Upgrades[#Headers],0),FALSE),0)*MAX(0,SUM($G64:L64)),0)</f>
        <v>0</v>
      </c>
      <c r="L168" s="110">
        <f>IF(VALUE(TimeRemaining[#Headers])&lt;=$F64,IFERROR(VLOOKUP(TimeRemaining[[#This Row],[Time]],Upgrades[],MATCH("T"&amp;TimeRemaining[#Headers],Upgrades[#Headers],0),FALSE),0)*MAX(0,SUM($G64:M64)),0)</f>
        <v>0</v>
      </c>
      <c r="M168" s="110">
        <f>IF(VALUE(TimeRemaining[#Headers])&lt;=$F64,IFERROR(VLOOKUP(TimeRemaining[[#This Row],[Time]],Upgrades[],MATCH("T"&amp;TimeRemaining[#Headers],Upgrades[#Headers],0),FALSE),0)*MAX(0,SUM($G64:N64)),0)</f>
        <v>0</v>
      </c>
      <c r="N168" s="110">
        <f>IF(VALUE(TimeRemaining[#Headers])&lt;=$F64,IFERROR(VLOOKUP(TimeRemaining[[#This Row],[Time]],Upgrades[],MATCH("T"&amp;TimeRemaining[#Headers],Upgrades[#Headers],0),FALSE),0)*MAX(0,SUM($G64:O64)),0)</f>
        <v>0</v>
      </c>
      <c r="O168" s="110">
        <f>IF(VALUE(TimeRemaining[#Headers])&lt;=$F64,IFERROR(VLOOKUP(TimeRemaining[[#This Row],[Time]],Upgrades[],MATCH("T"&amp;TimeRemaining[#Headers],Upgrades[#Headers],0),FALSE),0)*MAX(0,SUM($G64:P64)),0)</f>
        <v>0</v>
      </c>
      <c r="P168" s="110">
        <f>IF(VALUE(TimeRemaining[#Headers])&lt;=$F64,IFERROR(VLOOKUP(TimeRemaining[[#This Row],[Time]],Upgrades[],MATCH("T"&amp;TimeRemaining[#Headers],Upgrades[#Headers],0),FALSE),0)*MAX(0,SUM($G64:Q64)),0)</f>
        <v>0</v>
      </c>
      <c r="Q168" s="110">
        <f>IF(VALUE(TimeRemaining[#Headers])&lt;=$F64,IFERROR(VLOOKUP(TimeRemaining[[#This Row],[Time]],Upgrades[],MATCH("T"&amp;TimeRemaining[#Headers],Upgrades[#Headers],0),FALSE),0)*MAX(0,SUM($G64:R64)),0)</f>
        <v>0</v>
      </c>
      <c r="R168" s="110">
        <f>IF(TimeRemaining[[#This Row],[MatchStr]]="IGNORE",0,SUM(TimeRemaining[[#This Row],[1]:[12]]))</f>
        <v>8</v>
      </c>
    </row>
    <row r="169" spans="1:18">
      <c r="A169" s="47" t="s">
        <v>101</v>
      </c>
      <c r="B169" s="103" t="str">
        <f>VLOOKUP(TimeRemaining[[#This Row],[Time]],Upgrades[],2,FALSE)</f>
        <v>Upgrade</v>
      </c>
      <c r="C169" s="103" t="str">
        <f>VLOOKUP(TimeRemaining[[#This Row],[Time]],Upgrades[],3,FALSE)</f>
        <v>Dark Elixir</v>
      </c>
      <c r="D169" s="104" t="str">
        <f>IF((IFERROR(MATCH(TimeRemaining[[#This Row],[Time]],$O$16:$S$16,0),0)+IFERROR(MATCH(TimeRemaining[[#This Row],[Time]],$O$17:$S$17,0),0))&gt;0,"IGNORE",TimeRemaining[Kind]&amp;"-"&amp;TimeRemaining[Resource])</f>
        <v>Upgrade-Dark Elixir</v>
      </c>
      <c r="E169" s="101" t="str">
        <f>IFERROR(VLOOKUP(TimeRemaining[[#This Row],[Time]],Upgrades[],MATCH("T"&amp;MATCH(TRUE,INDEX(TimeRemaining[[#This Row],[1]:[12]]&lt;&gt;0,),0),Upgrades[#Headers],0),FALSE),"")</f>
        <v/>
      </c>
      <c r="F169" s="110">
        <f>IF(VALUE(TimeRemaining[#Headers])&lt;=$F65,IFERROR(VLOOKUP(TimeRemaining[[#This Row],[Time]],Upgrades[],MATCH("T"&amp;TimeRemaining[#Headers],Upgrades[#Headers],0),FALSE),0)*MAX(0,SUM($G65:G65)),0)</f>
        <v>0</v>
      </c>
      <c r="G169" s="110">
        <f>IF(VALUE(TimeRemaining[#Headers])&lt;=$F65,IFERROR(VLOOKUP(TimeRemaining[[#This Row],[Time]],Upgrades[],MATCH("T"&amp;TimeRemaining[#Headers],Upgrades[#Headers],0),FALSE),0)*MAX(0,SUM($G65:H65)),0)</f>
        <v>0</v>
      </c>
      <c r="H169" s="110">
        <f>IF(VALUE(TimeRemaining[#Headers])&lt;=$F65,IFERROR(VLOOKUP(TimeRemaining[[#This Row],[Time]],Upgrades[],MATCH("T"&amp;TimeRemaining[#Headers],Upgrades[#Headers],0),FALSE),0)*MAX(0,SUM($G65:I65)),0)</f>
        <v>0</v>
      </c>
      <c r="I169" s="110">
        <f>IF(VALUE(TimeRemaining[#Headers])&lt;=$F65,IFERROR(VLOOKUP(TimeRemaining[[#This Row],[Time]],Upgrades[],MATCH("T"&amp;TimeRemaining[#Headers],Upgrades[#Headers],0),FALSE),0)*MAX(0,SUM($G65:J65)),0)</f>
        <v>0</v>
      </c>
      <c r="J169" s="110">
        <f>IF(VALUE(TimeRemaining[#Headers])&lt;=$F65,IFERROR(VLOOKUP(TimeRemaining[[#This Row],[Time]],Upgrades[],MATCH("T"&amp;TimeRemaining[#Headers],Upgrades[#Headers],0),FALSE),0)*MAX(0,SUM($G65:K65)),0)</f>
        <v>0</v>
      </c>
      <c r="K169" s="110">
        <f>IF(VALUE(TimeRemaining[#Headers])&lt;=$F65,IFERROR(VLOOKUP(TimeRemaining[[#This Row],[Time]],Upgrades[],MATCH("T"&amp;TimeRemaining[#Headers],Upgrades[#Headers],0),FALSE),0)*MAX(0,SUM($G65:L65)),0)</f>
        <v>0</v>
      </c>
      <c r="L169" s="110">
        <f>IF(VALUE(TimeRemaining[#Headers])&lt;=$F65,IFERROR(VLOOKUP(TimeRemaining[[#This Row],[Time]],Upgrades[],MATCH("T"&amp;TimeRemaining[#Headers],Upgrades[#Headers],0),FALSE),0)*MAX(0,SUM($G65:M65)),0)</f>
        <v>0</v>
      </c>
      <c r="M169" s="110">
        <f>IF(VALUE(TimeRemaining[#Headers])&lt;=$F65,IFERROR(VLOOKUP(TimeRemaining[[#This Row],[Time]],Upgrades[],MATCH("T"&amp;TimeRemaining[#Headers],Upgrades[#Headers],0),FALSE),0)*MAX(0,SUM($G65:N65)),0)</f>
        <v>0</v>
      </c>
      <c r="N169" s="110">
        <f>IF(VALUE(TimeRemaining[#Headers])&lt;=$F65,IFERROR(VLOOKUP(TimeRemaining[[#This Row],[Time]],Upgrades[],MATCH("T"&amp;TimeRemaining[#Headers],Upgrades[#Headers],0),FALSE),0)*MAX(0,SUM($G65:O65)),0)</f>
        <v>0</v>
      </c>
      <c r="O169" s="110">
        <f>IF(VALUE(TimeRemaining[#Headers])&lt;=$F65,IFERROR(VLOOKUP(TimeRemaining[[#This Row],[Time]],Upgrades[],MATCH("T"&amp;TimeRemaining[#Headers],Upgrades[#Headers],0),FALSE),0)*MAX(0,SUM($G65:P65)),0)</f>
        <v>0</v>
      </c>
      <c r="P169" s="110">
        <f>IF(VALUE(TimeRemaining[#Headers])&lt;=$F65,IFERROR(VLOOKUP(TimeRemaining[[#This Row],[Time]],Upgrades[],MATCH("T"&amp;TimeRemaining[#Headers],Upgrades[#Headers],0),FALSE),0)*MAX(0,SUM($G65:Q65)),0)</f>
        <v>0</v>
      </c>
      <c r="Q169" s="110">
        <f>IF(VALUE(TimeRemaining[#Headers])&lt;=$F65,IFERROR(VLOOKUP(TimeRemaining[[#This Row],[Time]],Upgrades[],MATCH("T"&amp;TimeRemaining[#Headers],Upgrades[#Headers],0),FALSE),0)*MAX(0,SUM($G65:R65)),0)</f>
        <v>0</v>
      </c>
      <c r="R169" s="110">
        <f>IF(TimeRemaining[[#This Row],[MatchStr]]="IGNORE",0,SUM(TimeRemaining[[#This Row],[1]:[12]]))</f>
        <v>0</v>
      </c>
    </row>
    <row r="170" spans="1:18">
      <c r="A170" s="47" t="s">
        <v>102</v>
      </c>
      <c r="B170" s="103" t="str">
        <f>VLOOKUP(TimeRemaining[[#This Row],[Time]],Upgrades[],2,FALSE)</f>
        <v>Upgrade</v>
      </c>
      <c r="C170" s="103" t="str">
        <f>VLOOKUP(TimeRemaining[[#This Row],[Time]],Upgrades[],3,FALSE)</f>
        <v>Dark Elixir</v>
      </c>
      <c r="D170" s="104" t="str">
        <f>IF((IFERROR(MATCH(TimeRemaining[[#This Row],[Time]],$O$16:$S$16,0),0)+IFERROR(MATCH(TimeRemaining[[#This Row],[Time]],$O$17:$S$17,0),0))&gt;0,"IGNORE",TimeRemaining[Kind]&amp;"-"&amp;TimeRemaining[Resource])</f>
        <v>Upgrade-Dark Elixir</v>
      </c>
      <c r="E170" s="101" t="str">
        <f>IFERROR(VLOOKUP(TimeRemaining[[#This Row],[Time]],Upgrades[],MATCH("T"&amp;MATCH(TRUE,INDEX(TimeRemaining[[#This Row],[1]:[12]]&lt;&gt;0,),0),Upgrades[#Headers],0),FALSE),"")</f>
        <v/>
      </c>
      <c r="F170" s="110">
        <f>IF(VALUE(TimeRemaining[#Headers])&lt;=$F66,IFERROR(VLOOKUP(TimeRemaining[[#This Row],[Time]],Upgrades[],MATCH("T"&amp;TimeRemaining[#Headers],Upgrades[#Headers],0),FALSE),0)*MAX(0,SUM($G66:G66)),0)</f>
        <v>0</v>
      </c>
      <c r="G170" s="110">
        <f>IF(VALUE(TimeRemaining[#Headers])&lt;=$F66,IFERROR(VLOOKUP(TimeRemaining[[#This Row],[Time]],Upgrades[],MATCH("T"&amp;TimeRemaining[#Headers],Upgrades[#Headers],0),FALSE),0)*MAX(0,SUM($G66:H66)),0)</f>
        <v>0</v>
      </c>
      <c r="H170" s="110">
        <f>IF(VALUE(TimeRemaining[#Headers])&lt;=$F66,IFERROR(VLOOKUP(TimeRemaining[[#This Row],[Time]],Upgrades[],MATCH("T"&amp;TimeRemaining[#Headers],Upgrades[#Headers],0),FALSE),0)*MAX(0,SUM($G66:I66)),0)</f>
        <v>0</v>
      </c>
      <c r="I170" s="110">
        <f>IF(VALUE(TimeRemaining[#Headers])&lt;=$F66,IFERROR(VLOOKUP(TimeRemaining[[#This Row],[Time]],Upgrades[],MATCH("T"&amp;TimeRemaining[#Headers],Upgrades[#Headers],0),FALSE),0)*MAX(0,SUM($G66:J66)),0)</f>
        <v>0</v>
      </c>
      <c r="J170" s="110">
        <f>IF(VALUE(TimeRemaining[#Headers])&lt;=$F66,IFERROR(VLOOKUP(TimeRemaining[[#This Row],[Time]],Upgrades[],MATCH("T"&amp;TimeRemaining[#Headers],Upgrades[#Headers],0),FALSE),0)*MAX(0,SUM($G66:K66)),0)</f>
        <v>0</v>
      </c>
      <c r="K170" s="110">
        <f>IF(VALUE(TimeRemaining[#Headers])&lt;=$F66,IFERROR(VLOOKUP(TimeRemaining[[#This Row],[Time]],Upgrades[],MATCH("T"&amp;TimeRemaining[#Headers],Upgrades[#Headers],0),FALSE),0)*MAX(0,SUM($G66:L66)),0)</f>
        <v>0</v>
      </c>
      <c r="L170" s="110">
        <f>IF(VALUE(TimeRemaining[#Headers])&lt;=$F66,IFERROR(VLOOKUP(TimeRemaining[[#This Row],[Time]],Upgrades[],MATCH("T"&amp;TimeRemaining[#Headers],Upgrades[#Headers],0),FALSE),0)*MAX(0,SUM($G66:M66)),0)</f>
        <v>0</v>
      </c>
      <c r="M170" s="110">
        <f>IF(VALUE(TimeRemaining[#Headers])&lt;=$F66,IFERROR(VLOOKUP(TimeRemaining[[#This Row],[Time]],Upgrades[],MATCH("T"&amp;TimeRemaining[#Headers],Upgrades[#Headers],0),FALSE),0)*MAX(0,SUM($G66:N66)),0)</f>
        <v>0</v>
      </c>
      <c r="N170" s="110">
        <f>IF(VALUE(TimeRemaining[#Headers])&lt;=$F66,IFERROR(VLOOKUP(TimeRemaining[[#This Row],[Time]],Upgrades[],MATCH("T"&amp;TimeRemaining[#Headers],Upgrades[#Headers],0),FALSE),0)*MAX(0,SUM($G66:O66)),0)</f>
        <v>0</v>
      </c>
      <c r="O170" s="110">
        <f>IF(VALUE(TimeRemaining[#Headers])&lt;=$F66,IFERROR(VLOOKUP(TimeRemaining[[#This Row],[Time]],Upgrades[],MATCH("T"&amp;TimeRemaining[#Headers],Upgrades[#Headers],0),FALSE),0)*MAX(0,SUM($G66:P66)),0)</f>
        <v>0</v>
      </c>
      <c r="P170" s="110">
        <f>IF(VALUE(TimeRemaining[#Headers])&lt;=$F66,IFERROR(VLOOKUP(TimeRemaining[[#This Row],[Time]],Upgrades[],MATCH("T"&amp;TimeRemaining[#Headers],Upgrades[#Headers],0),FALSE),0)*MAX(0,SUM($G66:Q66)),0)</f>
        <v>0</v>
      </c>
      <c r="Q170" s="110">
        <f>IF(VALUE(TimeRemaining[#Headers])&lt;=$F66,IFERROR(VLOOKUP(TimeRemaining[[#This Row],[Time]],Upgrades[],MATCH("T"&amp;TimeRemaining[#Headers],Upgrades[#Headers],0),FALSE),0)*MAX(0,SUM($G66:R66)),0)</f>
        <v>0</v>
      </c>
      <c r="R170" s="110">
        <f>IF(TimeRemaining[[#This Row],[MatchStr]]="IGNORE",0,SUM(TimeRemaining[[#This Row],[1]:[12]]))</f>
        <v>0</v>
      </c>
    </row>
    <row r="171" spans="1:18">
      <c r="A171" s="105" t="s">
        <v>103</v>
      </c>
      <c r="B171" s="106" t="str">
        <f>VLOOKUP(TimeRemaining[[#This Row],[Time]],Upgrades[],2,FALSE)</f>
        <v>Upgrade</v>
      </c>
      <c r="C171" s="106" t="str">
        <f>VLOOKUP(TimeRemaining[[#This Row],[Time]],Upgrades[],3,FALSE)</f>
        <v>Dark Elixir</v>
      </c>
      <c r="D171" s="107" t="str">
        <f>IF((IFERROR(MATCH(TimeRemaining[[#This Row],[Time]],$O$16:$S$16,0),0)+IFERROR(MATCH(TimeRemaining[[#This Row],[Time]],$O$17:$S$17,0),0))&gt;0,"IGNORE",TimeRemaining[Kind]&amp;"-"&amp;TimeRemaining[Resource])</f>
        <v>Upgrade-Dark Elixir</v>
      </c>
      <c r="E171" s="108" t="str">
        <f>IFERROR(VLOOKUP(TimeRemaining[[#This Row],[Time]],Upgrades[],MATCH("T"&amp;MATCH(TRUE,INDEX(TimeRemaining[[#This Row],[1]:[12]]&lt;&gt;0,),0),Upgrades[#Headers],0),FALSE),"")</f>
        <v/>
      </c>
      <c r="F171" s="112">
        <f>IF(VALUE(TimeRemaining[#Headers])&lt;=$F67,IFERROR(VLOOKUP(TimeRemaining[[#This Row],[Time]],Upgrades[],MATCH("T"&amp;TimeRemaining[#Headers],Upgrades[#Headers],0),FALSE),0)*MAX(0,SUM($G67:G67)),0)</f>
        <v>0</v>
      </c>
      <c r="G171" s="112">
        <f>IF(VALUE(TimeRemaining[#Headers])&lt;=$F67,IFERROR(VLOOKUP(TimeRemaining[[#This Row],[Time]],Upgrades[],MATCH("T"&amp;TimeRemaining[#Headers],Upgrades[#Headers],0),FALSE),0)*MAX(0,SUM($G67:H67)),0)</f>
        <v>0</v>
      </c>
      <c r="H171" s="112">
        <f>IF(VALUE(TimeRemaining[#Headers])&lt;=$F67,IFERROR(VLOOKUP(TimeRemaining[[#This Row],[Time]],Upgrades[],MATCH("T"&amp;TimeRemaining[#Headers],Upgrades[#Headers],0),FALSE),0)*MAX(0,SUM($G67:I67)),0)</f>
        <v>0</v>
      </c>
      <c r="I171" s="112">
        <f>IF(VALUE(TimeRemaining[#Headers])&lt;=$F67,IFERROR(VLOOKUP(TimeRemaining[[#This Row],[Time]],Upgrades[],MATCH("T"&amp;TimeRemaining[#Headers],Upgrades[#Headers],0),FALSE),0)*MAX(0,SUM($G67:J67)),0)</f>
        <v>0</v>
      </c>
      <c r="J171" s="112">
        <f>IF(VALUE(TimeRemaining[#Headers])&lt;=$F67,IFERROR(VLOOKUP(TimeRemaining[[#This Row],[Time]],Upgrades[],MATCH("T"&amp;TimeRemaining[#Headers],Upgrades[#Headers],0),FALSE),0)*MAX(0,SUM($G67:K67)),0)</f>
        <v>0</v>
      </c>
      <c r="K171" s="112">
        <f>IF(VALUE(TimeRemaining[#Headers])&lt;=$F67,IFERROR(VLOOKUP(TimeRemaining[[#This Row],[Time]],Upgrades[],MATCH("T"&amp;TimeRemaining[#Headers],Upgrades[#Headers],0),FALSE),0)*MAX(0,SUM($G67:L67)),0)</f>
        <v>0</v>
      </c>
      <c r="L171" s="112">
        <f>IF(VALUE(TimeRemaining[#Headers])&lt;=$F67,IFERROR(VLOOKUP(TimeRemaining[[#This Row],[Time]],Upgrades[],MATCH("T"&amp;TimeRemaining[#Headers],Upgrades[#Headers],0),FALSE),0)*MAX(0,SUM($G67:M67)),0)</f>
        <v>0</v>
      </c>
      <c r="M171" s="112">
        <f>IF(VALUE(TimeRemaining[#Headers])&lt;=$F67,IFERROR(VLOOKUP(TimeRemaining[[#This Row],[Time]],Upgrades[],MATCH("T"&amp;TimeRemaining[#Headers],Upgrades[#Headers],0),FALSE),0)*MAX(0,SUM($G67:N67)),0)</f>
        <v>0</v>
      </c>
      <c r="N171" s="112">
        <f>IF(VALUE(TimeRemaining[#Headers])&lt;=$F67,IFERROR(VLOOKUP(TimeRemaining[[#This Row],[Time]],Upgrades[],MATCH("T"&amp;TimeRemaining[#Headers],Upgrades[#Headers],0),FALSE),0)*MAX(0,SUM($G67:O67)),0)</f>
        <v>0</v>
      </c>
      <c r="O171" s="112">
        <f>IF(VALUE(TimeRemaining[#Headers])&lt;=$F67,IFERROR(VLOOKUP(TimeRemaining[[#This Row],[Time]],Upgrades[],MATCH("T"&amp;TimeRemaining[#Headers],Upgrades[#Headers],0),FALSE),0)*MAX(0,SUM($G67:P67)),0)</f>
        <v>0</v>
      </c>
      <c r="P171" s="112">
        <f>IF(VALUE(TimeRemaining[#Headers])&lt;=$F67,IFERROR(VLOOKUP(TimeRemaining[[#This Row],[Time]],Upgrades[],MATCH("T"&amp;TimeRemaining[#Headers],Upgrades[#Headers],0),FALSE),0)*MAX(0,SUM($G67:Q67)),0)</f>
        <v>0</v>
      </c>
      <c r="Q171" s="112">
        <f>IF(VALUE(TimeRemaining[#Headers])&lt;=$F67,IFERROR(VLOOKUP(TimeRemaining[[#This Row],[Time]],Upgrades[],MATCH("T"&amp;TimeRemaining[#Headers],Upgrades[#Headers],0),FALSE),0)*MAX(0,SUM($G67:R67)),0)</f>
        <v>0</v>
      </c>
      <c r="R171" s="112">
        <f>IF(TimeRemaining[[#This Row],[MatchStr]]="IGNORE",0,SUM(TimeRemaining[[#This Row],[1]:[12]]))</f>
        <v>0</v>
      </c>
    </row>
  </sheetData>
  <sheetProtection password="F457" sheet="1" objects="1" scenarios="1" selectLockedCells="1" sort="0" autoFilter="0" pivotTables="0"/>
  <mergeCells count="17">
    <mergeCell ref="O15:S15"/>
    <mergeCell ref="H15:M15"/>
    <mergeCell ref="A1:G2"/>
    <mergeCell ref="B10:F11"/>
    <mergeCell ref="P1:S1"/>
    <mergeCell ref="P7:S7"/>
    <mergeCell ref="H13:S14"/>
    <mergeCell ref="I1:N1"/>
    <mergeCell ref="J17:M17"/>
    <mergeCell ref="J16:M16"/>
    <mergeCell ref="I8:N8"/>
    <mergeCell ref="C12:F12"/>
    <mergeCell ref="C13:F13"/>
    <mergeCell ref="C14:F14"/>
    <mergeCell ref="C15:F15"/>
    <mergeCell ref="C16:F16"/>
    <mergeCell ref="A3:G8"/>
  </mergeCells>
  <phoneticPr fontId="9" type="noConversion"/>
  <conditionalFormatting sqref="G19:G67">
    <cfRule type="cellIs" dxfId="228" priority="44" operator="lessThan">
      <formula>0</formula>
    </cfRule>
    <cfRule type="cellIs" dxfId="227" priority="45" operator="greaterThan">
      <formula>0</formula>
    </cfRule>
  </conditionalFormatting>
  <conditionalFormatting sqref="N9:N11 J3:N5 Q3:S5 Q9:S10">
    <cfRule type="cellIs" dxfId="226" priority="24" operator="equal">
      <formula>0</formula>
    </cfRule>
  </conditionalFormatting>
  <conditionalFormatting sqref="I17">
    <cfRule type="cellIs" dxfId="225" priority="6" operator="equal">
      <formula>TRUE</formula>
    </cfRule>
  </conditionalFormatting>
  <conditionalFormatting sqref="P17:S17">
    <cfRule type="cellIs" dxfId="224" priority="5" operator="equal">
      <formula>TRUE</formula>
    </cfRule>
  </conditionalFormatting>
  <conditionalFormatting sqref="H19:S67">
    <cfRule type="expression" dxfId="223" priority="70">
      <formula>OR(VALUE(H$18)&gt;$F19,AND($B19="Upgrade",H$18="1"))</formula>
    </cfRule>
    <cfRule type="expression" dxfId="222" priority="71">
      <formula>AND(VALUE(H$18)&lt;$F19,VALUE(H19)&gt;0)</formula>
    </cfRule>
  </conditionalFormatting>
  <conditionalFormatting sqref="E71:E119">
    <cfRule type="colorScale" priority="72">
      <colorScale>
        <cfvo type="min"/>
        <cfvo type="max"/>
        <color theme="7" tint="0.79998168889431442"/>
        <color theme="7" tint="0.39997558519241921"/>
      </colorScale>
    </cfRule>
  </conditionalFormatting>
  <conditionalFormatting sqref="E123:E171">
    <cfRule type="colorScale" priority="73">
      <colorScale>
        <cfvo type="min"/>
        <cfvo type="max"/>
        <color theme="7" tint="0.79998168889431442"/>
        <color theme="7" tint="0.39997558519241921"/>
      </colorScale>
    </cfRule>
  </conditionalFormatting>
  <pageMargins left="0.7" right="0.7" top="0.75" bottom="0.75" header="0.3" footer="0.3"/>
  <pageSetup scale="30" orientation="landscape" horizontalDpi="4294967292" verticalDpi="4294967292"/>
  <rowBreaks count="3" manualBreakCount="3">
    <brk id="68" max="16383" man="1"/>
    <brk id="120" max="16383" man="1"/>
    <brk id="172" max="16383" man="1"/>
  </rowBreaks>
  <tableParts count="3">
    <tablePart r:id="rId1"/>
    <tablePart r:id="rId2"/>
    <tablePart r:id="rId3"/>
  </tableParts>
  <extLst>
    <ext xmlns:mx="http://schemas.microsoft.com/office/mac/excel/2008/main" uri="{64002731-A6B0-56B0-2670-7721B7C09600}">
      <mx:PLV Mode="0" OnePage="0" WScale="3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B11:L41"/>
  <sheetViews>
    <sheetView topLeftCell="A6" zoomScale="125" zoomScaleNormal="125" zoomScalePageLayoutView="125" workbookViewId="0">
      <selection activeCell="F46" sqref="F46"/>
    </sheetView>
    <sheetView tabSelected="1" topLeftCell="A10" zoomScale="150" zoomScaleNormal="150" zoomScalePageLayoutView="150" workbookViewId="1">
      <selection activeCell="L11" sqref="L11"/>
    </sheetView>
  </sheetViews>
  <sheetFormatPr baseColWidth="10" defaultRowHeight="15" x14ac:dyDescent="0"/>
  <cols>
    <col min="1" max="1" width="10.83203125" style="115"/>
    <col min="2" max="2" width="11.83203125" style="115" customWidth="1"/>
    <col min="3" max="3" width="5.1640625" style="115" bestFit="1" customWidth="1"/>
    <col min="4" max="4" width="9.33203125" style="115" bestFit="1" customWidth="1"/>
    <col min="5" max="5" width="10.5" style="115" bestFit="1" customWidth="1"/>
    <col min="6" max="6" width="11" style="115" bestFit="1" customWidth="1"/>
    <col min="7" max="8" width="11.6640625" style="115" bestFit="1" customWidth="1"/>
    <col min="9" max="9" width="8.6640625" style="115" bestFit="1" customWidth="1"/>
    <col min="10" max="10" width="9.6640625" style="115" bestFit="1" customWidth="1"/>
    <col min="11" max="11" width="10.5" style="115" bestFit="1" customWidth="1"/>
    <col min="12" max="12" width="13.33203125" style="115" bestFit="1" customWidth="1"/>
    <col min="13" max="15" width="10.83203125" style="115"/>
    <col min="16" max="16" width="9.5" style="115" bestFit="1" customWidth="1"/>
    <col min="17" max="17" width="15.1640625" style="115" bestFit="1" customWidth="1"/>
    <col min="18" max="16384" width="10.83203125" style="115"/>
  </cols>
  <sheetData>
    <row r="11" spans="2:12">
      <c r="B11" s="115" t="s">
        <v>164</v>
      </c>
      <c r="C11" s="115" t="s">
        <v>150</v>
      </c>
      <c r="D11" s="115" t="s">
        <v>163</v>
      </c>
      <c r="E11" s="115" t="s">
        <v>31</v>
      </c>
      <c r="F11" s="115" t="s">
        <v>174</v>
      </c>
      <c r="G11" s="115" t="s">
        <v>172</v>
      </c>
      <c r="H11" s="115" t="s">
        <v>173</v>
      </c>
      <c r="I11" s="115" t="s">
        <v>158</v>
      </c>
      <c r="J11" s="115" t="s">
        <v>159</v>
      </c>
      <c r="K11" s="115" t="s">
        <v>169</v>
      </c>
      <c r="L11" s="115" t="s">
        <v>170</v>
      </c>
    </row>
    <row r="12" spans="2:12">
      <c r="B12" s="115" t="s">
        <v>84</v>
      </c>
      <c r="C12" s="116" t="str">
        <f>INDEX(UnitCosts[Type],MATCH(ArmyValue[[#This Row],[Name]],UnitCosts[Name],0))</f>
        <v>Unit</v>
      </c>
      <c r="D12" s="115">
        <f>IFERROR(MATCH(1,'Construction Dashboard'!H48:S48,0),1)</f>
        <v>4</v>
      </c>
      <c r="E12" s="116" t="str">
        <f>INDEX(UnitCosts[Resource],MATCH(ArmyValue[[#This Row],[Name]],UnitCosts[Name],0))</f>
        <v>Elixir</v>
      </c>
      <c r="F12" s="117">
        <f>VLOOKUP(ArmyValue[[#This Row],[Name]],UnitCosts[],MATCH(TEXT(ArmyValue[[#This Row],[Level]],"#"),UnitCosts[#Headers],0),FALSE)</f>
        <v>80</v>
      </c>
      <c r="G12" s="116">
        <f>INDEX(UnitCosts[Train Time],MATCH(ArmyValue[[#This Row],[Name]],UnitCosts[Name],0))</f>
        <v>0.33333333333333331</v>
      </c>
      <c r="H12" s="117">
        <f>INDEX(UnitCosts[Space],MATCH(ArmyValue[[#This Row],[Name]],UnitCosts[Name],0))</f>
        <v>1</v>
      </c>
      <c r="I12" s="40">
        <v>25</v>
      </c>
      <c r="J12" s="117">
        <f>ArmyValue[[#This Row],[Quantity]]*ArmyValue[[#This Row],[Cost (Each)]]</f>
        <v>2000</v>
      </c>
      <c r="K12" s="116">
        <f>ArmyValue[[#This Row],[Quantity]]*ArmyValue[[#This Row],[Time (Each)]]</f>
        <v>8.3333333333333321</v>
      </c>
      <c r="L12" s="117">
        <f>ArmyValue[[#This Row],[Quantity]]*ArmyValue[[#This Row],[Space (Each)]]</f>
        <v>25</v>
      </c>
    </row>
    <row r="13" spans="2:12">
      <c r="B13" s="115" t="s">
        <v>85</v>
      </c>
      <c r="C13" s="116" t="str">
        <f>INDEX(UnitCosts[Type],MATCH(ArmyValue[[#This Row],[Name]],UnitCosts[Name],0))</f>
        <v>Unit</v>
      </c>
      <c r="D13" s="115">
        <f>IFERROR(MATCH(1,'Construction Dashboard'!H49:S49,0),1)</f>
        <v>4</v>
      </c>
      <c r="E13" s="116" t="str">
        <f>INDEX(UnitCosts[Resource],MATCH(ArmyValue[[#This Row],[Name]],UnitCosts[Name],0))</f>
        <v>Elixir</v>
      </c>
      <c r="F13" s="117">
        <f>VLOOKUP(ArmyValue[[#This Row],[Name]],UnitCosts[],MATCH(TEXT(ArmyValue[[#This Row],[Level]],"#"),UnitCosts[#Headers],0),FALSE)</f>
        <v>160</v>
      </c>
      <c r="G13" s="116">
        <f>INDEX(UnitCosts[Train Time],MATCH(ArmyValue[[#This Row],[Name]],UnitCosts[Name],0))</f>
        <v>0.41666666666666669</v>
      </c>
      <c r="H13" s="117">
        <f>INDEX(UnitCosts[Space],MATCH(ArmyValue[[#This Row],[Name]],UnitCosts[Name],0))</f>
        <v>1</v>
      </c>
      <c r="I13" s="40">
        <v>36</v>
      </c>
      <c r="J13" s="117">
        <f>ArmyValue[[#This Row],[Quantity]]*ArmyValue[[#This Row],[Cost (Each)]]</f>
        <v>5760</v>
      </c>
      <c r="K13" s="116">
        <f>ArmyValue[[#This Row],[Quantity]]*ArmyValue[[#This Row],[Time (Each)]]</f>
        <v>15</v>
      </c>
      <c r="L13" s="117">
        <f>ArmyValue[[#This Row],[Quantity]]*ArmyValue[[#This Row],[Space (Each)]]</f>
        <v>36</v>
      </c>
    </row>
    <row r="14" spans="2:12">
      <c r="B14" s="115" t="s">
        <v>86</v>
      </c>
      <c r="C14" s="116" t="str">
        <f>INDEX(UnitCosts[Type],MATCH(ArmyValue[[#This Row],[Name]],UnitCosts[Name],0))</f>
        <v>Unit</v>
      </c>
      <c r="D14" s="115">
        <f>IFERROR(MATCH(1,'Construction Dashboard'!H50:S50,0),1)</f>
        <v>3</v>
      </c>
      <c r="E14" s="116" t="str">
        <f>INDEX(UnitCosts[Resource],MATCH(ArmyValue[[#This Row],[Name]],UnitCosts[Name],0))</f>
        <v>Elixir</v>
      </c>
      <c r="F14" s="117">
        <f>VLOOKUP(ArmyValue[[#This Row],[Name]],UnitCosts[],MATCH(TEXT(ArmyValue[[#This Row],[Level]],"#"),UnitCosts[#Headers],0),FALSE)</f>
        <v>60</v>
      </c>
      <c r="G14" s="116">
        <f>INDEX(UnitCosts[Train Time],MATCH(ArmyValue[[#This Row],[Name]],UnitCosts[Name],0))</f>
        <v>0.5</v>
      </c>
      <c r="H14" s="117">
        <f>INDEX(UnitCosts[Space],MATCH(ArmyValue[[#This Row],[Name]],UnitCosts[Name],0))</f>
        <v>1</v>
      </c>
      <c r="I14" s="40">
        <v>50</v>
      </c>
      <c r="J14" s="117">
        <f>ArmyValue[[#This Row],[Quantity]]*ArmyValue[[#This Row],[Cost (Each)]]</f>
        <v>3000</v>
      </c>
      <c r="K14" s="116">
        <f>ArmyValue[[#This Row],[Quantity]]*ArmyValue[[#This Row],[Time (Each)]]</f>
        <v>25</v>
      </c>
      <c r="L14" s="117">
        <f>ArmyValue[[#This Row],[Quantity]]*ArmyValue[[#This Row],[Space (Each)]]</f>
        <v>50</v>
      </c>
    </row>
    <row r="15" spans="2:12">
      <c r="B15" s="115" t="s">
        <v>87</v>
      </c>
      <c r="C15" s="116" t="str">
        <f>INDEX(UnitCosts[Type],MATCH(ArmyValue[[#This Row],[Name]],UnitCosts[Name],0))</f>
        <v>Unit</v>
      </c>
      <c r="D15" s="115">
        <f>IFERROR(MATCH(1,'Construction Dashboard'!H51:S51,0),1)</f>
        <v>4</v>
      </c>
      <c r="E15" s="116" t="str">
        <f>INDEX(UnitCosts[Resource],MATCH(ArmyValue[[#This Row],[Name]],UnitCosts[Name],0))</f>
        <v>Elixir</v>
      </c>
      <c r="F15" s="117">
        <f>VLOOKUP(ArmyValue[[#This Row],[Name]],UnitCosts[],MATCH(TEXT(ArmyValue[[#This Row],[Level]],"#"),UnitCosts[#Headers],0),FALSE)</f>
        <v>2000</v>
      </c>
      <c r="G15" s="116">
        <f>INDEX(UnitCosts[Train Time],MATCH(ArmyValue[[#This Row],[Name]],UnitCosts[Name],0))</f>
        <v>2</v>
      </c>
      <c r="H15" s="117">
        <f>INDEX(UnitCosts[Space],MATCH(ArmyValue[[#This Row],[Name]],UnitCosts[Name],0))</f>
        <v>5</v>
      </c>
      <c r="I15" s="40">
        <v>12</v>
      </c>
      <c r="J15" s="117">
        <f>ArmyValue[[#This Row],[Quantity]]*ArmyValue[[#This Row],[Cost (Each)]]</f>
        <v>24000</v>
      </c>
      <c r="K15" s="116">
        <f>ArmyValue[[#This Row],[Quantity]]*ArmyValue[[#This Row],[Time (Each)]]</f>
        <v>24</v>
      </c>
      <c r="L15" s="117">
        <f>ArmyValue[[#This Row],[Quantity]]*ArmyValue[[#This Row],[Space (Each)]]</f>
        <v>60</v>
      </c>
    </row>
    <row r="16" spans="2:12">
      <c r="B16" s="115" t="s">
        <v>88</v>
      </c>
      <c r="C16" s="116" t="str">
        <f>INDEX(UnitCosts[Type],MATCH(ArmyValue[[#This Row],[Name]],UnitCosts[Name],0))</f>
        <v>Unit</v>
      </c>
      <c r="D16" s="115">
        <f>IFERROR(MATCH(1,'Construction Dashboard'!H52:S52,0),1)</f>
        <v>3</v>
      </c>
      <c r="E16" s="116" t="str">
        <f>INDEX(UnitCosts[Resource],MATCH(ArmyValue[[#This Row],[Name]],UnitCosts[Name],0))</f>
        <v>Elixir</v>
      </c>
      <c r="F16" s="117">
        <f>VLOOKUP(ArmyValue[[#This Row],[Name]],UnitCosts[],MATCH(TEXT(ArmyValue[[#This Row],[Level]],"#"),UnitCosts[#Headers],0),FALSE)</f>
        <v>2000</v>
      </c>
      <c r="G16" s="116">
        <f>INDEX(UnitCosts[Train Time],MATCH(ArmyValue[[#This Row],[Name]],UnitCosts[Name],0))</f>
        <v>2</v>
      </c>
      <c r="H16" s="117">
        <f>INDEX(UnitCosts[Space],MATCH(ArmyValue[[#This Row],[Name]],UnitCosts[Name],0))</f>
        <v>2</v>
      </c>
      <c r="I16" s="40">
        <v>6</v>
      </c>
      <c r="J16" s="117">
        <f>ArmyValue[[#This Row],[Quantity]]*ArmyValue[[#This Row],[Cost (Each)]]</f>
        <v>12000</v>
      </c>
      <c r="K16" s="116">
        <f>ArmyValue[[#This Row],[Quantity]]*ArmyValue[[#This Row],[Time (Each)]]</f>
        <v>12</v>
      </c>
      <c r="L16" s="117">
        <f>ArmyValue[[#This Row],[Quantity]]*ArmyValue[[#This Row],[Space (Each)]]</f>
        <v>12</v>
      </c>
    </row>
    <row r="17" spans="2:12">
      <c r="B17" s="115" t="s">
        <v>89</v>
      </c>
      <c r="C17" s="116" t="str">
        <f>INDEX(UnitCosts[Type],MATCH(ArmyValue[[#This Row],[Name]],UnitCosts[Name],0))</f>
        <v>Unit</v>
      </c>
      <c r="D17" s="115">
        <f>IFERROR(MATCH(1,'Construction Dashboard'!H53:S53,0),1)</f>
        <v>2</v>
      </c>
      <c r="E17" s="116" t="str">
        <f>INDEX(UnitCosts[Resource],MATCH(ArmyValue[[#This Row],[Name]],UnitCosts[Name],0))</f>
        <v>Elixir</v>
      </c>
      <c r="F17" s="117">
        <f>VLOOKUP(ArmyValue[[#This Row],[Name]],UnitCosts[],MATCH(TEXT(ArmyValue[[#This Row],[Level]],"#"),UnitCosts[#Headers],0),FALSE)</f>
        <v>2500</v>
      </c>
      <c r="G17" s="116">
        <f>INDEX(UnitCosts[Train Time],MATCH(ArmyValue[[#This Row],[Name]],UnitCosts[Name],0))</f>
        <v>8</v>
      </c>
      <c r="H17" s="117">
        <f>INDEX(UnitCosts[Space],MATCH(ArmyValue[[#This Row],[Name]],UnitCosts[Name],0))</f>
        <v>5</v>
      </c>
      <c r="I17" s="40"/>
      <c r="J17" s="117">
        <f>ArmyValue[[#This Row],[Quantity]]*ArmyValue[[#This Row],[Cost (Each)]]</f>
        <v>0</v>
      </c>
      <c r="K17" s="116">
        <f>ArmyValue[[#This Row],[Quantity]]*ArmyValue[[#This Row],[Time (Each)]]</f>
        <v>0</v>
      </c>
      <c r="L17" s="117">
        <f>ArmyValue[[#This Row],[Quantity]]*ArmyValue[[#This Row],[Space (Each)]]</f>
        <v>0</v>
      </c>
    </row>
    <row r="18" spans="2:12">
      <c r="B18" s="115" t="s">
        <v>90</v>
      </c>
      <c r="C18" s="116" t="str">
        <f>INDEX(UnitCosts[Type],MATCH(ArmyValue[[#This Row],[Name]],UnitCosts[Name],0))</f>
        <v>Unit</v>
      </c>
      <c r="D18" s="115">
        <f>IFERROR(MATCH(1,'Construction Dashboard'!H54:S54,0),1)</f>
        <v>3</v>
      </c>
      <c r="E18" s="116" t="str">
        <f>INDEX(UnitCosts[Resource],MATCH(ArmyValue[[#This Row],[Name]],UnitCosts[Name],0))</f>
        <v>Elixir</v>
      </c>
      <c r="F18" s="117">
        <f>VLOOKUP(ArmyValue[[#This Row],[Name]],UnitCosts[],MATCH(TEXT(ArmyValue[[#This Row],[Level]],"#"),UnitCosts[#Headers],0),FALSE)</f>
        <v>2500</v>
      </c>
      <c r="G18" s="116">
        <f>INDEX(UnitCosts[Train Time],MATCH(ArmyValue[[#This Row],[Name]],UnitCosts[Name],0))</f>
        <v>8</v>
      </c>
      <c r="H18" s="117">
        <f>INDEX(UnitCosts[Space],MATCH(ArmyValue[[#This Row],[Name]],UnitCosts[Name],0))</f>
        <v>4</v>
      </c>
      <c r="I18" s="40"/>
      <c r="J18" s="117">
        <f>ArmyValue[[#This Row],[Quantity]]*ArmyValue[[#This Row],[Cost (Each)]]</f>
        <v>0</v>
      </c>
      <c r="K18" s="116">
        <f>ArmyValue[[#This Row],[Quantity]]*ArmyValue[[#This Row],[Time (Each)]]</f>
        <v>0</v>
      </c>
      <c r="L18" s="117">
        <f>ArmyValue[[#This Row],[Quantity]]*ArmyValue[[#This Row],[Space (Each)]]</f>
        <v>0</v>
      </c>
    </row>
    <row r="19" spans="2:12">
      <c r="B19" s="115" t="s">
        <v>91</v>
      </c>
      <c r="C19" s="116" t="str">
        <f>INDEX(UnitCosts[Type],MATCH(ArmyValue[[#This Row],[Name]],UnitCosts[Name],0))</f>
        <v>Unit</v>
      </c>
      <c r="D19" s="115">
        <f>IFERROR(MATCH(1,'Construction Dashboard'!H55:S55,0),1)</f>
        <v>2</v>
      </c>
      <c r="E19" s="116" t="str">
        <f>INDEX(UnitCosts[Resource],MATCH(ArmyValue[[#This Row],[Name]],UnitCosts[Name],0))</f>
        <v>Elixir</v>
      </c>
      <c r="F19" s="117">
        <f>VLOOKUP(ArmyValue[[#This Row],[Name]],UnitCosts[],MATCH(TEXT(ArmyValue[[#This Row],[Level]],"#"),UnitCosts[#Headers],0),FALSE)</f>
        <v>6000</v>
      </c>
      <c r="G19" s="116">
        <f>INDEX(UnitCosts[Train Time],MATCH(ArmyValue[[#This Row],[Name]],UnitCosts[Name],0))</f>
        <v>15</v>
      </c>
      <c r="H19" s="117">
        <f>INDEX(UnitCosts[Space],MATCH(ArmyValue[[#This Row],[Name]],UnitCosts[Name],0))</f>
        <v>14</v>
      </c>
      <c r="I19" s="40"/>
      <c r="J19" s="117">
        <f>ArmyValue[[#This Row],[Quantity]]*ArmyValue[[#This Row],[Cost (Each)]]</f>
        <v>0</v>
      </c>
      <c r="K19" s="116">
        <f>ArmyValue[[#This Row],[Quantity]]*ArmyValue[[#This Row],[Time (Each)]]</f>
        <v>0</v>
      </c>
      <c r="L19" s="117">
        <f>ArmyValue[[#This Row],[Quantity]]*ArmyValue[[#This Row],[Space (Each)]]</f>
        <v>0</v>
      </c>
    </row>
    <row r="20" spans="2:12">
      <c r="B20" s="115" t="s">
        <v>92</v>
      </c>
      <c r="C20" s="116" t="str">
        <f>INDEX(UnitCosts[Type],MATCH(ArmyValue[[#This Row],[Name]],UnitCosts[Name],0))</f>
        <v>Unit</v>
      </c>
      <c r="D20" s="115">
        <f>IFERROR(MATCH(1,'Construction Dashboard'!H56:S56,0),1)</f>
        <v>1</v>
      </c>
      <c r="E20" s="116" t="str">
        <f>INDEX(UnitCosts[Resource],MATCH(ArmyValue[[#This Row],[Name]],UnitCosts[Name],0))</f>
        <v>Elixir</v>
      </c>
      <c r="F20" s="117">
        <f>VLOOKUP(ArmyValue[[#This Row],[Name]],UnitCosts[],MATCH(TEXT(ArmyValue[[#This Row],[Level]],"#"),UnitCosts[#Headers],0),FALSE)</f>
        <v>25000</v>
      </c>
      <c r="G20" s="116">
        <f>INDEX(UnitCosts[Train Time],MATCH(ArmyValue[[#This Row],[Name]],UnitCosts[Name],0))</f>
        <v>30</v>
      </c>
      <c r="H20" s="117">
        <f>INDEX(UnitCosts[Space],MATCH(ArmyValue[[#This Row],[Name]],UnitCosts[Name],0))</f>
        <v>20</v>
      </c>
      <c r="I20" s="40"/>
      <c r="J20" s="117">
        <f>ArmyValue[[#This Row],[Quantity]]*ArmyValue[[#This Row],[Cost (Each)]]</f>
        <v>0</v>
      </c>
      <c r="K20" s="116">
        <f>ArmyValue[[#This Row],[Quantity]]*ArmyValue[[#This Row],[Time (Each)]]</f>
        <v>0</v>
      </c>
      <c r="L20" s="117">
        <f>ArmyValue[[#This Row],[Quantity]]*ArmyValue[[#This Row],[Space (Each)]]</f>
        <v>0</v>
      </c>
    </row>
    <row r="21" spans="2:12">
      <c r="B21" s="115" t="s">
        <v>93</v>
      </c>
      <c r="C21" s="116" t="str">
        <f>INDEX(UnitCosts[Type],MATCH(ArmyValue[[#This Row],[Name]],UnitCosts[Name],0))</f>
        <v>Unit</v>
      </c>
      <c r="D21" s="115">
        <f>IFERROR(MATCH(1,'Construction Dashboard'!H57:S57,0),1)</f>
        <v>1</v>
      </c>
      <c r="E21" s="116" t="str">
        <f>INDEX(UnitCosts[Resource],MATCH(ArmyValue[[#This Row],[Name]],UnitCosts[Name],0))</f>
        <v>Elixir</v>
      </c>
      <c r="F21" s="117">
        <f>VLOOKUP(ArmyValue[[#This Row],[Name]],UnitCosts[],MATCH(TEXT(ArmyValue[[#This Row],[Level]],"#"),UnitCosts[#Headers],0),FALSE)</f>
        <v>30000</v>
      </c>
      <c r="G21" s="116">
        <f>INDEX(UnitCosts[Train Time],MATCH(ArmyValue[[#This Row],[Name]],UnitCosts[Name],0))</f>
        <v>45</v>
      </c>
      <c r="H21" s="117">
        <f>INDEX(UnitCosts[Space],MATCH(ArmyValue[[#This Row],[Name]],UnitCosts[Name],0))</f>
        <v>25</v>
      </c>
      <c r="I21" s="40"/>
      <c r="J21" s="117">
        <f>ArmyValue[[#This Row],[Quantity]]*ArmyValue[[#This Row],[Cost (Each)]]</f>
        <v>0</v>
      </c>
      <c r="K21" s="116">
        <f>ArmyValue[[#This Row],[Quantity]]*ArmyValue[[#This Row],[Time (Each)]]</f>
        <v>0</v>
      </c>
      <c r="L21" s="117">
        <f>ArmyValue[[#This Row],[Quantity]]*ArmyValue[[#This Row],[Space (Each)]]</f>
        <v>0</v>
      </c>
    </row>
    <row r="22" spans="2:12">
      <c r="B22" s="115" t="s">
        <v>94</v>
      </c>
      <c r="C22" s="116" t="str">
        <f>INDEX(UnitCosts[Type],MATCH(ArmyValue[[#This Row],[Name]],UnitCosts[Name],0))</f>
        <v>Spell</v>
      </c>
      <c r="D22" s="115">
        <f>IFERROR(MATCH(1,'Construction Dashboard'!H58:S58,0),1)</f>
        <v>3</v>
      </c>
      <c r="E22" s="116" t="str">
        <f>INDEX(UnitCosts[Resource],MATCH(ArmyValue[[#This Row],[Name]],UnitCosts[Name],0))</f>
        <v>Elixir</v>
      </c>
      <c r="F22" s="117">
        <f>VLOOKUP(ArmyValue[[#This Row],[Name]],UnitCosts[],MATCH(TEXT(ArmyValue[[#This Row],[Level]],"#"),UnitCosts[#Headers],0),FALSE)</f>
        <v>18000</v>
      </c>
      <c r="G22" s="116">
        <f>INDEX(UnitCosts[Train Time],MATCH(ArmyValue[[#This Row],[Name]],UnitCosts[Name],0))</f>
        <v>30</v>
      </c>
      <c r="H22" s="117">
        <f>INDEX(UnitCosts[Space],MATCH(ArmyValue[[#This Row],[Name]],UnitCosts[Name],0))</f>
        <v>1</v>
      </c>
      <c r="I22" s="40"/>
      <c r="J22" s="117">
        <f>ArmyValue[[#This Row],[Quantity]]*ArmyValue[[#This Row],[Cost (Each)]]</f>
        <v>0</v>
      </c>
      <c r="K22" s="116">
        <f>ArmyValue[[#This Row],[Quantity]]*ArmyValue[[#This Row],[Time (Each)]]</f>
        <v>0</v>
      </c>
      <c r="L22" s="117">
        <f>ArmyValue[[#This Row],[Quantity]]*ArmyValue[[#This Row],[Space (Each)]]</f>
        <v>0</v>
      </c>
    </row>
    <row r="23" spans="2:12">
      <c r="B23" s="115" t="s">
        <v>95</v>
      </c>
      <c r="C23" s="116" t="str">
        <f>INDEX(UnitCosts[Type],MATCH(ArmyValue[[#This Row],[Name]],UnitCosts[Name],0))</f>
        <v>Spell</v>
      </c>
      <c r="D23" s="115">
        <f>IFERROR(MATCH(1,'Construction Dashboard'!H59:S59,0),1)</f>
        <v>3</v>
      </c>
      <c r="E23" s="116" t="str">
        <f>INDEX(UnitCosts[Resource],MATCH(ArmyValue[[#This Row],[Name]],UnitCosts[Name],0))</f>
        <v>Elixir</v>
      </c>
      <c r="F23" s="117">
        <f>VLOOKUP(ArmyValue[[#This Row],[Name]],UnitCosts[],MATCH(TEXT(ArmyValue[[#This Row],[Level]],"#"),UnitCosts[#Headers],0),FALSE)</f>
        <v>18000</v>
      </c>
      <c r="G23" s="116">
        <f>INDEX(UnitCosts[Train Time],MATCH(ArmyValue[[#This Row],[Name]],UnitCosts[Name],0))</f>
        <v>30</v>
      </c>
      <c r="H23" s="117">
        <f>INDEX(UnitCosts[Space],MATCH(ArmyValue[[#This Row],[Name]],UnitCosts[Name],0))</f>
        <v>1</v>
      </c>
      <c r="I23" s="40"/>
      <c r="J23" s="117">
        <f>ArmyValue[[#This Row],[Quantity]]*ArmyValue[[#This Row],[Cost (Each)]]</f>
        <v>0</v>
      </c>
      <c r="K23" s="116">
        <f>ArmyValue[[#This Row],[Quantity]]*ArmyValue[[#This Row],[Time (Each)]]</f>
        <v>0</v>
      </c>
      <c r="L23" s="117">
        <f>ArmyValue[[#This Row],[Quantity]]*ArmyValue[[#This Row],[Space (Each)]]</f>
        <v>0</v>
      </c>
    </row>
    <row r="24" spans="2:12">
      <c r="B24" s="115" t="s">
        <v>96</v>
      </c>
      <c r="C24" s="116" t="str">
        <f>INDEX(UnitCosts[Type],MATCH(ArmyValue[[#This Row],[Name]],UnitCosts[Name],0))</f>
        <v>Spell</v>
      </c>
      <c r="D24" s="115">
        <f>IFERROR(MATCH(1,'Construction Dashboard'!H60:S60,0),1)</f>
        <v>2</v>
      </c>
      <c r="E24" s="116" t="str">
        <f>INDEX(UnitCosts[Resource],MATCH(ArmyValue[[#This Row],[Name]],UnitCosts[Name],0))</f>
        <v>Elixir</v>
      </c>
      <c r="F24" s="117">
        <f>VLOOKUP(ArmyValue[[#This Row],[Name]],UnitCosts[],MATCH(TEXT(ArmyValue[[#This Row],[Level]],"#"),UnitCosts[#Headers],0),FALSE)</f>
        <v>25000</v>
      </c>
      <c r="G24" s="116">
        <f>INDEX(UnitCosts[Train Time],MATCH(ArmyValue[[#This Row],[Name]],UnitCosts[Name],0))</f>
        <v>45</v>
      </c>
      <c r="H24" s="117">
        <f>INDEX(UnitCosts[Space],MATCH(ArmyValue[[#This Row],[Name]],UnitCosts[Name],0))</f>
        <v>1</v>
      </c>
      <c r="I24" s="40"/>
      <c r="J24" s="117">
        <f>ArmyValue[[#This Row],[Quantity]]*ArmyValue[[#This Row],[Cost (Each)]]</f>
        <v>0</v>
      </c>
      <c r="K24" s="116">
        <f>ArmyValue[[#This Row],[Quantity]]*ArmyValue[[#This Row],[Time (Each)]]</f>
        <v>0</v>
      </c>
      <c r="L24" s="117">
        <f>ArmyValue[[#This Row],[Quantity]]*ArmyValue[[#This Row],[Space (Each)]]</f>
        <v>0</v>
      </c>
    </row>
    <row r="25" spans="2:12">
      <c r="B25" s="115" t="s">
        <v>97</v>
      </c>
      <c r="C25" s="116" t="str">
        <f>INDEX(UnitCosts[Type],MATCH(ArmyValue[[#This Row],[Name]],UnitCosts[Name],0))</f>
        <v>Spell</v>
      </c>
      <c r="D25" s="115">
        <f>IFERROR(MATCH(1,'Construction Dashboard'!H61:S61,0),1)</f>
        <v>1</v>
      </c>
      <c r="E25" s="116" t="str">
        <f>INDEX(UnitCosts[Resource],MATCH(ArmyValue[[#This Row],[Name]],UnitCosts[Name],0))</f>
        <v>Elixir</v>
      </c>
      <c r="F25" s="117">
        <f>VLOOKUP(ArmyValue[[#This Row],[Name]],UnitCosts[],MATCH(TEXT(ArmyValue[[#This Row],[Level]],"#"),UnitCosts[#Headers],0),FALSE)</f>
        <v>23000</v>
      </c>
      <c r="G25" s="116">
        <f>INDEX(UnitCosts[Train Time],MATCH(ArmyValue[[#This Row],[Name]],UnitCosts[Name],0))</f>
        <v>45</v>
      </c>
      <c r="H25" s="117">
        <f>INDEX(UnitCosts[Space],MATCH(ArmyValue[[#This Row],[Name]],UnitCosts[Name],0))</f>
        <v>1</v>
      </c>
      <c r="I25" s="40"/>
      <c r="J25" s="117">
        <f>ArmyValue[[#This Row],[Quantity]]*ArmyValue[[#This Row],[Cost (Each)]]</f>
        <v>0</v>
      </c>
      <c r="K25" s="116">
        <f>ArmyValue[[#This Row],[Quantity]]*ArmyValue[[#This Row],[Time (Each)]]</f>
        <v>0</v>
      </c>
      <c r="L25" s="117">
        <f>ArmyValue[[#This Row],[Quantity]]*ArmyValue[[#This Row],[Space (Each)]]</f>
        <v>0</v>
      </c>
    </row>
    <row r="26" spans="2:12">
      <c r="B26" s="115" t="s">
        <v>98</v>
      </c>
      <c r="C26" s="116" t="str">
        <f>INDEX(UnitCosts[Type],MATCH(ArmyValue[[#This Row],[Name]],UnitCosts[Name],0))</f>
        <v>Spell</v>
      </c>
      <c r="D26" s="115">
        <f>IFERROR(MATCH(1,'Construction Dashboard'!H62:S62,0),1)</f>
        <v>1</v>
      </c>
      <c r="E26" s="116" t="str">
        <f>INDEX(UnitCosts[Resource],MATCH(ArmyValue[[#This Row],[Name]],UnitCosts[Name],0))</f>
        <v>Elixir</v>
      </c>
      <c r="F26" s="117">
        <f>VLOOKUP(ArmyValue[[#This Row],[Name]],UnitCosts[],MATCH(TEXT(ArmyValue[[#This Row],[Level]],"#"),UnitCosts[#Headers],0),FALSE)</f>
        <v>26000</v>
      </c>
      <c r="G26" s="116">
        <f>INDEX(UnitCosts[Train Time],MATCH(ArmyValue[[#This Row],[Name]],UnitCosts[Name],0))</f>
        <v>45</v>
      </c>
      <c r="H26" s="117">
        <f>INDEX(UnitCosts[Space],MATCH(ArmyValue[[#This Row],[Name]],UnitCosts[Name],0))</f>
        <v>1</v>
      </c>
      <c r="I26" s="40"/>
      <c r="J26" s="117">
        <f>ArmyValue[[#This Row],[Quantity]]*ArmyValue[[#This Row],[Cost (Each)]]</f>
        <v>0</v>
      </c>
      <c r="K26" s="116">
        <f>ArmyValue[[#This Row],[Quantity]]*ArmyValue[[#This Row],[Time (Each)]]</f>
        <v>0</v>
      </c>
      <c r="L26" s="117">
        <f>ArmyValue[[#This Row],[Quantity]]*ArmyValue[[#This Row],[Space (Each)]]</f>
        <v>0</v>
      </c>
    </row>
    <row r="27" spans="2:12">
      <c r="B27" s="115" t="s">
        <v>99</v>
      </c>
      <c r="C27" s="116" t="str">
        <f>INDEX(UnitCosts[Type],MATCH(ArmyValue[[#This Row],[Name]],UnitCosts[Name],0))</f>
        <v>Unit</v>
      </c>
      <c r="D27" s="115">
        <f>IFERROR(MATCH(1,'Construction Dashboard'!H63:S63,0),1)</f>
        <v>1</v>
      </c>
      <c r="E27" s="116" t="str">
        <f>INDEX(UnitCosts[Resource],MATCH(ArmyValue[[#This Row],[Name]],UnitCosts[Name],0))</f>
        <v>Dark Elixir</v>
      </c>
      <c r="F27" s="117">
        <f>VLOOKUP(ArmyValue[[#This Row],[Name]],UnitCosts[],MATCH(TEXT(ArmyValue[[#This Row],[Level]],"#"),UnitCosts[#Headers],0),FALSE)</f>
        <v>6</v>
      </c>
      <c r="G27" s="116">
        <f>INDEX(UnitCosts[Train Time],MATCH(ArmyValue[[#This Row],[Name]],UnitCosts[Name],0))</f>
        <v>0.75</v>
      </c>
      <c r="H27" s="117">
        <f>INDEX(UnitCosts[Space],MATCH(ArmyValue[[#This Row],[Name]],UnitCosts[Name],0))</f>
        <v>2</v>
      </c>
      <c r="I27" s="40"/>
      <c r="J27" s="117">
        <f>ArmyValue[[#This Row],[Quantity]]*ArmyValue[[#This Row],[Cost (Each)]]</f>
        <v>0</v>
      </c>
      <c r="K27" s="116">
        <f>ArmyValue[[#This Row],[Quantity]]*ArmyValue[[#This Row],[Time (Each)]]</f>
        <v>0</v>
      </c>
      <c r="L27" s="117">
        <f>ArmyValue[[#This Row],[Quantity]]*ArmyValue[[#This Row],[Space (Each)]]</f>
        <v>0</v>
      </c>
    </row>
    <row r="28" spans="2:12">
      <c r="B28" s="115" t="s">
        <v>100</v>
      </c>
      <c r="C28" s="116" t="str">
        <f>INDEX(UnitCosts[Type],MATCH(ArmyValue[[#This Row],[Name]],UnitCosts[Name],0))</f>
        <v>Unit</v>
      </c>
      <c r="D28" s="115">
        <f>IFERROR(MATCH(1,'Construction Dashboard'!H64:S64,0),1)</f>
        <v>1</v>
      </c>
      <c r="E28" s="116" t="str">
        <f>INDEX(UnitCosts[Resource],MATCH(ArmyValue[[#This Row],[Name]],UnitCosts[Name],0))</f>
        <v>Dark Elixir</v>
      </c>
      <c r="F28" s="117">
        <f>VLOOKUP(ArmyValue[[#This Row],[Name]],UnitCosts[],MATCH(TEXT(ArmyValue[[#This Row],[Level]],"#"),UnitCosts[#Headers],0),FALSE)</f>
        <v>40</v>
      </c>
      <c r="G28" s="116">
        <f>INDEX(UnitCosts[Train Time],MATCH(ArmyValue[[#This Row],[Name]],UnitCosts[Name],0))</f>
        <v>2</v>
      </c>
      <c r="H28" s="117">
        <f>INDEX(UnitCosts[Space],MATCH(ArmyValue[[#This Row],[Name]],UnitCosts[Name],0))</f>
        <v>5</v>
      </c>
      <c r="I28" s="40"/>
      <c r="J28" s="117">
        <f>ArmyValue[[#This Row],[Quantity]]*ArmyValue[[#This Row],[Cost (Each)]]</f>
        <v>0</v>
      </c>
      <c r="K28" s="116">
        <f>ArmyValue[[#This Row],[Quantity]]*ArmyValue[[#This Row],[Time (Each)]]</f>
        <v>0</v>
      </c>
      <c r="L28" s="117">
        <f>ArmyValue[[#This Row],[Quantity]]*ArmyValue[[#This Row],[Space (Each)]]</f>
        <v>0</v>
      </c>
    </row>
    <row r="29" spans="2:12">
      <c r="B29" s="115" t="s">
        <v>101</v>
      </c>
      <c r="C29" s="116" t="str">
        <f>INDEX(UnitCosts[Type],MATCH(ArmyValue[[#This Row],[Name]],UnitCosts[Name],0))</f>
        <v>Unit</v>
      </c>
      <c r="D29" s="115">
        <f>IFERROR(MATCH(1,'Construction Dashboard'!H65:S65,0),1)</f>
        <v>1</v>
      </c>
      <c r="E29" s="116" t="str">
        <f>INDEX(UnitCosts[Resource],MATCH(ArmyValue[[#This Row],[Name]],UnitCosts[Name],0))</f>
        <v>Dark Elixir</v>
      </c>
      <c r="F29" s="117">
        <f>VLOOKUP(ArmyValue[[#This Row],[Name]],UnitCosts[],MATCH(TEXT(ArmyValue[[#This Row],[Level]],"#"),UnitCosts[#Headers],0),FALSE)</f>
        <v>70</v>
      </c>
      <c r="G29" s="116">
        <f>INDEX(UnitCosts[Train Time],MATCH(ArmyValue[[#This Row],[Name]],UnitCosts[Name],0))</f>
        <v>15</v>
      </c>
      <c r="H29" s="117">
        <f>INDEX(UnitCosts[Space],MATCH(ArmyValue[[#This Row],[Name]],UnitCosts[Name],0))</f>
        <v>8</v>
      </c>
      <c r="I29" s="40"/>
      <c r="J29" s="117">
        <f>ArmyValue[[#This Row],[Quantity]]*ArmyValue[[#This Row],[Cost (Each)]]</f>
        <v>0</v>
      </c>
      <c r="K29" s="116">
        <f>ArmyValue[[#This Row],[Quantity]]*ArmyValue[[#This Row],[Time (Each)]]</f>
        <v>0</v>
      </c>
      <c r="L29" s="117">
        <f>ArmyValue[[#This Row],[Quantity]]*ArmyValue[[#This Row],[Space (Each)]]</f>
        <v>0</v>
      </c>
    </row>
    <row r="30" spans="2:12">
      <c r="B30" s="115" t="s">
        <v>102</v>
      </c>
      <c r="C30" s="116" t="str">
        <f>INDEX(UnitCosts[Type],MATCH(ArmyValue[[#This Row],[Name]],UnitCosts[Name],0))</f>
        <v>Unit</v>
      </c>
      <c r="D30" s="115">
        <f>IFERROR(MATCH(1,'Construction Dashboard'!H66:S66,0),1)</f>
        <v>1</v>
      </c>
      <c r="E30" s="116" t="str">
        <f>INDEX(UnitCosts[Resource],MATCH(ArmyValue[[#This Row],[Name]],UnitCosts[Name],0))</f>
        <v>Dark Elixir</v>
      </c>
      <c r="F30" s="117">
        <f>VLOOKUP(ArmyValue[[#This Row],[Name]],UnitCosts[],MATCH(TEXT(ArmyValue[[#This Row],[Level]],"#"),UnitCosts[#Headers],0),FALSE)</f>
        <v>450</v>
      </c>
      <c r="G30" s="116">
        <f>INDEX(UnitCosts[Train Time],MATCH(ArmyValue[[#This Row],[Name]],UnitCosts[Name],0))</f>
        <v>45</v>
      </c>
      <c r="H30" s="117">
        <f>INDEX(UnitCosts[Space],MATCH(ArmyValue[[#This Row],[Name]],UnitCosts[Name],0))</f>
        <v>30</v>
      </c>
      <c r="I30" s="40"/>
      <c r="J30" s="117">
        <f>ArmyValue[[#This Row],[Quantity]]*ArmyValue[[#This Row],[Cost (Each)]]</f>
        <v>0</v>
      </c>
      <c r="K30" s="116">
        <f>ArmyValue[[#This Row],[Quantity]]*ArmyValue[[#This Row],[Time (Each)]]</f>
        <v>0</v>
      </c>
      <c r="L30" s="117">
        <f>ArmyValue[[#This Row],[Quantity]]*ArmyValue[[#This Row],[Space (Each)]]</f>
        <v>0</v>
      </c>
    </row>
    <row r="31" spans="2:12">
      <c r="B31" s="115" t="s">
        <v>103</v>
      </c>
      <c r="C31" s="116" t="str">
        <f>INDEX(UnitCosts[Type],MATCH(ArmyValue[[#This Row],[Name]],UnitCosts[Name],0))</f>
        <v>Unit</v>
      </c>
      <c r="D31" s="115">
        <f>IFERROR(MATCH(1,'Construction Dashboard'!H67:S67,0),1)</f>
        <v>1</v>
      </c>
      <c r="E31" s="116" t="str">
        <f>INDEX(UnitCosts[Resource],MATCH(ArmyValue[[#This Row],[Name]],UnitCosts[Name],0))</f>
        <v>Dark Elixir</v>
      </c>
      <c r="F31" s="117">
        <f>VLOOKUP(ArmyValue[[#This Row],[Name]],UnitCosts[],MATCH(TEXT(ArmyValue[[#This Row],[Level]],"#"),UnitCosts[#Headers],0),FALSE)</f>
        <v>250</v>
      </c>
      <c r="G31" s="116">
        <f>INDEX(UnitCosts[Train Time],MATCH(ArmyValue[[#This Row],[Name]],UnitCosts[Name],0))</f>
        <v>20</v>
      </c>
      <c r="H31" s="117">
        <f>INDEX(UnitCosts[Space],MATCH(ArmyValue[[#This Row],[Name]],UnitCosts[Name],0))</f>
        <v>12</v>
      </c>
      <c r="I31" s="40"/>
      <c r="J31" s="117">
        <f>ArmyValue[[#This Row],[Quantity]]*ArmyValue[[#This Row],[Cost (Each)]]</f>
        <v>0</v>
      </c>
      <c r="K31" s="116">
        <f>ArmyValue[[#This Row],[Quantity]]*ArmyValue[[#This Row],[Time (Each)]]</f>
        <v>0</v>
      </c>
      <c r="L31" s="117">
        <f>ArmyValue[[#This Row],[Quantity]]*ArmyValue[[#This Row],[Space (Each)]]</f>
        <v>0</v>
      </c>
    </row>
    <row r="32" spans="2:12">
      <c r="B32" s="115" t="s">
        <v>171</v>
      </c>
      <c r="I32" s="115">
        <f>SUBTOTAL(109,ArmyValue[Quantity])</f>
        <v>129</v>
      </c>
      <c r="L32" s="117">
        <f>SUBTOTAL(109,ArmyValue[Total Space])</f>
        <v>183</v>
      </c>
    </row>
    <row r="33" spans="8:12">
      <c r="J33" s="188" t="s">
        <v>176</v>
      </c>
      <c r="K33" s="189"/>
      <c r="L33" s="118">
        <f>CampCap</f>
        <v>195</v>
      </c>
    </row>
    <row r="34" spans="8:12" ht="16" thickBot="1">
      <c r="J34" s="186" t="s">
        <v>177</v>
      </c>
      <c r="K34" s="187"/>
      <c r="L34" s="119">
        <f>L33-ArmyValue[[#Totals],[Total Space]]</f>
        <v>12</v>
      </c>
    </row>
    <row r="35" spans="8:12" ht="17" thickTop="1" thickBot="1"/>
    <row r="36" spans="8:12" ht="17" thickTop="1" thickBot="1">
      <c r="H36" s="183" t="s">
        <v>178</v>
      </c>
      <c r="I36" s="184"/>
      <c r="J36" s="184"/>
      <c r="K36" s="184"/>
      <c r="L36" s="185"/>
    </row>
    <row r="37" spans="8:12" ht="16" thickTop="1">
      <c r="H37" s="120"/>
      <c r="I37" s="121" t="s">
        <v>1</v>
      </c>
      <c r="J37" s="121" t="s">
        <v>104</v>
      </c>
      <c r="K37" s="121" t="s">
        <v>179</v>
      </c>
      <c r="L37" s="122" t="s">
        <v>175</v>
      </c>
    </row>
    <row r="38" spans="8:12">
      <c r="H38" s="123" t="s">
        <v>161</v>
      </c>
      <c r="I38" s="56">
        <f>SUMIFS(ArmyValue[Total Cost],ArmyValue[Resource],I$37,ArmyValue[Type],$H38)</f>
        <v>46760</v>
      </c>
      <c r="J38" s="56">
        <f>SUMIFS(ArmyValue[Total Cost],ArmyValue[Resource],J$37,ArmyValue[Type],$H38)</f>
        <v>0</v>
      </c>
      <c r="K38" s="124">
        <f>SUMIFS(ArmyValue[Total Time],ArmyValue[Type],H38)</f>
        <v>84.333333333333329</v>
      </c>
      <c r="L38" s="125">
        <f>K38/NumBarracks</f>
        <v>21.083333333333332</v>
      </c>
    </row>
    <row r="39" spans="8:12">
      <c r="H39" s="123" t="s">
        <v>162</v>
      </c>
      <c r="I39" s="56">
        <f>SUMIFS(ArmyValue[Total Cost],ArmyValue[Resource],I$37,ArmyValue[Type],$H39)</f>
        <v>0</v>
      </c>
      <c r="J39" s="56">
        <f>SUMIFS(ArmyValue[Total Cost],ArmyValue[Resource],J$37,ArmyValue[Type],$H39)</f>
        <v>0</v>
      </c>
      <c r="K39" s="124">
        <f>SUMIFS(ArmyValue[Total Time],ArmyValue[Type],H39)</f>
        <v>0</v>
      </c>
      <c r="L39" s="125"/>
    </row>
    <row r="40" spans="8:12" ht="16" thickBot="1">
      <c r="H40" s="126" t="s">
        <v>111</v>
      </c>
      <c r="I40" s="72">
        <f>SUM(I38:I39)</f>
        <v>46760</v>
      </c>
      <c r="J40" s="72">
        <f>SUM(J38:J39)</f>
        <v>0</v>
      </c>
      <c r="K40" s="127">
        <f>SUM(K38:K39)</f>
        <v>84.333333333333329</v>
      </c>
      <c r="L40" s="128"/>
    </row>
    <row r="41" spans="8:12" ht="16" thickTop="1"/>
  </sheetData>
  <sheetProtection password="F457" sheet="1" objects="1" scenarios="1" sort="0" autoFilter="0" pivotTables="0"/>
  <mergeCells count="3">
    <mergeCell ref="H36:L36"/>
    <mergeCell ref="J34:K34"/>
    <mergeCell ref="J33:K33"/>
  </mergeCells>
  <conditionalFormatting sqref="I38:L40">
    <cfRule type="cellIs" dxfId="160" priority="1" operator="equal">
      <formula>0</formula>
    </cfRule>
  </conditionalFormatting>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9"/>
  <sheetViews>
    <sheetView workbookViewId="0">
      <selection activeCell="F46" sqref="F46"/>
    </sheetView>
    <sheetView workbookViewId="1">
      <selection sqref="A1:F2"/>
    </sheetView>
  </sheetViews>
  <sheetFormatPr baseColWidth="10" defaultRowHeight="15" x14ac:dyDescent="0"/>
  <cols>
    <col min="1" max="16384" width="10.83203125" style="47"/>
  </cols>
  <sheetData>
    <row r="1" spans="1:6" ht="16" thickTop="1">
      <c r="A1" s="168" t="s">
        <v>141</v>
      </c>
      <c r="B1" s="169"/>
      <c r="C1" s="169"/>
      <c r="D1" s="169"/>
      <c r="E1" s="169"/>
      <c r="F1" s="180"/>
    </row>
    <row r="2" spans="1:6" ht="16" thickBot="1">
      <c r="A2" s="174"/>
      <c r="B2" s="175"/>
      <c r="C2" s="175"/>
      <c r="D2" s="175"/>
      <c r="E2" s="175"/>
      <c r="F2" s="181"/>
    </row>
    <row r="3" spans="1:6" ht="16" thickTop="1"/>
    <row r="4" spans="1:6">
      <c r="A4" s="190" t="s">
        <v>187</v>
      </c>
      <c r="B4" s="191"/>
      <c r="C4" s="191"/>
      <c r="D4" s="191"/>
      <c r="E4" s="191"/>
      <c r="F4" s="191"/>
    </row>
    <row r="5" spans="1:6">
      <c r="A5" s="191"/>
      <c r="B5" s="191"/>
      <c r="C5" s="191"/>
      <c r="D5" s="191"/>
      <c r="E5" s="191"/>
      <c r="F5" s="191"/>
    </row>
    <row r="6" spans="1:6">
      <c r="A6" s="191"/>
      <c r="B6" s="191"/>
      <c r="C6" s="191"/>
      <c r="D6" s="191"/>
      <c r="E6" s="191"/>
      <c r="F6" s="191"/>
    </row>
    <row r="7" spans="1:6">
      <c r="A7" s="191"/>
      <c r="B7" s="191"/>
      <c r="C7" s="191"/>
      <c r="D7" s="191"/>
      <c r="E7" s="191"/>
      <c r="F7" s="191"/>
    </row>
    <row r="8" spans="1:6">
      <c r="A8" s="191"/>
      <c r="B8" s="191"/>
      <c r="C8" s="191"/>
      <c r="D8" s="191"/>
      <c r="E8" s="191"/>
      <c r="F8" s="191"/>
    </row>
    <row r="9" spans="1:6">
      <c r="A9" s="191"/>
      <c r="B9" s="191"/>
      <c r="C9" s="191"/>
      <c r="D9" s="191"/>
      <c r="E9" s="191"/>
      <c r="F9" s="191"/>
    </row>
  </sheetData>
  <mergeCells count="2">
    <mergeCell ref="A1:F2"/>
    <mergeCell ref="A4:F9"/>
  </mergeCells>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45"/>
  <sheetViews>
    <sheetView topLeftCell="A12" workbookViewId="0">
      <selection activeCell="F46" sqref="F46"/>
    </sheetView>
    <sheetView workbookViewId="1"/>
  </sheetViews>
  <sheetFormatPr baseColWidth="10" defaultRowHeight="15" x14ac:dyDescent="0"/>
  <cols>
    <col min="1" max="1" width="5" style="1" customWidth="1"/>
    <col min="2" max="2" width="10.5" style="1" bestFit="1" customWidth="1"/>
    <col min="3" max="3" width="57.83203125" style="1" customWidth="1"/>
    <col min="4" max="16384" width="10.83203125" style="1"/>
  </cols>
  <sheetData>
    <row r="1" spans="2:3" ht="16" thickBot="1"/>
    <row r="2" spans="2:3" ht="16" thickTop="1">
      <c r="B2" s="192" t="s">
        <v>119</v>
      </c>
      <c r="C2" s="193"/>
    </row>
    <row r="3" spans="2:3">
      <c r="B3" s="4"/>
      <c r="C3" s="26" t="s">
        <v>120</v>
      </c>
    </row>
    <row r="4" spans="2:3">
      <c r="B4" s="4"/>
      <c r="C4" s="30" t="s">
        <v>128</v>
      </c>
    </row>
    <row r="5" spans="2:3">
      <c r="B5" s="4"/>
      <c r="C5" s="31" t="s">
        <v>142</v>
      </c>
    </row>
    <row r="6" spans="2:3">
      <c r="B6" s="4"/>
      <c r="C6" s="32"/>
    </row>
    <row r="7" spans="2:3">
      <c r="B7" s="4"/>
      <c r="C7" s="32" t="s">
        <v>144</v>
      </c>
    </row>
    <row r="8" spans="2:3">
      <c r="B8" s="4"/>
      <c r="C8" s="138" t="s">
        <v>143</v>
      </c>
    </row>
    <row r="9" spans="2:3">
      <c r="B9" s="4"/>
      <c r="C9" s="30"/>
    </row>
    <row r="10" spans="2:3" ht="46" thickBot="1">
      <c r="B10" s="3"/>
      <c r="C10" s="33" t="s">
        <v>189</v>
      </c>
    </row>
    <row r="11" spans="2:3" ht="17" thickTop="1" thickBot="1">
      <c r="B11" s="2"/>
    </row>
    <row r="12" spans="2:3" ht="16" thickTop="1">
      <c r="B12" s="192" t="s">
        <v>123</v>
      </c>
      <c r="C12" s="193"/>
    </row>
    <row r="13" spans="2:3" ht="45">
      <c r="B13" s="4"/>
      <c r="C13" s="28" t="s">
        <v>122</v>
      </c>
    </row>
    <row r="14" spans="2:3">
      <c r="B14" s="4"/>
      <c r="C14" s="29" t="str">
        <f>HYPERLINK("http://creativecommons.org/licenses/by-sa/3.0/", "Read the license summary")</f>
        <v>Read the license summary</v>
      </c>
    </row>
    <row r="15" spans="2:3">
      <c r="B15" s="4"/>
      <c r="C15" s="29" t="str">
        <f>HYPERLINK("http://creativecommons.org/licenses/by-sa/3.0/legalcode", "Read the full legal code of the license")</f>
        <v>Read the full legal code of the license</v>
      </c>
    </row>
    <row r="16" spans="2:3">
      <c r="B16" s="4"/>
      <c r="C16" s="8"/>
    </row>
    <row r="17" spans="1:3" ht="31" thickBot="1">
      <c r="B17" s="3"/>
      <c r="C17" s="9" t="s">
        <v>137</v>
      </c>
    </row>
    <row r="18" spans="1:3" ht="17" thickTop="1" thickBot="1">
      <c r="B18" s="2"/>
    </row>
    <row r="19" spans="1:3" ht="16" thickTop="1">
      <c r="B19" s="192" t="s">
        <v>121</v>
      </c>
      <c r="C19" s="193"/>
    </row>
    <row r="20" spans="1:3">
      <c r="B20" s="25"/>
      <c r="C20" s="26" t="s">
        <v>139</v>
      </c>
    </row>
    <row r="21" spans="1:3" ht="16" thickBot="1">
      <c r="B21" s="3"/>
      <c r="C21" s="27" t="s">
        <v>140</v>
      </c>
    </row>
    <row r="22" spans="1:3" ht="17" thickTop="1" thickBot="1"/>
    <row r="23" spans="1:3" ht="16" thickTop="1">
      <c r="B23" s="192" t="s">
        <v>124</v>
      </c>
      <c r="C23" s="193"/>
    </row>
    <row r="24" spans="1:3">
      <c r="B24" s="5" t="s">
        <v>126</v>
      </c>
      <c r="C24" s="6" t="s">
        <v>127</v>
      </c>
    </row>
    <row r="25" spans="1:3">
      <c r="A25" s="2"/>
      <c r="B25" s="23">
        <v>41780</v>
      </c>
      <c r="C25" s="7" t="s">
        <v>125</v>
      </c>
    </row>
    <row r="26" spans="1:3" ht="60">
      <c r="A26" s="2"/>
      <c r="B26" s="23">
        <v>41814</v>
      </c>
      <c r="C26" s="7" t="s">
        <v>138</v>
      </c>
    </row>
    <row r="27" spans="1:3">
      <c r="A27" s="2"/>
      <c r="B27" s="23">
        <v>41815</v>
      </c>
      <c r="C27" s="8" t="s">
        <v>129</v>
      </c>
    </row>
    <row r="28" spans="1:3" ht="30">
      <c r="A28" s="2"/>
      <c r="B28" s="23">
        <v>41816</v>
      </c>
      <c r="C28" s="8" t="s">
        <v>191</v>
      </c>
    </row>
    <row r="29" spans="1:3">
      <c r="A29" s="2"/>
      <c r="B29" s="23"/>
      <c r="C29" s="8"/>
    </row>
    <row r="30" spans="1:3">
      <c r="A30" s="2"/>
      <c r="B30" s="23"/>
      <c r="C30" s="8"/>
    </row>
    <row r="31" spans="1:3">
      <c r="A31" s="2"/>
      <c r="B31" s="23"/>
      <c r="C31" s="8"/>
    </row>
    <row r="32" spans="1:3">
      <c r="A32" s="2"/>
      <c r="B32" s="23"/>
      <c r="C32" s="8"/>
    </row>
    <row r="33" spans="1:3" ht="16" thickBot="1">
      <c r="A33" s="2"/>
      <c r="B33" s="24"/>
      <c r="C33" s="9"/>
    </row>
    <row r="34" spans="1:3" ht="17" thickTop="1" thickBot="1">
      <c r="A34" s="2"/>
    </row>
    <row r="35" spans="1:3" ht="16" thickTop="1">
      <c r="A35" s="2"/>
      <c r="B35" s="192" t="s">
        <v>156</v>
      </c>
      <c r="C35" s="193"/>
    </row>
    <row r="36" spans="1:3">
      <c r="A36" s="2"/>
      <c r="B36" s="5" t="s">
        <v>150</v>
      </c>
      <c r="C36" s="6" t="s">
        <v>127</v>
      </c>
    </row>
    <row r="37" spans="1:3">
      <c r="B37" s="23" t="s">
        <v>151</v>
      </c>
      <c r="C37" s="7" t="s">
        <v>155</v>
      </c>
    </row>
    <row r="38" spans="1:3">
      <c r="B38" s="23" t="s">
        <v>157</v>
      </c>
      <c r="C38" s="7" t="s">
        <v>160</v>
      </c>
    </row>
    <row r="39" spans="1:3">
      <c r="B39" s="23" t="s">
        <v>157</v>
      </c>
      <c r="C39" s="8" t="s">
        <v>165</v>
      </c>
    </row>
    <row r="40" spans="1:3">
      <c r="B40" s="23" t="s">
        <v>157</v>
      </c>
      <c r="C40" s="8" t="s">
        <v>190</v>
      </c>
    </row>
    <row r="41" spans="1:3">
      <c r="B41" s="23"/>
      <c r="C41" s="8"/>
    </row>
    <row r="42" spans="1:3">
      <c r="B42" s="23"/>
      <c r="C42" s="8"/>
    </row>
    <row r="43" spans="1:3">
      <c r="B43" s="23"/>
      <c r="C43" s="8"/>
    </row>
    <row r="44" spans="1:3" ht="16" thickBot="1">
      <c r="B44" s="24"/>
      <c r="C44" s="9"/>
    </row>
    <row r="45" spans="1:3" ht="16" thickTop="1"/>
  </sheetData>
  <sheetProtection password="F457" sheet="1" objects="1" scenarios="1"/>
  <mergeCells count="5">
    <mergeCell ref="B2:C2"/>
    <mergeCell ref="B12:C12"/>
    <mergeCell ref="B23:C23"/>
    <mergeCell ref="B19:C19"/>
    <mergeCell ref="B35:C35"/>
  </mergeCells>
  <phoneticPr fontId="9" type="noConversion"/>
  <hyperlinks>
    <hyperlink ref="C21" r:id="rId1"/>
    <hyperlink ref="C5" r:id="rId2"/>
  </hyperlinks>
  <pageMargins left="0.75" right="0.75" top="1" bottom="1" header="0.5" footer="0.5"/>
  <pageSetup scale="99" orientation="portrait" horizontalDpi="4294967292" verticalDpi="4294967292"/>
  <colBreaks count="1" manualBreakCount="1">
    <brk id="4" max="1048575" man="1"/>
  </colBreaks>
  <extLst>
    <ext xmlns:mx="http://schemas.microsoft.com/office/mac/excel/2008/main" uri="{64002731-A6B0-56B0-2670-7721B7C09600}">
      <mx:PLV Mode="0" OnePage="0" WScale="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84"/>
  <sheetViews>
    <sheetView workbookViewId="0">
      <selection activeCell="F46" sqref="F46"/>
    </sheetView>
    <sheetView zoomScale="125" zoomScaleNormal="125" zoomScalePageLayoutView="125" workbookViewId="1">
      <selection activeCell="A58" sqref="A58"/>
    </sheetView>
  </sheetViews>
  <sheetFormatPr baseColWidth="10" defaultRowHeight="15" x14ac:dyDescent="0"/>
  <cols>
    <col min="1" max="1" width="17.5" style="47" bestFit="1" customWidth="1"/>
    <col min="2" max="2" width="8.1640625" style="47" bestFit="1" customWidth="1"/>
    <col min="3" max="3" width="9.33203125" style="47" bestFit="1" customWidth="1"/>
    <col min="4" max="4" width="10.83203125" style="47"/>
    <col min="5" max="15" width="10" style="47" customWidth="1"/>
    <col min="16" max="27" width="10.1640625" style="47" customWidth="1"/>
    <col min="28" max="34" width="10.83203125" style="47"/>
    <col min="35" max="43" width="11" style="47" customWidth="1"/>
    <col min="44" max="16384" width="10.83203125" style="47"/>
  </cols>
  <sheetData>
    <row r="1" spans="1:27" ht="32" thickTop="1" thickBot="1">
      <c r="A1" s="194" t="s">
        <v>180</v>
      </c>
      <c r="B1" s="195"/>
      <c r="C1" s="195"/>
      <c r="D1" s="195"/>
      <c r="E1" s="195"/>
      <c r="F1" s="195"/>
      <c r="G1" s="195"/>
      <c r="H1" s="195"/>
      <c r="I1" s="195"/>
      <c r="J1" s="195"/>
      <c r="K1" s="195"/>
      <c r="L1" s="195"/>
      <c r="M1" s="195"/>
      <c r="N1" s="195"/>
      <c r="O1" s="195"/>
      <c r="P1" s="195"/>
      <c r="Q1" s="195"/>
      <c r="R1" s="195"/>
      <c r="S1" s="195"/>
      <c r="T1" s="195"/>
      <c r="U1" s="195"/>
      <c r="V1" s="195"/>
      <c r="W1" s="195"/>
      <c r="X1" s="195"/>
      <c r="Y1" s="195"/>
      <c r="Z1" s="195"/>
      <c r="AA1" s="196"/>
    </row>
    <row r="2" spans="1:27" ht="16" customHeight="1" thickTop="1">
      <c r="A2" s="47" t="s">
        <v>14</v>
      </c>
      <c r="B2" s="47" t="s">
        <v>72</v>
      </c>
      <c r="C2" s="47" t="s">
        <v>31</v>
      </c>
      <c r="D2" s="129" t="s">
        <v>45</v>
      </c>
      <c r="E2" s="105" t="s">
        <v>46</v>
      </c>
      <c r="F2" s="105" t="s">
        <v>47</v>
      </c>
      <c r="G2" s="105" t="s">
        <v>48</v>
      </c>
      <c r="H2" s="105" t="s">
        <v>49</v>
      </c>
      <c r="I2" s="105" t="s">
        <v>50</v>
      </c>
      <c r="J2" s="105" t="s">
        <v>51</v>
      </c>
      <c r="K2" s="105" t="s">
        <v>52</v>
      </c>
      <c r="L2" s="105" t="s">
        <v>53</v>
      </c>
      <c r="M2" s="105" t="s">
        <v>54</v>
      </c>
      <c r="N2" s="105" t="s">
        <v>55</v>
      </c>
      <c r="O2" s="130" t="s">
        <v>56</v>
      </c>
      <c r="P2" s="47" t="s">
        <v>57</v>
      </c>
      <c r="Q2" s="47" t="s">
        <v>58</v>
      </c>
      <c r="R2" s="47" t="s">
        <v>59</v>
      </c>
      <c r="S2" s="47" t="s">
        <v>60</v>
      </c>
      <c r="T2" s="47" t="s">
        <v>61</v>
      </c>
      <c r="U2" s="47" t="s">
        <v>62</v>
      </c>
      <c r="V2" s="47" t="s">
        <v>63</v>
      </c>
      <c r="W2" s="47" t="s">
        <v>64</v>
      </c>
      <c r="X2" s="47" t="s">
        <v>65</v>
      </c>
      <c r="Y2" s="47" t="s">
        <v>66</v>
      </c>
      <c r="Z2" s="47" t="s">
        <v>67</v>
      </c>
      <c r="AA2" s="47" t="s">
        <v>68</v>
      </c>
    </row>
    <row r="3" spans="1:27">
      <c r="A3" s="47" t="s">
        <v>13</v>
      </c>
      <c r="B3" s="47" t="s">
        <v>14</v>
      </c>
      <c r="C3" s="47" t="s">
        <v>30</v>
      </c>
      <c r="D3" s="131">
        <v>0</v>
      </c>
      <c r="E3" s="132">
        <v>1000</v>
      </c>
      <c r="F3" s="132">
        <v>4000</v>
      </c>
      <c r="G3" s="132">
        <v>25000</v>
      </c>
      <c r="H3" s="132">
        <v>150000</v>
      </c>
      <c r="I3" s="132">
        <v>750000</v>
      </c>
      <c r="J3" s="132">
        <v>1200000</v>
      </c>
      <c r="K3" s="132">
        <v>2000000</v>
      </c>
      <c r="L3" s="132">
        <v>3000000</v>
      </c>
      <c r="M3" s="132">
        <v>4000000</v>
      </c>
      <c r="N3" s="132" t="e">
        <v>#N/A</v>
      </c>
      <c r="O3" s="132" t="e">
        <v>#N/A</v>
      </c>
      <c r="P3" s="133">
        <v>0</v>
      </c>
      <c r="Q3" s="134">
        <v>3.472222222222222E-3</v>
      </c>
      <c r="R3" s="134">
        <v>0.125</v>
      </c>
      <c r="S3" s="134">
        <v>1</v>
      </c>
      <c r="T3" s="134">
        <v>2</v>
      </c>
      <c r="U3" s="134">
        <v>4</v>
      </c>
      <c r="V3" s="134">
        <v>6</v>
      </c>
      <c r="W3" s="134">
        <v>8</v>
      </c>
      <c r="X3" s="134">
        <v>10</v>
      </c>
      <c r="Y3" s="134">
        <v>14</v>
      </c>
      <c r="Z3" s="134" t="e">
        <v>#N/A</v>
      </c>
      <c r="AA3" s="134" t="e">
        <v>#N/A</v>
      </c>
    </row>
    <row r="4" spans="1:27">
      <c r="A4" s="47" t="s">
        <v>21</v>
      </c>
      <c r="B4" s="47" t="s">
        <v>14</v>
      </c>
      <c r="C4" s="47" t="s">
        <v>1</v>
      </c>
      <c r="D4" s="131">
        <v>25000</v>
      </c>
      <c r="E4" s="132">
        <v>50000</v>
      </c>
      <c r="F4" s="132">
        <v>90000</v>
      </c>
      <c r="G4" s="132">
        <v>270000</v>
      </c>
      <c r="H4" s="132">
        <v>500000</v>
      </c>
      <c r="I4" s="132">
        <v>1000000</v>
      </c>
      <c r="J4" s="132">
        <v>2500000</v>
      </c>
      <c r="K4" s="132">
        <v>4000000</v>
      </c>
      <c r="L4" s="132" t="e">
        <v>#N/A</v>
      </c>
      <c r="M4" s="132" t="e">
        <v>#N/A</v>
      </c>
      <c r="N4" s="132" t="e">
        <v>#N/A</v>
      </c>
      <c r="O4" s="132" t="e">
        <v>#N/A</v>
      </c>
      <c r="P4" s="133">
        <v>2.0833333333333332E-2</v>
      </c>
      <c r="Q4" s="134">
        <v>0.20833333333333334</v>
      </c>
      <c r="R4" s="134">
        <v>0.5</v>
      </c>
      <c r="S4" s="134">
        <v>1</v>
      </c>
      <c r="T4" s="134">
        <v>2</v>
      </c>
      <c r="U4" s="134">
        <v>4</v>
      </c>
      <c r="V4" s="134">
        <v>5</v>
      </c>
      <c r="W4" s="134">
        <v>6</v>
      </c>
      <c r="X4" s="134" t="e">
        <v>#N/A</v>
      </c>
      <c r="Y4" s="134" t="e">
        <v>#N/A</v>
      </c>
      <c r="Z4" s="134" t="e">
        <v>#N/A</v>
      </c>
      <c r="AA4" s="134" t="e">
        <v>#N/A</v>
      </c>
    </row>
    <row r="5" spans="1:27">
      <c r="A5" s="47" t="s">
        <v>15</v>
      </c>
      <c r="B5" s="47" t="s">
        <v>14</v>
      </c>
      <c r="C5" s="47" t="s">
        <v>1</v>
      </c>
      <c r="D5" s="131">
        <v>150</v>
      </c>
      <c r="E5" s="132">
        <v>300</v>
      </c>
      <c r="F5" s="132">
        <v>700</v>
      </c>
      <c r="G5" s="132">
        <v>1400</v>
      </c>
      <c r="H5" s="132">
        <v>3000</v>
      </c>
      <c r="I5" s="132">
        <v>7000</v>
      </c>
      <c r="J5" s="132">
        <v>14000</v>
      </c>
      <c r="K5" s="132">
        <v>28000</v>
      </c>
      <c r="L5" s="132">
        <v>56000</v>
      </c>
      <c r="M5" s="132">
        <v>84000</v>
      </c>
      <c r="N5" s="132">
        <v>168000</v>
      </c>
      <c r="O5" s="132" t="e">
        <v>#N/A</v>
      </c>
      <c r="P5" s="133">
        <v>6.9444444444444436E-4</v>
      </c>
      <c r="Q5" s="134">
        <v>3.472222222222222E-3</v>
      </c>
      <c r="R5" s="134">
        <v>1.0416666666666666E-2</v>
      </c>
      <c r="S5" s="134">
        <v>4.1666666666666664E-2</v>
      </c>
      <c r="T5" s="134">
        <v>8.3333333333333329E-2</v>
      </c>
      <c r="U5" s="134">
        <v>0.25</v>
      </c>
      <c r="V5" s="134">
        <v>0.5</v>
      </c>
      <c r="W5" s="134">
        <v>1</v>
      </c>
      <c r="X5" s="134">
        <v>2</v>
      </c>
      <c r="Y5" s="134">
        <v>3</v>
      </c>
      <c r="Z5" s="134">
        <v>4</v>
      </c>
      <c r="AA5" s="134" t="e">
        <v>#N/A</v>
      </c>
    </row>
    <row r="6" spans="1:27">
      <c r="A6" s="47" t="s">
        <v>16</v>
      </c>
      <c r="B6" s="47" t="s">
        <v>14</v>
      </c>
      <c r="C6" s="47" t="s">
        <v>30</v>
      </c>
      <c r="D6" s="131">
        <v>150</v>
      </c>
      <c r="E6" s="132">
        <v>300</v>
      </c>
      <c r="F6" s="132">
        <v>700</v>
      </c>
      <c r="G6" s="132">
        <v>1400</v>
      </c>
      <c r="H6" s="132">
        <v>3000</v>
      </c>
      <c r="I6" s="132">
        <v>7000</v>
      </c>
      <c r="J6" s="132">
        <v>14000</v>
      </c>
      <c r="K6" s="132">
        <v>28000</v>
      </c>
      <c r="L6" s="132">
        <v>56000</v>
      </c>
      <c r="M6" s="132">
        <v>84000</v>
      </c>
      <c r="N6" s="132">
        <v>168000</v>
      </c>
      <c r="O6" s="132" t="e">
        <v>#N/A</v>
      </c>
      <c r="P6" s="133">
        <v>6.9444444444444436E-4</v>
      </c>
      <c r="Q6" s="134">
        <v>3.472222222222222E-3</v>
      </c>
      <c r="R6" s="134">
        <v>1.0416666666666666E-2</v>
      </c>
      <c r="S6" s="134">
        <v>4.1666666666666664E-2</v>
      </c>
      <c r="T6" s="134">
        <v>8.3333333333333329E-2</v>
      </c>
      <c r="U6" s="134">
        <v>0.25</v>
      </c>
      <c r="V6" s="134">
        <v>0.5</v>
      </c>
      <c r="W6" s="134">
        <v>1</v>
      </c>
      <c r="X6" s="134">
        <v>2</v>
      </c>
      <c r="Y6" s="134">
        <v>3</v>
      </c>
      <c r="Z6" s="134">
        <v>4</v>
      </c>
      <c r="AA6" s="134" t="e">
        <v>#N/A</v>
      </c>
    </row>
    <row r="7" spans="1:27">
      <c r="A7" s="47" t="s">
        <v>17</v>
      </c>
      <c r="B7" s="47" t="s">
        <v>14</v>
      </c>
      <c r="C7" s="47" t="s">
        <v>1</v>
      </c>
      <c r="D7" s="131">
        <v>1000000</v>
      </c>
      <c r="E7" s="132">
        <v>1500000</v>
      </c>
      <c r="F7" s="132">
        <v>2000000</v>
      </c>
      <c r="G7" s="132">
        <v>3000000</v>
      </c>
      <c r="H7" s="132">
        <v>4000000</v>
      </c>
      <c r="I7" s="132">
        <v>5000000</v>
      </c>
      <c r="J7" s="132" t="e">
        <v>#N/A</v>
      </c>
      <c r="K7" s="132" t="e">
        <v>#N/A</v>
      </c>
      <c r="L7" s="132" t="e">
        <v>#N/A</v>
      </c>
      <c r="M7" s="132" t="e">
        <v>#N/A</v>
      </c>
      <c r="N7" s="132" t="e">
        <v>#N/A</v>
      </c>
      <c r="O7" s="132" t="e">
        <v>#N/A</v>
      </c>
      <c r="P7" s="133">
        <v>1</v>
      </c>
      <c r="Q7" s="134">
        <v>2</v>
      </c>
      <c r="R7" s="134">
        <v>3</v>
      </c>
      <c r="S7" s="134">
        <v>4</v>
      </c>
      <c r="T7" s="134">
        <v>6</v>
      </c>
      <c r="U7" s="134">
        <v>8</v>
      </c>
      <c r="V7" s="134" t="e">
        <v>#N/A</v>
      </c>
      <c r="W7" s="134" t="e">
        <v>#N/A</v>
      </c>
      <c r="X7" s="134" t="e">
        <v>#N/A</v>
      </c>
      <c r="Y7" s="134" t="e">
        <v>#N/A</v>
      </c>
      <c r="Z7" s="134" t="e">
        <v>#N/A</v>
      </c>
      <c r="AA7" s="134" t="e">
        <v>#N/A</v>
      </c>
    </row>
    <row r="8" spans="1:27">
      <c r="A8" s="47" t="s">
        <v>3</v>
      </c>
      <c r="B8" s="47" t="s">
        <v>14</v>
      </c>
      <c r="C8" s="47" t="s">
        <v>1</v>
      </c>
      <c r="D8" s="131">
        <v>300</v>
      </c>
      <c r="E8" s="132">
        <v>750</v>
      </c>
      <c r="F8" s="132">
        <v>1500</v>
      </c>
      <c r="G8" s="132">
        <v>3000</v>
      </c>
      <c r="H8" s="132">
        <v>6000</v>
      </c>
      <c r="I8" s="132">
        <v>12000</v>
      </c>
      <c r="J8" s="132">
        <v>25000</v>
      </c>
      <c r="K8" s="132">
        <v>50000</v>
      </c>
      <c r="L8" s="132">
        <v>100000</v>
      </c>
      <c r="M8" s="132">
        <v>250000</v>
      </c>
      <c r="N8" s="132">
        <v>500000</v>
      </c>
      <c r="O8" s="132" t="e">
        <v>#N/A</v>
      </c>
      <c r="P8" s="133">
        <v>6.9444444444444436E-4</v>
      </c>
      <c r="Q8" s="134">
        <v>2.0833333333333332E-2</v>
      </c>
      <c r="R8" s="134">
        <v>4.1666666666666664E-2</v>
      </c>
      <c r="S8" s="134">
        <v>8.3333333333333329E-2</v>
      </c>
      <c r="T8" s="134">
        <v>0.125</v>
      </c>
      <c r="U8" s="134">
        <v>0.16666666666666666</v>
      </c>
      <c r="V8" s="134">
        <v>0.25</v>
      </c>
      <c r="W8" s="134">
        <v>0.33333333333333331</v>
      </c>
      <c r="X8" s="134">
        <v>0.5</v>
      </c>
      <c r="Y8" s="134">
        <v>1</v>
      </c>
      <c r="Z8" s="134">
        <v>2</v>
      </c>
      <c r="AA8" s="134" t="e">
        <v>#N/A</v>
      </c>
    </row>
    <row r="9" spans="1:27">
      <c r="A9" s="47" t="s">
        <v>4</v>
      </c>
      <c r="B9" s="47" t="s">
        <v>14</v>
      </c>
      <c r="C9" s="47" t="s">
        <v>30</v>
      </c>
      <c r="D9" s="131">
        <v>300</v>
      </c>
      <c r="E9" s="132">
        <v>750</v>
      </c>
      <c r="F9" s="132">
        <v>1500</v>
      </c>
      <c r="G9" s="132">
        <v>3000</v>
      </c>
      <c r="H9" s="132">
        <v>6000</v>
      </c>
      <c r="I9" s="132">
        <v>12000</v>
      </c>
      <c r="J9" s="132">
        <v>25000</v>
      </c>
      <c r="K9" s="132">
        <v>50000</v>
      </c>
      <c r="L9" s="132">
        <v>100000</v>
      </c>
      <c r="M9" s="132">
        <v>250000</v>
      </c>
      <c r="N9" s="132">
        <v>500000</v>
      </c>
      <c r="O9" s="132" t="e">
        <v>#N/A</v>
      </c>
      <c r="P9" s="133">
        <v>6.9444444444444436E-4</v>
      </c>
      <c r="Q9" s="134">
        <v>2.0833333333333332E-2</v>
      </c>
      <c r="R9" s="134">
        <v>4.1666666666666664E-2</v>
      </c>
      <c r="S9" s="134">
        <v>8.3333333333333329E-2</v>
      </c>
      <c r="T9" s="134">
        <v>0.125</v>
      </c>
      <c r="U9" s="134">
        <v>0.16666666666666666</v>
      </c>
      <c r="V9" s="134">
        <v>0.25</v>
      </c>
      <c r="W9" s="134">
        <v>0.33333333333333331</v>
      </c>
      <c r="X9" s="134">
        <v>0.5</v>
      </c>
      <c r="Y9" s="134">
        <v>1</v>
      </c>
      <c r="Z9" s="134">
        <v>2</v>
      </c>
      <c r="AA9" s="134" t="e">
        <v>#N/A</v>
      </c>
    </row>
    <row r="10" spans="1:27">
      <c r="A10" s="47" t="s">
        <v>18</v>
      </c>
      <c r="B10" s="47" t="s">
        <v>14</v>
      </c>
      <c r="C10" s="47" t="s">
        <v>1</v>
      </c>
      <c r="D10" s="131">
        <v>600000</v>
      </c>
      <c r="E10" s="132">
        <v>1200000</v>
      </c>
      <c r="F10" s="132">
        <v>1800000</v>
      </c>
      <c r="G10" s="132">
        <v>2400000</v>
      </c>
      <c r="H10" s="132">
        <v>3000000</v>
      </c>
      <c r="I10" s="132">
        <v>36000000</v>
      </c>
      <c r="J10" s="132" t="e">
        <v>#N/A</v>
      </c>
      <c r="K10" s="132" t="e">
        <v>#N/A</v>
      </c>
      <c r="L10" s="132" t="e">
        <v>#N/A</v>
      </c>
      <c r="M10" s="132" t="e">
        <v>#N/A</v>
      </c>
      <c r="N10" s="132" t="e">
        <v>#N/A</v>
      </c>
      <c r="O10" s="132" t="e">
        <v>#N/A</v>
      </c>
      <c r="P10" s="133">
        <v>1</v>
      </c>
      <c r="Q10" s="134">
        <v>2</v>
      </c>
      <c r="R10" s="134">
        <v>3</v>
      </c>
      <c r="S10" s="134">
        <v>4</v>
      </c>
      <c r="T10" s="134">
        <v>5</v>
      </c>
      <c r="U10" s="134">
        <v>6</v>
      </c>
      <c r="V10" s="134" t="e">
        <v>#N/A</v>
      </c>
      <c r="W10" s="134" t="e">
        <v>#N/A</v>
      </c>
      <c r="X10" s="134" t="e">
        <v>#N/A</v>
      </c>
      <c r="Y10" s="134" t="e">
        <v>#N/A</v>
      </c>
      <c r="Z10" s="134" t="e">
        <v>#N/A</v>
      </c>
      <c r="AA10" s="134" t="e">
        <v>#N/A</v>
      </c>
    </row>
    <row r="11" spans="1:27">
      <c r="A11" s="47" t="s">
        <v>19</v>
      </c>
      <c r="B11" s="47" t="s">
        <v>14</v>
      </c>
      <c r="C11" s="47" t="s">
        <v>1</v>
      </c>
      <c r="D11" s="131">
        <v>750000</v>
      </c>
      <c r="E11" s="132">
        <v>1250000</v>
      </c>
      <c r="F11" s="132">
        <v>1750000</v>
      </c>
      <c r="G11" s="132">
        <v>2250000</v>
      </c>
      <c r="H11" s="132">
        <v>2750000</v>
      </c>
      <c r="I11" s="132" t="e">
        <v>#N/A</v>
      </c>
      <c r="J11" s="132" t="e">
        <v>#N/A</v>
      </c>
      <c r="K11" s="132" t="e">
        <v>#N/A</v>
      </c>
      <c r="L11" s="132" t="e">
        <v>#N/A</v>
      </c>
      <c r="M11" s="132" t="e">
        <v>#N/A</v>
      </c>
      <c r="N11" s="132" t="e">
        <v>#N/A</v>
      </c>
      <c r="O11" s="132" t="e">
        <v>#N/A</v>
      </c>
      <c r="P11" s="133">
        <v>3</v>
      </c>
      <c r="Q11" s="134">
        <v>5</v>
      </c>
      <c r="R11" s="134">
        <v>6</v>
      </c>
      <c r="S11" s="134">
        <v>7</v>
      </c>
      <c r="T11" s="134">
        <v>8</v>
      </c>
      <c r="U11" s="134" t="e">
        <v>#N/A</v>
      </c>
      <c r="V11" s="134" t="e">
        <v>#N/A</v>
      </c>
      <c r="W11" s="134" t="e">
        <v>#N/A</v>
      </c>
      <c r="X11" s="134" t="e">
        <v>#N/A</v>
      </c>
      <c r="Y11" s="134" t="e">
        <v>#N/A</v>
      </c>
      <c r="Z11" s="134" t="e">
        <v>#N/A</v>
      </c>
      <c r="AA11" s="134" t="e">
        <v>#N/A</v>
      </c>
    </row>
    <row r="12" spans="1:27">
      <c r="A12" s="47" t="s">
        <v>2</v>
      </c>
      <c r="B12" s="47" t="s">
        <v>14</v>
      </c>
      <c r="C12" s="47" t="s">
        <v>1</v>
      </c>
      <c r="D12" s="131">
        <v>200</v>
      </c>
      <c r="E12" s="132">
        <v>1000</v>
      </c>
      <c r="F12" s="132">
        <v>2500</v>
      </c>
      <c r="G12" s="132">
        <v>5000</v>
      </c>
      <c r="H12" s="132">
        <v>10000</v>
      </c>
      <c r="I12" s="132">
        <v>80000</v>
      </c>
      <c r="J12" s="132">
        <v>240000</v>
      </c>
      <c r="K12" s="132">
        <v>700000</v>
      </c>
      <c r="L12" s="132">
        <v>1500000</v>
      </c>
      <c r="M12" s="132">
        <v>2000000</v>
      </c>
      <c r="N12" s="132" t="e">
        <v>#N/A</v>
      </c>
      <c r="O12" s="132" t="e">
        <v>#N/A</v>
      </c>
      <c r="P12" s="133">
        <v>6.9444444444444436E-4</v>
      </c>
      <c r="Q12" s="134">
        <v>1.0416666666666666E-2</v>
      </c>
      <c r="R12" s="134">
        <v>8.3333333333333329E-2</v>
      </c>
      <c r="S12" s="134">
        <v>0.16666666666666666</v>
      </c>
      <c r="T12" s="134">
        <v>0.41666666666666669</v>
      </c>
      <c r="U12" s="134">
        <v>0.66666666666666663</v>
      </c>
      <c r="V12" s="134">
        <v>1</v>
      </c>
      <c r="W12" s="134">
        <v>2</v>
      </c>
      <c r="X12" s="134">
        <v>4</v>
      </c>
      <c r="Y12" s="134">
        <v>6</v>
      </c>
      <c r="Z12" s="134" t="e">
        <v>#N/A</v>
      </c>
      <c r="AA12" s="134" t="e">
        <v>#N/A</v>
      </c>
    </row>
    <row r="13" spans="1:27">
      <c r="A13" s="47" t="s">
        <v>20</v>
      </c>
      <c r="B13" s="47" t="s">
        <v>14</v>
      </c>
      <c r="C13" s="47" t="s">
        <v>1</v>
      </c>
      <c r="D13" s="131">
        <v>250</v>
      </c>
      <c r="E13" s="132">
        <v>2500</v>
      </c>
      <c r="F13" s="132">
        <v>10000</v>
      </c>
      <c r="G13" s="132">
        <v>100000</v>
      </c>
      <c r="H13" s="132">
        <v>250000</v>
      </c>
      <c r="I13" s="132">
        <v>750000</v>
      </c>
      <c r="J13" s="132">
        <v>2250000</v>
      </c>
      <c r="K13" s="132">
        <v>6750000</v>
      </c>
      <c r="L13" s="132" t="e">
        <v>#N/A</v>
      </c>
      <c r="M13" s="132" t="e">
        <v>#N/A</v>
      </c>
      <c r="N13" s="132" t="e">
        <v>#N/A</v>
      </c>
      <c r="O13" s="132" t="e">
        <v>#N/A</v>
      </c>
      <c r="P13" s="133">
        <v>3.472222222222222E-3</v>
      </c>
      <c r="Q13" s="134">
        <v>4.1666666666666664E-2</v>
      </c>
      <c r="R13" s="134">
        <v>0.125</v>
      </c>
      <c r="S13" s="134">
        <v>0.33333333333333331</v>
      </c>
      <c r="T13" s="134">
        <v>1</v>
      </c>
      <c r="U13" s="134">
        <v>3</v>
      </c>
      <c r="V13" s="134">
        <v>5</v>
      </c>
      <c r="W13" s="134">
        <v>10</v>
      </c>
      <c r="X13" s="134" t="e">
        <v>#N/A</v>
      </c>
      <c r="Y13" s="134" t="e">
        <v>#N/A</v>
      </c>
      <c r="Z13" s="134" t="e">
        <v>#N/A</v>
      </c>
      <c r="AA13" s="134" t="e">
        <v>#N/A</v>
      </c>
    </row>
    <row r="14" spans="1:27">
      <c r="A14" s="47" t="s">
        <v>22</v>
      </c>
      <c r="B14" s="47" t="s">
        <v>14</v>
      </c>
      <c r="C14" s="47" t="s">
        <v>1</v>
      </c>
      <c r="D14" s="131">
        <v>200000</v>
      </c>
      <c r="E14" s="132">
        <v>400000</v>
      </c>
      <c r="F14" s="132">
        <v>800000</v>
      </c>
      <c r="G14" s="132">
        <v>1600000</v>
      </c>
      <c r="H14" s="132">
        <v>3200000</v>
      </c>
      <c r="I14" s="132" t="e">
        <v>#N/A</v>
      </c>
      <c r="J14" s="132" t="e">
        <v>#N/A</v>
      </c>
      <c r="K14" s="132" t="e">
        <v>#N/A</v>
      </c>
      <c r="L14" s="132" t="e">
        <v>#N/A</v>
      </c>
      <c r="M14" s="132" t="e">
        <v>#N/A</v>
      </c>
      <c r="N14" s="132" t="e">
        <v>#N/A</v>
      </c>
      <c r="O14" s="132" t="e">
        <v>#N/A</v>
      </c>
      <c r="P14" s="133">
        <v>1</v>
      </c>
      <c r="Q14" s="134">
        <v>2</v>
      </c>
      <c r="R14" s="134">
        <v>4</v>
      </c>
      <c r="S14" s="134">
        <v>5</v>
      </c>
      <c r="T14" s="134">
        <v>6</v>
      </c>
      <c r="U14" s="134" t="e">
        <v>#N/A</v>
      </c>
      <c r="V14" s="134" t="e">
        <v>#N/A</v>
      </c>
      <c r="W14" s="134" t="e">
        <v>#N/A</v>
      </c>
      <c r="X14" s="134" t="e">
        <v>#N/A</v>
      </c>
      <c r="Y14" s="134" t="e">
        <v>#N/A</v>
      </c>
      <c r="Z14" s="134" t="e">
        <v>#N/A</v>
      </c>
      <c r="AA14" s="134" t="e">
        <v>#N/A</v>
      </c>
    </row>
    <row r="15" spans="1:27">
      <c r="A15" s="47" t="s">
        <v>5</v>
      </c>
      <c r="B15" s="47" t="s">
        <v>14</v>
      </c>
      <c r="C15" s="47" t="s">
        <v>30</v>
      </c>
      <c r="D15" s="131">
        <v>40000</v>
      </c>
      <c r="E15" s="132">
        <v>100000</v>
      </c>
      <c r="F15" s="132">
        <v>800000</v>
      </c>
      <c r="G15" s="132">
        <v>1800000</v>
      </c>
      <c r="H15" s="132">
        <v>5000000</v>
      </c>
      <c r="I15" s="132">
        <v>7000000</v>
      </c>
      <c r="J15" s="132" t="e">
        <v>#N/A</v>
      </c>
      <c r="K15" s="132" t="e">
        <v>#N/A</v>
      </c>
      <c r="L15" s="132" t="e">
        <v>#N/A</v>
      </c>
      <c r="M15" s="132" t="e">
        <v>#N/A</v>
      </c>
      <c r="N15" s="132" t="e">
        <v>#N/A</v>
      </c>
      <c r="O15" s="132" t="e">
        <v>#N/A</v>
      </c>
      <c r="P15" s="133">
        <v>0</v>
      </c>
      <c r="Q15" s="134">
        <v>0.25</v>
      </c>
      <c r="R15" s="134">
        <v>1</v>
      </c>
      <c r="S15" s="134">
        <v>2</v>
      </c>
      <c r="T15" s="134">
        <v>7</v>
      </c>
      <c r="U15" s="134">
        <v>14</v>
      </c>
      <c r="V15" s="134" t="e">
        <v>#N/A</v>
      </c>
      <c r="W15" s="134" t="e">
        <v>#N/A</v>
      </c>
      <c r="X15" s="134" t="e">
        <v>#N/A</v>
      </c>
      <c r="Y15" s="134" t="e">
        <v>#N/A</v>
      </c>
      <c r="Z15" s="134" t="e">
        <v>#N/A</v>
      </c>
      <c r="AA15" s="134" t="e">
        <v>#N/A</v>
      </c>
    </row>
    <row r="16" spans="1:27">
      <c r="A16" s="47" t="s">
        <v>6</v>
      </c>
      <c r="B16" s="47" t="s">
        <v>14</v>
      </c>
      <c r="C16" s="47" t="s">
        <v>30</v>
      </c>
      <c r="D16" s="131">
        <v>250</v>
      </c>
      <c r="E16" s="132">
        <v>1000</v>
      </c>
      <c r="F16" s="132">
        <v>4000</v>
      </c>
      <c r="G16" s="132">
        <v>16000</v>
      </c>
      <c r="H16" s="132">
        <v>50000</v>
      </c>
      <c r="I16" s="132">
        <v>100000</v>
      </c>
      <c r="J16" s="132">
        <v>200000</v>
      </c>
      <c r="K16" s="132">
        <v>400000</v>
      </c>
      <c r="L16" s="132">
        <v>800000</v>
      </c>
      <c r="M16" s="132">
        <v>1600000</v>
      </c>
      <c r="N16" s="132">
        <v>3200000</v>
      </c>
      <c r="O16" s="132">
        <v>6400000</v>
      </c>
      <c r="P16" s="133">
        <v>6.9444444444444436E-4</v>
      </c>
      <c r="Q16" s="134">
        <v>1.0416666666666666E-2</v>
      </c>
      <c r="R16" s="134">
        <v>3.125E-2</v>
      </c>
      <c r="S16" s="134">
        <v>8.3333333333333329E-2</v>
      </c>
      <c r="T16" s="134">
        <v>0.25</v>
      </c>
      <c r="U16" s="134">
        <v>0.5</v>
      </c>
      <c r="V16" s="134">
        <v>1</v>
      </c>
      <c r="W16" s="134">
        <v>2</v>
      </c>
      <c r="X16" s="134">
        <v>3</v>
      </c>
      <c r="Y16" s="134">
        <v>4</v>
      </c>
      <c r="Z16" s="134">
        <v>5</v>
      </c>
      <c r="AA16" s="134">
        <v>6</v>
      </c>
    </row>
    <row r="17" spans="1:27">
      <c r="A17" s="47" t="s">
        <v>23</v>
      </c>
      <c r="B17" s="47" t="s">
        <v>14</v>
      </c>
      <c r="C17" s="47" t="s">
        <v>30</v>
      </c>
      <c r="D17" s="131">
        <v>1000</v>
      </c>
      <c r="E17" s="132">
        <v>2000</v>
      </c>
      <c r="F17" s="132">
        <v>5000</v>
      </c>
      <c r="G17" s="132">
        <v>20000</v>
      </c>
      <c r="H17" s="132">
        <v>80000</v>
      </c>
      <c r="I17" s="132">
        <v>180000</v>
      </c>
      <c r="J17" s="132">
        <v>360000</v>
      </c>
      <c r="K17" s="132">
        <v>720000</v>
      </c>
      <c r="L17" s="132">
        <v>1500000</v>
      </c>
      <c r="M17" s="132">
        <v>2500000</v>
      </c>
      <c r="N17" s="132">
        <v>5000000</v>
      </c>
      <c r="O17" s="132">
        <v>7500000</v>
      </c>
      <c r="P17" s="133">
        <v>1.0416666666666666E-2</v>
      </c>
      <c r="Q17" s="134">
        <v>2.0833333333333332E-2</v>
      </c>
      <c r="R17" s="134">
        <v>3.125E-2</v>
      </c>
      <c r="S17" s="134">
        <v>0.16666666666666666</v>
      </c>
      <c r="T17" s="134">
        <v>0.5</v>
      </c>
      <c r="U17" s="134">
        <v>1</v>
      </c>
      <c r="V17" s="134">
        <v>2</v>
      </c>
      <c r="W17" s="134">
        <v>3</v>
      </c>
      <c r="X17" s="134">
        <v>4</v>
      </c>
      <c r="Y17" s="134">
        <v>5</v>
      </c>
      <c r="Z17" s="134">
        <v>6</v>
      </c>
      <c r="AA17" s="134">
        <v>7</v>
      </c>
    </row>
    <row r="18" spans="1:27" ht="16" customHeight="1">
      <c r="A18" s="47" t="s">
        <v>24</v>
      </c>
      <c r="B18" s="47" t="s">
        <v>24</v>
      </c>
      <c r="C18" s="47" t="s">
        <v>30</v>
      </c>
      <c r="D18" s="131">
        <v>200</v>
      </c>
      <c r="E18" s="132">
        <v>1000</v>
      </c>
      <c r="F18" s="132">
        <v>5000</v>
      </c>
      <c r="G18" s="132">
        <v>10000</v>
      </c>
      <c r="H18" s="132">
        <v>30000</v>
      </c>
      <c r="I18" s="132">
        <v>75000</v>
      </c>
      <c r="J18" s="132">
        <v>200000</v>
      </c>
      <c r="K18" s="132">
        <v>500000</v>
      </c>
      <c r="L18" s="132">
        <v>1000000</v>
      </c>
      <c r="M18" s="132">
        <v>3000000</v>
      </c>
      <c r="N18" s="132">
        <v>4000000</v>
      </c>
      <c r="O18" s="132" t="e">
        <v>#N/A</v>
      </c>
      <c r="P18" s="133">
        <v>0</v>
      </c>
      <c r="Q18" s="134">
        <v>0</v>
      </c>
      <c r="R18" s="134">
        <v>0</v>
      </c>
      <c r="S18" s="134">
        <v>0</v>
      </c>
      <c r="T18" s="134">
        <v>0</v>
      </c>
      <c r="U18" s="134">
        <v>0</v>
      </c>
      <c r="V18" s="134">
        <v>0</v>
      </c>
      <c r="W18" s="134">
        <v>0</v>
      </c>
      <c r="X18" s="134">
        <v>0</v>
      </c>
      <c r="Y18" s="134">
        <v>0</v>
      </c>
      <c r="Z18" s="134">
        <v>0</v>
      </c>
      <c r="AA18" s="134" t="e">
        <v>#N/A</v>
      </c>
    </row>
    <row r="19" spans="1:27" ht="16" customHeight="1">
      <c r="A19" s="47" t="s">
        <v>7</v>
      </c>
      <c r="B19" s="47" t="s">
        <v>14</v>
      </c>
      <c r="C19" s="47" t="s">
        <v>30</v>
      </c>
      <c r="D19" s="131">
        <v>8000</v>
      </c>
      <c r="E19" s="132">
        <v>32000</v>
      </c>
      <c r="F19" s="132">
        <v>120000</v>
      </c>
      <c r="G19" s="132">
        <v>400000</v>
      </c>
      <c r="H19" s="132">
        <v>800000</v>
      </c>
      <c r="I19" s="132">
        <v>1600000</v>
      </c>
      <c r="J19" s="132">
        <v>3200000</v>
      </c>
      <c r="K19" s="132">
        <v>6400000</v>
      </c>
      <c r="L19" s="132" t="e">
        <v>#N/A</v>
      </c>
      <c r="M19" s="132" t="e">
        <v>#N/A</v>
      </c>
      <c r="N19" s="132" t="e">
        <v>#N/A</v>
      </c>
      <c r="O19" s="132" t="e">
        <v>#N/A</v>
      </c>
      <c r="P19" s="133">
        <v>0.33333333333333331</v>
      </c>
      <c r="Q19" s="134">
        <v>0.5</v>
      </c>
      <c r="R19" s="134">
        <v>1</v>
      </c>
      <c r="S19" s="134">
        <v>2</v>
      </c>
      <c r="T19" s="134">
        <v>4</v>
      </c>
      <c r="U19" s="134">
        <v>5</v>
      </c>
      <c r="V19" s="134">
        <v>7</v>
      </c>
      <c r="W19" s="134">
        <v>10</v>
      </c>
      <c r="X19" s="134" t="e">
        <v>#N/A</v>
      </c>
      <c r="Y19" s="134" t="e">
        <v>#N/A</v>
      </c>
      <c r="Z19" s="134" t="e">
        <v>#N/A</v>
      </c>
      <c r="AA19" s="134" t="e">
        <v>#N/A</v>
      </c>
    </row>
    <row r="20" spans="1:27">
      <c r="A20" s="47" t="s">
        <v>8</v>
      </c>
      <c r="B20" s="47" t="s">
        <v>14</v>
      </c>
      <c r="C20" s="47" t="s">
        <v>30</v>
      </c>
      <c r="D20" s="131">
        <v>400</v>
      </c>
      <c r="E20" s="132">
        <v>1000</v>
      </c>
      <c r="F20" s="132">
        <v>10000</v>
      </c>
      <c r="G20" s="132">
        <v>100000</v>
      </c>
      <c r="H20" s="132">
        <v>1000000</v>
      </c>
      <c r="I20" s="132" t="e">
        <v>#N/A</v>
      </c>
      <c r="J20" s="132" t="e">
        <v>#N/A</v>
      </c>
      <c r="K20" s="132" t="e">
        <v>#N/A</v>
      </c>
      <c r="L20" s="132" t="e">
        <v>#N/A</v>
      </c>
      <c r="M20" s="132" t="e">
        <v>#N/A</v>
      </c>
      <c r="N20" s="132" t="e">
        <v>#N/A</v>
      </c>
      <c r="O20" s="132" t="e">
        <v>#N/A</v>
      </c>
      <c r="P20" s="133">
        <v>0</v>
      </c>
      <c r="Q20" s="134">
        <v>1.0416666666666666E-2</v>
      </c>
      <c r="R20" s="134">
        <v>8.3333333333333329E-2</v>
      </c>
      <c r="S20" s="134">
        <v>0.33333333333333331</v>
      </c>
      <c r="T20" s="134">
        <v>1</v>
      </c>
      <c r="U20" s="134" t="e">
        <v>#N/A</v>
      </c>
      <c r="V20" s="134" t="e">
        <v>#N/A</v>
      </c>
      <c r="W20" s="134" t="e">
        <v>#N/A</v>
      </c>
      <c r="X20" s="134" t="e">
        <v>#N/A</v>
      </c>
      <c r="Y20" s="134" t="e">
        <v>#N/A</v>
      </c>
      <c r="Z20" s="134" t="e">
        <v>#N/A</v>
      </c>
      <c r="AA20" s="134" t="e">
        <v>#N/A</v>
      </c>
    </row>
    <row r="21" spans="1:27">
      <c r="A21" s="47" t="s">
        <v>25</v>
      </c>
      <c r="B21" s="47" t="s">
        <v>14</v>
      </c>
      <c r="C21" s="47" t="s">
        <v>30</v>
      </c>
      <c r="D21" s="131">
        <v>22500</v>
      </c>
      <c r="E21" s="132">
        <v>90000</v>
      </c>
      <c r="F21" s="132">
        <v>270000</v>
      </c>
      <c r="G21" s="132">
        <v>540000</v>
      </c>
      <c r="H21" s="132">
        <v>1080000</v>
      </c>
      <c r="I21" s="132">
        <v>2160000</v>
      </c>
      <c r="J21" s="132">
        <v>4320000</v>
      </c>
      <c r="K21" s="132">
        <v>7560000</v>
      </c>
      <c r="L21" s="132" t="e">
        <v>#N/A</v>
      </c>
      <c r="M21" s="132" t="e">
        <v>#N/A</v>
      </c>
      <c r="N21" s="132" t="e">
        <v>#N/A</v>
      </c>
      <c r="O21" s="132" t="e">
        <v>#N/A</v>
      </c>
      <c r="P21" s="133">
        <v>0.20833333333333334</v>
      </c>
      <c r="Q21" s="134">
        <v>1</v>
      </c>
      <c r="R21" s="134">
        <v>3</v>
      </c>
      <c r="S21" s="134">
        <v>5</v>
      </c>
      <c r="T21" s="134">
        <v>6</v>
      </c>
      <c r="U21" s="134">
        <v>8</v>
      </c>
      <c r="V21" s="134">
        <v>10</v>
      </c>
      <c r="W21" s="134">
        <v>12</v>
      </c>
      <c r="X21" s="134" t="e">
        <v>#N/A</v>
      </c>
      <c r="Y21" s="134" t="e">
        <v>#N/A</v>
      </c>
      <c r="Z21" s="134" t="e">
        <v>#N/A</v>
      </c>
      <c r="AA21" s="134" t="e">
        <v>#N/A</v>
      </c>
    </row>
    <row r="22" spans="1:27">
      <c r="A22" s="47" t="s">
        <v>26</v>
      </c>
      <c r="B22" s="47" t="s">
        <v>14</v>
      </c>
      <c r="C22" s="47" t="s">
        <v>30</v>
      </c>
      <c r="D22" s="131">
        <v>2000</v>
      </c>
      <c r="E22" s="132" t="e">
        <v>#N/A</v>
      </c>
      <c r="F22" s="132" t="e">
        <v>#N/A</v>
      </c>
      <c r="G22" s="132" t="e">
        <v>#N/A</v>
      </c>
      <c r="H22" s="132" t="e">
        <v>#N/A</v>
      </c>
      <c r="I22" s="132" t="e">
        <v>#N/A</v>
      </c>
      <c r="J22" s="132" t="e">
        <v>#N/A</v>
      </c>
      <c r="K22" s="132" t="e">
        <v>#N/A</v>
      </c>
      <c r="L22" s="132" t="e">
        <v>#N/A</v>
      </c>
      <c r="M22" s="132" t="e">
        <v>#N/A</v>
      </c>
      <c r="N22" s="132" t="e">
        <v>#N/A</v>
      </c>
      <c r="O22" s="132" t="e">
        <v>#N/A</v>
      </c>
      <c r="P22" s="133">
        <v>0</v>
      </c>
      <c r="Q22" s="134" t="e">
        <v>#N/A</v>
      </c>
      <c r="R22" s="134" t="e">
        <v>#N/A</v>
      </c>
      <c r="S22" s="134" t="e">
        <v>#N/A</v>
      </c>
      <c r="T22" s="134" t="e">
        <v>#N/A</v>
      </c>
      <c r="U22" s="134" t="e">
        <v>#N/A</v>
      </c>
      <c r="V22" s="134" t="e">
        <v>#N/A</v>
      </c>
      <c r="W22" s="134" t="e">
        <v>#N/A</v>
      </c>
      <c r="X22" s="134" t="e">
        <v>#N/A</v>
      </c>
      <c r="Y22" s="134" t="e">
        <v>#N/A</v>
      </c>
      <c r="Z22" s="134" t="e">
        <v>#N/A</v>
      </c>
      <c r="AA22" s="134" t="e">
        <v>#N/A</v>
      </c>
    </row>
    <row r="23" spans="1:27">
      <c r="A23" s="47" t="s">
        <v>27</v>
      </c>
      <c r="B23" s="47" t="s">
        <v>14</v>
      </c>
      <c r="C23" s="47" t="s">
        <v>30</v>
      </c>
      <c r="D23" s="131">
        <v>180000</v>
      </c>
      <c r="E23" s="132">
        <v>360000</v>
      </c>
      <c r="F23" s="132">
        <v>720000</v>
      </c>
      <c r="G23" s="132">
        <v>1280000</v>
      </c>
      <c r="H23" s="132">
        <v>1960000</v>
      </c>
      <c r="I23" s="132">
        <v>2680000</v>
      </c>
      <c r="J23" s="132">
        <v>5360000</v>
      </c>
      <c r="K23" s="132">
        <v>6480000</v>
      </c>
      <c r="L23" s="132" t="e">
        <v>#N/A</v>
      </c>
      <c r="M23" s="132" t="e">
        <v>#N/A</v>
      </c>
      <c r="N23" s="132" t="e">
        <v>#N/A</v>
      </c>
      <c r="O23" s="132" t="e">
        <v>#N/A</v>
      </c>
      <c r="P23" s="133">
        <v>0.5</v>
      </c>
      <c r="Q23" s="134">
        <v>1</v>
      </c>
      <c r="R23" s="134">
        <v>2</v>
      </c>
      <c r="S23" s="134">
        <v>3</v>
      </c>
      <c r="T23" s="134">
        <v>4</v>
      </c>
      <c r="U23" s="134">
        <v>5</v>
      </c>
      <c r="V23" s="134">
        <v>7</v>
      </c>
      <c r="W23" s="134">
        <v>10</v>
      </c>
      <c r="X23" s="134" t="e">
        <v>#N/A</v>
      </c>
      <c r="Y23" s="134" t="e">
        <v>#N/A</v>
      </c>
      <c r="Z23" s="134" t="e">
        <v>#N/A</v>
      </c>
      <c r="AA23" s="134" t="e">
        <v>#N/A</v>
      </c>
    </row>
    <row r="24" spans="1:27">
      <c r="A24" s="47" t="s">
        <v>9</v>
      </c>
      <c r="B24" s="47" t="s">
        <v>14</v>
      </c>
      <c r="C24" s="47" t="s">
        <v>30</v>
      </c>
      <c r="D24" s="131">
        <v>12500</v>
      </c>
      <c r="E24" s="132">
        <v>75000</v>
      </c>
      <c r="F24" s="132">
        <v>750000</v>
      </c>
      <c r="G24" s="132">
        <v>2500000</v>
      </c>
      <c r="H24" s="132" t="e">
        <v>#N/A</v>
      </c>
      <c r="I24" s="132" t="e">
        <v>#N/A</v>
      </c>
      <c r="J24" s="132" t="e">
        <v>#N/A</v>
      </c>
      <c r="K24" s="132" t="e">
        <v>#N/A</v>
      </c>
      <c r="L24" s="132" t="e">
        <v>#N/A</v>
      </c>
      <c r="M24" s="132" t="e">
        <v>#N/A</v>
      </c>
      <c r="N24" s="132" t="e">
        <v>#N/A</v>
      </c>
      <c r="O24" s="132" t="e">
        <v>#N/A</v>
      </c>
      <c r="P24" s="133">
        <v>0</v>
      </c>
      <c r="Q24" s="134">
        <v>0.25</v>
      </c>
      <c r="R24" s="134">
        <v>1</v>
      </c>
      <c r="S24" s="134">
        <v>3</v>
      </c>
      <c r="T24" s="134" t="e">
        <v>#N/A</v>
      </c>
      <c r="U24" s="134" t="e">
        <v>#N/A</v>
      </c>
      <c r="V24" s="134" t="e">
        <v>#N/A</v>
      </c>
      <c r="W24" s="134" t="e">
        <v>#N/A</v>
      </c>
      <c r="X24" s="134" t="e">
        <v>#N/A</v>
      </c>
      <c r="Y24" s="134" t="e">
        <v>#N/A</v>
      </c>
      <c r="Z24" s="134" t="e">
        <v>#N/A</v>
      </c>
      <c r="AA24" s="134" t="e">
        <v>#N/A</v>
      </c>
    </row>
    <row r="25" spans="1:27">
      <c r="A25" s="47" t="s">
        <v>10</v>
      </c>
      <c r="B25" s="47" t="s">
        <v>14</v>
      </c>
      <c r="C25" s="47" t="s">
        <v>30</v>
      </c>
      <c r="D25" s="131">
        <v>4000</v>
      </c>
      <c r="E25" s="132">
        <v>20000</v>
      </c>
      <c r="F25" s="132">
        <v>200000</v>
      </c>
      <c r="G25" s="132">
        <v>1500000</v>
      </c>
      <c r="H25" s="132" t="e">
        <v>#N/A</v>
      </c>
      <c r="I25" s="132" t="e">
        <v>#N/A</v>
      </c>
      <c r="J25" s="132" t="e">
        <v>#N/A</v>
      </c>
      <c r="K25" s="132" t="e">
        <v>#N/A</v>
      </c>
      <c r="L25" s="132" t="e">
        <v>#N/A</v>
      </c>
      <c r="M25" s="132" t="e">
        <v>#N/A</v>
      </c>
      <c r="N25" s="132" t="e">
        <v>#N/A</v>
      </c>
      <c r="O25" s="132" t="e">
        <v>#N/A</v>
      </c>
      <c r="P25" s="133">
        <v>0</v>
      </c>
      <c r="Q25" s="134">
        <v>0.16666666666666666</v>
      </c>
      <c r="R25" s="134">
        <v>0.5</v>
      </c>
      <c r="S25" s="134">
        <v>1</v>
      </c>
      <c r="T25" s="134" t="e">
        <v>#N/A</v>
      </c>
      <c r="U25" s="134" t="e">
        <v>#N/A</v>
      </c>
      <c r="V25" s="134" t="e">
        <v>#N/A</v>
      </c>
      <c r="W25" s="134" t="e">
        <v>#N/A</v>
      </c>
      <c r="X25" s="134" t="e">
        <v>#N/A</v>
      </c>
      <c r="Y25" s="134" t="e">
        <v>#N/A</v>
      </c>
      <c r="Z25" s="134" t="e">
        <v>#N/A</v>
      </c>
      <c r="AA25" s="134" t="e">
        <v>#N/A</v>
      </c>
    </row>
    <row r="26" spans="1:27">
      <c r="A26" s="47" t="s">
        <v>28</v>
      </c>
      <c r="B26" s="47" t="s">
        <v>14</v>
      </c>
      <c r="C26" s="47" t="s">
        <v>30</v>
      </c>
      <c r="D26" s="131">
        <v>15000</v>
      </c>
      <c r="E26" s="132">
        <v>2000000</v>
      </c>
      <c r="F26" s="132">
        <v>4000000</v>
      </c>
      <c r="G26" s="132" t="e">
        <v>#N/A</v>
      </c>
      <c r="H26" s="132" t="e">
        <v>#N/A</v>
      </c>
      <c r="I26" s="132" t="e">
        <v>#N/A</v>
      </c>
      <c r="J26" s="132" t="e">
        <v>#N/A</v>
      </c>
      <c r="K26" s="132" t="e">
        <v>#N/A</v>
      </c>
      <c r="L26" s="132" t="e">
        <v>#N/A</v>
      </c>
      <c r="M26" s="132" t="e">
        <v>#N/A</v>
      </c>
      <c r="N26" s="132" t="e">
        <v>#N/A</v>
      </c>
      <c r="O26" s="132" t="e">
        <v>#N/A</v>
      </c>
      <c r="P26" s="133">
        <v>0</v>
      </c>
      <c r="Q26" s="134">
        <v>1</v>
      </c>
      <c r="R26" s="134">
        <v>3</v>
      </c>
      <c r="S26" s="134" t="e">
        <v>#N/A</v>
      </c>
      <c r="T26" s="134" t="e">
        <v>#N/A</v>
      </c>
      <c r="U26" s="134" t="e">
        <v>#N/A</v>
      </c>
      <c r="V26" s="134" t="e">
        <v>#N/A</v>
      </c>
      <c r="W26" s="134" t="e">
        <v>#N/A</v>
      </c>
      <c r="X26" s="134" t="e">
        <v>#N/A</v>
      </c>
      <c r="Y26" s="134" t="e">
        <v>#N/A</v>
      </c>
      <c r="Z26" s="134" t="e">
        <v>#N/A</v>
      </c>
      <c r="AA26" s="134" t="e">
        <v>#N/A</v>
      </c>
    </row>
    <row r="27" spans="1:27">
      <c r="A27" s="47" t="s">
        <v>11</v>
      </c>
      <c r="B27" s="47" t="s">
        <v>14</v>
      </c>
      <c r="C27" s="47" t="s">
        <v>30</v>
      </c>
      <c r="D27" s="131">
        <v>1000000</v>
      </c>
      <c r="E27" s="132">
        <v>1250000</v>
      </c>
      <c r="F27" s="132">
        <v>1500000</v>
      </c>
      <c r="G27" s="132">
        <v>2000000</v>
      </c>
      <c r="H27" s="132">
        <v>2500000</v>
      </c>
      <c r="I27" s="132">
        <v>3000000</v>
      </c>
      <c r="J27" s="132">
        <v>3500000</v>
      </c>
      <c r="K27" s="132" t="e">
        <v>#N/A</v>
      </c>
      <c r="L27" s="132" t="e">
        <v>#N/A</v>
      </c>
      <c r="M27" s="132" t="e">
        <v>#N/A</v>
      </c>
      <c r="N27" s="132" t="e">
        <v>#N/A</v>
      </c>
      <c r="O27" s="132" t="e">
        <v>#N/A</v>
      </c>
      <c r="P27" s="133">
        <v>2</v>
      </c>
      <c r="Q27" s="134">
        <v>4</v>
      </c>
      <c r="R27" s="134">
        <v>6</v>
      </c>
      <c r="S27" s="134">
        <v>8</v>
      </c>
      <c r="T27" s="134">
        <v>10</v>
      </c>
      <c r="U27" s="134">
        <v>12</v>
      </c>
      <c r="V27" s="134">
        <v>14</v>
      </c>
      <c r="W27" s="134" t="e">
        <v>#N/A</v>
      </c>
      <c r="X27" s="134" t="e">
        <v>#N/A</v>
      </c>
      <c r="Y27" s="134" t="e">
        <v>#N/A</v>
      </c>
      <c r="Z27" s="134" t="e">
        <v>#N/A</v>
      </c>
      <c r="AA27" s="134" t="e">
        <v>#N/A</v>
      </c>
    </row>
    <row r="28" spans="1:27">
      <c r="A28" s="47" t="s">
        <v>12</v>
      </c>
      <c r="B28" s="47" t="s">
        <v>14</v>
      </c>
      <c r="C28" s="47" t="s">
        <v>30</v>
      </c>
      <c r="D28" s="131">
        <v>3000000</v>
      </c>
      <c r="E28" s="132">
        <v>5000000</v>
      </c>
      <c r="F28" s="132">
        <v>7000000</v>
      </c>
      <c r="G28" s="132">
        <v>8000000</v>
      </c>
      <c r="H28" s="132" t="e">
        <v>#N/A</v>
      </c>
      <c r="I28" s="132" t="e">
        <v>#N/A</v>
      </c>
      <c r="J28" s="132" t="e">
        <v>#N/A</v>
      </c>
      <c r="K28" s="132" t="e">
        <v>#N/A</v>
      </c>
      <c r="L28" s="132" t="e">
        <v>#N/A</v>
      </c>
      <c r="M28" s="132" t="e">
        <v>#N/A</v>
      </c>
      <c r="N28" s="132" t="e">
        <v>#N/A</v>
      </c>
      <c r="O28" s="132" t="e">
        <v>#N/A</v>
      </c>
      <c r="P28" s="133">
        <v>7</v>
      </c>
      <c r="Q28" s="134">
        <v>10</v>
      </c>
      <c r="R28" s="134">
        <v>14</v>
      </c>
      <c r="S28" s="134">
        <v>14</v>
      </c>
      <c r="T28" s="134" t="e">
        <v>#N/A</v>
      </c>
      <c r="U28" s="134" t="e">
        <v>#N/A</v>
      </c>
      <c r="V28" s="134" t="e">
        <v>#N/A</v>
      </c>
      <c r="W28" s="134" t="e">
        <v>#N/A</v>
      </c>
      <c r="X28" s="134" t="e">
        <v>#N/A</v>
      </c>
      <c r="Y28" s="134" t="e">
        <v>#N/A</v>
      </c>
      <c r="Z28" s="134" t="e">
        <v>#N/A</v>
      </c>
      <c r="AA28" s="134" t="e">
        <v>#N/A</v>
      </c>
    </row>
    <row r="29" spans="1:27">
      <c r="A29" s="47" t="s">
        <v>29</v>
      </c>
      <c r="B29" s="47" t="s">
        <v>14</v>
      </c>
      <c r="C29" s="47" t="s">
        <v>30</v>
      </c>
      <c r="D29" s="131">
        <v>5000000</v>
      </c>
      <c r="E29" s="132">
        <v>6500000</v>
      </c>
      <c r="F29" s="132">
        <v>8000000</v>
      </c>
      <c r="G29" s="132" t="e">
        <v>#N/A</v>
      </c>
      <c r="H29" s="132" t="e">
        <v>#N/A</v>
      </c>
      <c r="I29" s="132" t="e">
        <v>#N/A</v>
      </c>
      <c r="J29" s="132" t="e">
        <v>#N/A</v>
      </c>
      <c r="K29" s="132" t="e">
        <v>#N/A</v>
      </c>
      <c r="L29" s="132" t="e">
        <v>#N/A</v>
      </c>
      <c r="M29" s="132" t="e">
        <v>#N/A</v>
      </c>
      <c r="N29" s="132" t="e">
        <v>#N/A</v>
      </c>
      <c r="O29" s="132" t="e">
        <v>#N/A</v>
      </c>
      <c r="P29" s="133">
        <v>7</v>
      </c>
      <c r="Q29" s="134">
        <v>10</v>
      </c>
      <c r="R29" s="134">
        <v>14</v>
      </c>
      <c r="S29" s="134" t="e">
        <v>#N/A</v>
      </c>
      <c r="T29" s="134" t="e">
        <v>#N/A</v>
      </c>
      <c r="U29" s="134" t="e">
        <v>#N/A</v>
      </c>
      <c r="V29" s="134" t="e">
        <v>#N/A</v>
      </c>
      <c r="W29" s="134" t="e">
        <v>#N/A</v>
      </c>
      <c r="X29" s="134" t="e">
        <v>#N/A</v>
      </c>
      <c r="Y29" s="134" t="e">
        <v>#N/A</v>
      </c>
      <c r="Z29" s="134" t="e">
        <v>#N/A</v>
      </c>
      <c r="AA29" s="134" t="e">
        <v>#N/A</v>
      </c>
    </row>
    <row r="30" spans="1:27">
      <c r="A30" s="47" t="s">
        <v>107</v>
      </c>
      <c r="B30" s="47" t="s">
        <v>14</v>
      </c>
      <c r="C30" s="47" t="s">
        <v>104</v>
      </c>
      <c r="D30" s="131">
        <v>10000</v>
      </c>
      <c r="E30" s="132" t="e">
        <v>#N/A</v>
      </c>
      <c r="F30" s="132" t="e">
        <v>#N/A</v>
      </c>
      <c r="G30" s="132" t="e">
        <v>#N/A</v>
      </c>
      <c r="H30" s="132" t="e">
        <v>#N/A</v>
      </c>
      <c r="I30" s="132" t="e">
        <v>#N/A</v>
      </c>
      <c r="J30" s="132" t="e">
        <v>#N/A</v>
      </c>
      <c r="K30" s="132" t="e">
        <v>#N/A</v>
      </c>
      <c r="L30" s="132" t="e">
        <v>#N/A</v>
      </c>
      <c r="M30" s="132" t="e">
        <v>#N/A</v>
      </c>
      <c r="N30" s="132" t="e">
        <v>#N/A</v>
      </c>
      <c r="O30" s="132" t="e">
        <v>#N/A</v>
      </c>
      <c r="P30" s="133">
        <v>0</v>
      </c>
      <c r="Q30" s="134" t="e">
        <v>#N/A</v>
      </c>
      <c r="R30" s="134" t="e">
        <v>#N/A</v>
      </c>
      <c r="S30" s="134" t="e">
        <v>#N/A</v>
      </c>
      <c r="T30" s="134" t="e">
        <v>#N/A</v>
      </c>
      <c r="U30" s="134" t="e">
        <v>#N/A</v>
      </c>
      <c r="V30" s="134" t="e">
        <v>#N/A</v>
      </c>
      <c r="W30" s="134" t="e">
        <v>#N/A</v>
      </c>
      <c r="X30" s="134" t="e">
        <v>#N/A</v>
      </c>
      <c r="Y30" s="134" t="e">
        <v>#N/A</v>
      </c>
      <c r="Z30" s="134" t="e">
        <v>#N/A</v>
      </c>
      <c r="AA30" s="134" t="e">
        <v>#N/A</v>
      </c>
    </row>
    <row r="31" spans="1:27">
      <c r="A31" s="47" t="s">
        <v>108</v>
      </c>
      <c r="B31" s="47" t="s">
        <v>14</v>
      </c>
      <c r="C31" s="47" t="s">
        <v>104</v>
      </c>
      <c r="D31" s="131">
        <v>40000</v>
      </c>
      <c r="E31" s="132" t="e">
        <v>#N/A</v>
      </c>
      <c r="F31" s="132" t="e">
        <v>#N/A</v>
      </c>
      <c r="G31" s="132" t="e">
        <v>#N/A</v>
      </c>
      <c r="H31" s="132" t="e">
        <v>#N/A</v>
      </c>
      <c r="I31" s="132" t="e">
        <v>#N/A</v>
      </c>
      <c r="J31" s="132" t="e">
        <v>#N/A</v>
      </c>
      <c r="K31" s="132" t="e">
        <v>#N/A</v>
      </c>
      <c r="L31" s="132" t="e">
        <v>#N/A</v>
      </c>
      <c r="M31" s="132" t="e">
        <v>#N/A</v>
      </c>
      <c r="N31" s="132" t="e">
        <v>#N/A</v>
      </c>
      <c r="O31" s="132" t="e">
        <v>#N/A</v>
      </c>
      <c r="P31" s="133">
        <v>0</v>
      </c>
      <c r="Q31" s="134" t="e">
        <v>#N/A</v>
      </c>
      <c r="R31" s="134" t="e">
        <v>#N/A</v>
      </c>
      <c r="S31" s="134" t="e">
        <v>#N/A</v>
      </c>
      <c r="T31" s="134" t="e">
        <v>#N/A</v>
      </c>
      <c r="U31" s="134" t="e">
        <v>#N/A</v>
      </c>
      <c r="V31" s="134" t="e">
        <v>#N/A</v>
      </c>
      <c r="W31" s="134" t="e">
        <v>#N/A</v>
      </c>
      <c r="X31" s="134" t="e">
        <v>#N/A</v>
      </c>
      <c r="Y31" s="134" t="e">
        <v>#N/A</v>
      </c>
      <c r="Z31" s="134" t="e">
        <v>#N/A</v>
      </c>
      <c r="AA31" s="134" t="e">
        <v>#N/A</v>
      </c>
    </row>
    <row r="32" spans="1:27">
      <c r="A32" s="105" t="s">
        <v>84</v>
      </c>
      <c r="B32" s="105" t="s">
        <v>73</v>
      </c>
      <c r="C32" s="105" t="s">
        <v>1</v>
      </c>
      <c r="D32" s="131" t="e">
        <v>#N/A</v>
      </c>
      <c r="E32" s="132">
        <v>50000</v>
      </c>
      <c r="F32" s="132">
        <v>150000</v>
      </c>
      <c r="G32" s="132">
        <v>500000</v>
      </c>
      <c r="H32" s="132">
        <v>1500000</v>
      </c>
      <c r="I32" s="132">
        <v>4500000</v>
      </c>
      <c r="J32" s="132" t="e">
        <v>#N/A</v>
      </c>
      <c r="K32" s="132" t="e">
        <v>#N/A</v>
      </c>
      <c r="L32" s="132" t="e">
        <v>#N/A</v>
      </c>
      <c r="M32" s="132" t="e">
        <v>#N/A</v>
      </c>
      <c r="N32" s="132" t="e">
        <v>#N/A</v>
      </c>
      <c r="O32" s="132" t="e">
        <v>#N/A</v>
      </c>
      <c r="P32" s="135" t="e">
        <v>#N/A</v>
      </c>
      <c r="Q32" s="134">
        <v>0.25</v>
      </c>
      <c r="R32" s="134">
        <v>1</v>
      </c>
      <c r="S32" s="134">
        <v>3</v>
      </c>
      <c r="T32" s="134">
        <v>5</v>
      </c>
      <c r="U32" s="134">
        <v>10</v>
      </c>
      <c r="V32" s="134" t="e">
        <v>#N/A</v>
      </c>
      <c r="W32" s="134" t="e">
        <v>#N/A</v>
      </c>
      <c r="X32" s="134" t="e">
        <v>#N/A</v>
      </c>
      <c r="Y32" s="134" t="e">
        <v>#N/A</v>
      </c>
      <c r="Z32" s="134" t="e">
        <v>#N/A</v>
      </c>
      <c r="AA32" s="134" t="e">
        <v>#N/A</v>
      </c>
    </row>
    <row r="33" spans="1:27">
      <c r="A33" s="105" t="s">
        <v>85</v>
      </c>
      <c r="B33" s="105" t="s">
        <v>73</v>
      </c>
      <c r="C33" s="105" t="s">
        <v>1</v>
      </c>
      <c r="D33" s="131" t="e">
        <v>#N/A</v>
      </c>
      <c r="E33" s="132">
        <v>50000</v>
      </c>
      <c r="F33" s="132">
        <v>250000</v>
      </c>
      <c r="G33" s="132">
        <v>750000</v>
      </c>
      <c r="H33" s="132">
        <v>2250000</v>
      </c>
      <c r="I33" s="132">
        <v>7500000</v>
      </c>
      <c r="J33" s="132" t="e">
        <v>#N/A</v>
      </c>
      <c r="K33" s="132" t="e">
        <v>#N/A</v>
      </c>
      <c r="L33" s="132" t="e">
        <v>#N/A</v>
      </c>
      <c r="M33" s="132" t="e">
        <v>#N/A</v>
      </c>
      <c r="N33" s="132" t="e">
        <v>#N/A</v>
      </c>
      <c r="O33" s="132" t="e">
        <v>#N/A</v>
      </c>
      <c r="P33" s="133" t="e">
        <v>#N/A</v>
      </c>
      <c r="Q33" s="134">
        <v>0.5</v>
      </c>
      <c r="R33" s="134">
        <v>2</v>
      </c>
      <c r="S33" s="134">
        <v>3</v>
      </c>
      <c r="T33" s="134">
        <v>5</v>
      </c>
      <c r="U33" s="134">
        <v>14</v>
      </c>
      <c r="V33" s="134" t="e">
        <v>#N/A</v>
      </c>
      <c r="W33" s="134" t="e">
        <v>#N/A</v>
      </c>
      <c r="X33" s="134" t="e">
        <v>#N/A</v>
      </c>
      <c r="Y33" s="134" t="e">
        <v>#N/A</v>
      </c>
      <c r="Z33" s="134" t="e">
        <v>#N/A</v>
      </c>
      <c r="AA33" s="134" t="e">
        <v>#N/A</v>
      </c>
    </row>
    <row r="34" spans="1:27">
      <c r="A34" s="105" t="s">
        <v>86</v>
      </c>
      <c r="B34" s="105" t="s">
        <v>73</v>
      </c>
      <c r="C34" s="105" t="s">
        <v>1</v>
      </c>
      <c r="D34" s="131" t="e">
        <v>#N/A</v>
      </c>
      <c r="E34" s="132">
        <v>50000</v>
      </c>
      <c r="F34" s="132">
        <v>250000</v>
      </c>
      <c r="G34" s="132">
        <v>750000</v>
      </c>
      <c r="H34" s="132">
        <v>2250000</v>
      </c>
      <c r="I34" s="132">
        <v>4500000</v>
      </c>
      <c r="J34" s="132" t="e">
        <v>#N/A</v>
      </c>
      <c r="K34" s="132" t="e">
        <v>#N/A</v>
      </c>
      <c r="L34" s="132" t="e">
        <v>#N/A</v>
      </c>
      <c r="M34" s="132" t="e">
        <v>#N/A</v>
      </c>
      <c r="N34" s="132" t="e">
        <v>#N/A</v>
      </c>
      <c r="O34" s="132" t="e">
        <v>#N/A</v>
      </c>
      <c r="P34" s="133" t="e">
        <v>#N/A</v>
      </c>
      <c r="Q34" s="134">
        <v>0.5</v>
      </c>
      <c r="R34" s="134">
        <v>2</v>
      </c>
      <c r="S34" s="134">
        <v>3</v>
      </c>
      <c r="T34" s="134">
        <v>5</v>
      </c>
      <c r="U34" s="134">
        <v>10</v>
      </c>
      <c r="V34" s="134" t="e">
        <v>#N/A</v>
      </c>
      <c r="W34" s="134" t="e">
        <v>#N/A</v>
      </c>
      <c r="X34" s="134" t="e">
        <v>#N/A</v>
      </c>
      <c r="Y34" s="134" t="e">
        <v>#N/A</v>
      </c>
      <c r="Z34" s="134" t="e">
        <v>#N/A</v>
      </c>
      <c r="AA34" s="134" t="e">
        <v>#N/A</v>
      </c>
    </row>
    <row r="35" spans="1:27">
      <c r="A35" s="105" t="s">
        <v>87</v>
      </c>
      <c r="B35" s="105" t="s">
        <v>73</v>
      </c>
      <c r="C35" s="105" t="s">
        <v>1</v>
      </c>
      <c r="D35" s="131" t="e">
        <v>#N/A</v>
      </c>
      <c r="E35" s="132">
        <v>100000</v>
      </c>
      <c r="F35" s="132">
        <v>250000</v>
      </c>
      <c r="G35" s="132">
        <v>750000</v>
      </c>
      <c r="H35" s="132">
        <v>2250000</v>
      </c>
      <c r="I35" s="132">
        <v>6000000</v>
      </c>
      <c r="J35" s="132" t="e">
        <v>#N/A</v>
      </c>
      <c r="K35" s="132" t="e">
        <v>#N/A</v>
      </c>
      <c r="L35" s="132" t="e">
        <v>#N/A</v>
      </c>
      <c r="M35" s="132" t="e">
        <v>#N/A</v>
      </c>
      <c r="N35" s="132" t="e">
        <v>#N/A</v>
      </c>
      <c r="O35" s="132" t="e">
        <v>#N/A</v>
      </c>
      <c r="P35" s="133" t="e">
        <v>#N/A</v>
      </c>
      <c r="Q35" s="134">
        <v>1</v>
      </c>
      <c r="R35" s="134">
        <v>2</v>
      </c>
      <c r="S35" s="134">
        <v>3</v>
      </c>
      <c r="T35" s="134">
        <v>5</v>
      </c>
      <c r="U35" s="134">
        <v>10</v>
      </c>
      <c r="V35" s="134" t="e">
        <v>#N/A</v>
      </c>
      <c r="W35" s="134" t="e">
        <v>#N/A</v>
      </c>
      <c r="X35" s="134" t="e">
        <v>#N/A</v>
      </c>
      <c r="Y35" s="134" t="e">
        <v>#N/A</v>
      </c>
      <c r="Z35" s="134" t="e">
        <v>#N/A</v>
      </c>
      <c r="AA35" s="134" t="e">
        <v>#N/A</v>
      </c>
    </row>
    <row r="36" spans="1:27">
      <c r="A36" s="105" t="s">
        <v>88</v>
      </c>
      <c r="B36" s="105" t="s">
        <v>73</v>
      </c>
      <c r="C36" s="105" t="s">
        <v>1</v>
      </c>
      <c r="D36" s="131" t="e">
        <v>#N/A</v>
      </c>
      <c r="E36" s="132">
        <v>100000</v>
      </c>
      <c r="F36" s="132">
        <v>250000</v>
      </c>
      <c r="G36" s="132">
        <v>750000</v>
      </c>
      <c r="H36" s="132">
        <v>2250000</v>
      </c>
      <c r="I36" s="132">
        <v>6750000</v>
      </c>
      <c r="J36" s="132" t="e">
        <v>#N/A</v>
      </c>
      <c r="K36" s="132" t="e">
        <v>#N/A</v>
      </c>
      <c r="L36" s="132" t="e">
        <v>#N/A</v>
      </c>
      <c r="M36" s="132" t="e">
        <v>#N/A</v>
      </c>
      <c r="N36" s="132" t="e">
        <v>#N/A</v>
      </c>
      <c r="O36" s="132" t="e">
        <v>#N/A</v>
      </c>
      <c r="P36" s="133" t="e">
        <v>#N/A</v>
      </c>
      <c r="Q36" s="134">
        <v>1</v>
      </c>
      <c r="R36" s="134">
        <v>2</v>
      </c>
      <c r="S36" s="134">
        <v>3</v>
      </c>
      <c r="T36" s="134">
        <v>5</v>
      </c>
      <c r="U36" s="134">
        <v>10</v>
      </c>
      <c r="V36" s="134" t="e">
        <v>#N/A</v>
      </c>
      <c r="W36" s="134" t="e">
        <v>#N/A</v>
      </c>
      <c r="X36" s="134" t="e">
        <v>#N/A</v>
      </c>
      <c r="Y36" s="134" t="e">
        <v>#N/A</v>
      </c>
      <c r="Z36" s="134" t="e">
        <v>#N/A</v>
      </c>
      <c r="AA36" s="134" t="e">
        <v>#N/A</v>
      </c>
    </row>
    <row r="37" spans="1:27">
      <c r="A37" s="105" t="s">
        <v>89</v>
      </c>
      <c r="B37" s="105" t="s">
        <v>73</v>
      </c>
      <c r="C37" s="105" t="s">
        <v>1</v>
      </c>
      <c r="D37" s="131" t="e">
        <v>#N/A</v>
      </c>
      <c r="E37" s="132">
        <v>150000</v>
      </c>
      <c r="F37" s="132">
        <v>450000</v>
      </c>
      <c r="G37" s="132">
        <v>1350000</v>
      </c>
      <c r="H37" s="132">
        <v>2500000</v>
      </c>
      <c r="I37" s="132">
        <v>6000000</v>
      </c>
      <c r="J37" s="132" t="e">
        <v>#N/A</v>
      </c>
      <c r="K37" s="132" t="e">
        <v>#N/A</v>
      </c>
      <c r="L37" s="132" t="e">
        <v>#N/A</v>
      </c>
      <c r="M37" s="132" t="e">
        <v>#N/A</v>
      </c>
      <c r="N37" s="132" t="e">
        <v>#N/A</v>
      </c>
      <c r="O37" s="132" t="e">
        <v>#N/A</v>
      </c>
      <c r="P37" s="133" t="e">
        <v>#N/A</v>
      </c>
      <c r="Q37" s="134">
        <v>1</v>
      </c>
      <c r="R37" s="134">
        <v>2</v>
      </c>
      <c r="S37" s="134">
        <v>3</v>
      </c>
      <c r="T37" s="134">
        <v>5</v>
      </c>
      <c r="U37" s="134">
        <v>10</v>
      </c>
      <c r="V37" s="134" t="e">
        <v>#N/A</v>
      </c>
      <c r="W37" s="134" t="e">
        <v>#N/A</v>
      </c>
      <c r="X37" s="134" t="e">
        <v>#N/A</v>
      </c>
      <c r="Y37" s="134" t="e">
        <v>#N/A</v>
      </c>
      <c r="Z37" s="134" t="e">
        <v>#N/A</v>
      </c>
      <c r="AA37" s="134" t="e">
        <v>#N/A</v>
      </c>
    </row>
    <row r="38" spans="1:27">
      <c r="A38" s="105" t="s">
        <v>90</v>
      </c>
      <c r="B38" s="105" t="s">
        <v>73</v>
      </c>
      <c r="C38" s="105" t="s">
        <v>1</v>
      </c>
      <c r="D38" s="131" t="e">
        <v>#N/A</v>
      </c>
      <c r="E38" s="132">
        <v>150000</v>
      </c>
      <c r="F38" s="132">
        <v>450000</v>
      </c>
      <c r="G38" s="132">
        <v>1350000</v>
      </c>
      <c r="H38" s="132">
        <v>2500000</v>
      </c>
      <c r="I38" s="132">
        <v>7500000</v>
      </c>
      <c r="J38" s="132" t="e">
        <v>#N/A</v>
      </c>
      <c r="K38" s="132" t="e">
        <v>#N/A</v>
      </c>
      <c r="L38" s="132" t="e">
        <v>#N/A</v>
      </c>
      <c r="M38" s="132" t="e">
        <v>#N/A</v>
      </c>
      <c r="N38" s="132" t="e">
        <v>#N/A</v>
      </c>
      <c r="O38" s="132" t="e">
        <v>#N/A</v>
      </c>
      <c r="P38" s="133" t="e">
        <v>#N/A</v>
      </c>
      <c r="Q38" s="134">
        <v>1</v>
      </c>
      <c r="R38" s="134">
        <v>2</v>
      </c>
      <c r="S38" s="134">
        <v>3</v>
      </c>
      <c r="T38" s="134">
        <v>5</v>
      </c>
      <c r="U38" s="134">
        <v>14</v>
      </c>
      <c r="V38" s="134" t="e">
        <v>#N/A</v>
      </c>
      <c r="W38" s="134" t="e">
        <v>#N/A</v>
      </c>
      <c r="X38" s="134" t="e">
        <v>#N/A</v>
      </c>
      <c r="Y38" s="134" t="e">
        <v>#N/A</v>
      </c>
      <c r="Z38" s="134" t="e">
        <v>#N/A</v>
      </c>
      <c r="AA38" s="134" t="e">
        <v>#N/A</v>
      </c>
    </row>
    <row r="39" spans="1:27">
      <c r="A39" s="105" t="s">
        <v>91</v>
      </c>
      <c r="B39" s="105" t="s">
        <v>73</v>
      </c>
      <c r="C39" s="105" t="s">
        <v>1</v>
      </c>
      <c r="D39" s="131" t="e">
        <v>#N/A</v>
      </c>
      <c r="E39" s="132">
        <v>750000</v>
      </c>
      <c r="F39" s="132">
        <v>1500000</v>
      </c>
      <c r="G39" s="132">
        <v>3000000</v>
      </c>
      <c r="H39" s="132" t="e">
        <v>#N/A</v>
      </c>
      <c r="I39" s="132" t="e">
        <v>#N/A</v>
      </c>
      <c r="J39" s="132" t="e">
        <v>#N/A</v>
      </c>
      <c r="K39" s="132" t="e">
        <v>#N/A</v>
      </c>
      <c r="L39" s="132" t="e">
        <v>#N/A</v>
      </c>
      <c r="M39" s="132" t="e">
        <v>#N/A</v>
      </c>
      <c r="N39" s="132" t="e">
        <v>#N/A</v>
      </c>
      <c r="O39" s="132" t="e">
        <v>#N/A</v>
      </c>
      <c r="P39" s="133" t="e">
        <v>#N/A</v>
      </c>
      <c r="Q39" s="134">
        <v>3</v>
      </c>
      <c r="R39" s="134">
        <v>5</v>
      </c>
      <c r="S39" s="134">
        <v>7</v>
      </c>
      <c r="T39" s="134" t="e">
        <v>#N/A</v>
      </c>
      <c r="U39" s="134" t="e">
        <v>#N/A</v>
      </c>
      <c r="V39" s="134" t="e">
        <v>#N/A</v>
      </c>
      <c r="W39" s="134" t="e">
        <v>#N/A</v>
      </c>
      <c r="X39" s="134" t="e">
        <v>#N/A</v>
      </c>
      <c r="Y39" s="134" t="e">
        <v>#N/A</v>
      </c>
      <c r="Z39" s="134" t="e">
        <v>#N/A</v>
      </c>
      <c r="AA39" s="134" t="e">
        <v>#N/A</v>
      </c>
    </row>
    <row r="40" spans="1:27">
      <c r="A40" s="105" t="s">
        <v>92</v>
      </c>
      <c r="B40" s="105" t="s">
        <v>73</v>
      </c>
      <c r="C40" s="105" t="s">
        <v>1</v>
      </c>
      <c r="D40" s="131" t="e">
        <v>#N/A</v>
      </c>
      <c r="E40" s="132">
        <v>2000000</v>
      </c>
      <c r="F40" s="132">
        <v>3000000</v>
      </c>
      <c r="G40" s="132">
        <v>8000000</v>
      </c>
      <c r="H40" s="132" t="e">
        <v>#N/A</v>
      </c>
      <c r="I40" s="132" t="e">
        <v>#N/A</v>
      </c>
      <c r="J40" s="132" t="e">
        <v>#N/A</v>
      </c>
      <c r="K40" s="132" t="e">
        <v>#N/A</v>
      </c>
      <c r="L40" s="132" t="e">
        <v>#N/A</v>
      </c>
      <c r="M40" s="132" t="e">
        <v>#N/A</v>
      </c>
      <c r="N40" s="132" t="e">
        <v>#N/A</v>
      </c>
      <c r="O40" s="132" t="e">
        <v>#N/A</v>
      </c>
      <c r="P40" s="133" t="e">
        <v>#N/A</v>
      </c>
      <c r="Q40" s="134">
        <v>7</v>
      </c>
      <c r="R40" s="134">
        <v>10</v>
      </c>
      <c r="S40" s="134">
        <v>14</v>
      </c>
      <c r="T40" s="134" t="e">
        <v>#N/A</v>
      </c>
      <c r="U40" s="134" t="e">
        <v>#N/A</v>
      </c>
      <c r="V40" s="134" t="e">
        <v>#N/A</v>
      </c>
      <c r="W40" s="134" t="e">
        <v>#N/A</v>
      </c>
      <c r="X40" s="134" t="e">
        <v>#N/A</v>
      </c>
      <c r="Y40" s="134" t="e">
        <v>#N/A</v>
      </c>
      <c r="Z40" s="134" t="e">
        <v>#N/A</v>
      </c>
      <c r="AA40" s="134" t="e">
        <v>#N/A</v>
      </c>
    </row>
    <row r="41" spans="1:27">
      <c r="A41" s="105" t="s">
        <v>93</v>
      </c>
      <c r="B41" s="105" t="s">
        <v>73</v>
      </c>
      <c r="C41" s="105" t="s">
        <v>1</v>
      </c>
      <c r="D41" s="131" t="e">
        <v>#N/A</v>
      </c>
      <c r="E41" s="132">
        <v>3000000</v>
      </c>
      <c r="F41" s="132">
        <v>6000000</v>
      </c>
      <c r="G41" s="132">
        <v>8000000</v>
      </c>
      <c r="H41" s="132" t="e">
        <v>#N/A</v>
      </c>
      <c r="I41" s="132" t="e">
        <v>#N/A</v>
      </c>
      <c r="J41" s="132" t="e">
        <v>#N/A</v>
      </c>
      <c r="K41" s="132" t="e">
        <v>#N/A</v>
      </c>
      <c r="L41" s="132" t="e">
        <v>#N/A</v>
      </c>
      <c r="M41" s="132" t="e">
        <v>#N/A</v>
      </c>
      <c r="N41" s="132" t="e">
        <v>#N/A</v>
      </c>
      <c r="O41" s="132" t="e">
        <v>#N/A</v>
      </c>
      <c r="P41" s="133" t="e">
        <v>#N/A</v>
      </c>
      <c r="Q41" s="134">
        <v>10</v>
      </c>
      <c r="R41" s="134">
        <v>12</v>
      </c>
      <c r="S41" s="134">
        <v>14</v>
      </c>
      <c r="T41" s="134" t="e">
        <v>#N/A</v>
      </c>
      <c r="U41" s="134" t="e">
        <v>#N/A</v>
      </c>
      <c r="V41" s="134" t="e">
        <v>#N/A</v>
      </c>
      <c r="W41" s="134" t="e">
        <v>#N/A</v>
      </c>
      <c r="X41" s="134" t="e">
        <v>#N/A</v>
      </c>
      <c r="Y41" s="134" t="e">
        <v>#N/A</v>
      </c>
      <c r="Z41" s="134" t="e">
        <v>#N/A</v>
      </c>
      <c r="AA41" s="134" t="e">
        <v>#N/A</v>
      </c>
    </row>
    <row r="42" spans="1:27">
      <c r="A42" s="105" t="s">
        <v>94</v>
      </c>
      <c r="B42" s="105" t="s">
        <v>73</v>
      </c>
      <c r="C42" s="105" t="s">
        <v>1</v>
      </c>
      <c r="D42" s="131" t="e">
        <v>#N/A</v>
      </c>
      <c r="E42" s="132">
        <v>200000</v>
      </c>
      <c r="F42" s="132">
        <v>500000</v>
      </c>
      <c r="G42" s="132">
        <v>1000000</v>
      </c>
      <c r="H42" s="132">
        <v>2000000</v>
      </c>
      <c r="I42" s="132">
        <v>8000000</v>
      </c>
      <c r="J42" s="132" t="e">
        <v>#N/A</v>
      </c>
      <c r="K42" s="132" t="e">
        <v>#N/A</v>
      </c>
      <c r="L42" s="132" t="e">
        <v>#N/A</v>
      </c>
      <c r="M42" s="132" t="e">
        <v>#N/A</v>
      </c>
      <c r="N42" s="132" t="e">
        <v>#N/A</v>
      </c>
      <c r="O42" s="132" t="e">
        <v>#N/A</v>
      </c>
      <c r="P42" s="133" t="e">
        <v>#N/A</v>
      </c>
      <c r="Q42" s="134">
        <v>1</v>
      </c>
      <c r="R42" s="134">
        <v>2</v>
      </c>
      <c r="S42" s="134">
        <v>3</v>
      </c>
      <c r="T42" s="134">
        <v>4</v>
      </c>
      <c r="U42" s="134">
        <v>14</v>
      </c>
      <c r="V42" s="134" t="e">
        <v>#N/A</v>
      </c>
      <c r="W42" s="134" t="e">
        <v>#N/A</v>
      </c>
      <c r="X42" s="134" t="e">
        <v>#N/A</v>
      </c>
      <c r="Y42" s="134" t="e">
        <v>#N/A</v>
      </c>
      <c r="Z42" s="134" t="e">
        <v>#N/A</v>
      </c>
      <c r="AA42" s="134" t="e">
        <v>#N/A</v>
      </c>
    </row>
    <row r="43" spans="1:27">
      <c r="A43" s="105" t="s">
        <v>95</v>
      </c>
      <c r="B43" s="105" t="s">
        <v>73</v>
      </c>
      <c r="C43" s="105" t="s">
        <v>1</v>
      </c>
      <c r="D43" s="131" t="e">
        <v>#N/A</v>
      </c>
      <c r="E43" s="132">
        <v>300000</v>
      </c>
      <c r="F43" s="132">
        <v>600000</v>
      </c>
      <c r="G43" s="132">
        <v>1200000</v>
      </c>
      <c r="H43" s="132">
        <v>2400000</v>
      </c>
      <c r="I43" s="132">
        <v>4800000</v>
      </c>
      <c r="J43" s="132" t="e">
        <v>#N/A</v>
      </c>
      <c r="K43" s="132" t="e">
        <v>#N/A</v>
      </c>
      <c r="L43" s="132" t="e">
        <v>#N/A</v>
      </c>
      <c r="M43" s="132" t="e">
        <v>#N/A</v>
      </c>
      <c r="N43" s="132" t="e">
        <v>#N/A</v>
      </c>
      <c r="O43" s="132" t="e">
        <v>#N/A</v>
      </c>
      <c r="P43" s="133" t="e">
        <v>#N/A</v>
      </c>
      <c r="Q43" s="134">
        <v>1</v>
      </c>
      <c r="R43" s="134">
        <v>2</v>
      </c>
      <c r="S43" s="134">
        <v>3</v>
      </c>
      <c r="T43" s="134">
        <v>5</v>
      </c>
      <c r="U43" s="134">
        <v>7</v>
      </c>
      <c r="V43" s="134" t="e">
        <v>#N/A</v>
      </c>
      <c r="W43" s="134" t="e">
        <v>#N/A</v>
      </c>
      <c r="X43" s="134" t="e">
        <v>#N/A</v>
      </c>
      <c r="Y43" s="134" t="e">
        <v>#N/A</v>
      </c>
      <c r="Z43" s="134" t="e">
        <v>#N/A</v>
      </c>
      <c r="AA43" s="134" t="e">
        <v>#N/A</v>
      </c>
    </row>
    <row r="44" spans="1:27">
      <c r="A44" s="105" t="s">
        <v>96</v>
      </c>
      <c r="B44" s="105" t="s">
        <v>73</v>
      </c>
      <c r="C44" s="105" t="s">
        <v>1</v>
      </c>
      <c r="D44" s="131" t="e">
        <v>#N/A</v>
      </c>
      <c r="E44" s="132">
        <v>450000</v>
      </c>
      <c r="F44" s="132">
        <v>900000</v>
      </c>
      <c r="G44" s="132">
        <v>1800000</v>
      </c>
      <c r="H44" s="132">
        <v>3000000</v>
      </c>
      <c r="I44" s="132" t="e">
        <v>#N/A</v>
      </c>
      <c r="J44" s="132" t="e">
        <v>#N/A</v>
      </c>
      <c r="K44" s="132" t="e">
        <v>#N/A</v>
      </c>
      <c r="L44" s="132" t="e">
        <v>#N/A</v>
      </c>
      <c r="M44" s="132" t="e">
        <v>#N/A</v>
      </c>
      <c r="N44" s="132" t="e">
        <v>#N/A</v>
      </c>
      <c r="O44" s="132" t="e">
        <v>#N/A</v>
      </c>
      <c r="P44" s="133" t="e">
        <v>#N/A</v>
      </c>
      <c r="Q44" s="134">
        <v>2</v>
      </c>
      <c r="R44" s="134">
        <v>3</v>
      </c>
      <c r="S44" s="134">
        <v>5</v>
      </c>
      <c r="T44" s="134">
        <v>7</v>
      </c>
      <c r="U44" s="134" t="e">
        <v>#N/A</v>
      </c>
      <c r="V44" s="134" t="e">
        <v>#N/A</v>
      </c>
      <c r="W44" s="134" t="e">
        <v>#N/A</v>
      </c>
      <c r="X44" s="134" t="e">
        <v>#N/A</v>
      </c>
      <c r="Y44" s="134" t="e">
        <v>#N/A</v>
      </c>
      <c r="Z44" s="134" t="e">
        <v>#N/A</v>
      </c>
      <c r="AA44" s="134" t="e">
        <v>#N/A</v>
      </c>
    </row>
    <row r="45" spans="1:27">
      <c r="A45" s="105" t="s">
        <v>97</v>
      </c>
      <c r="B45" s="105" t="s">
        <v>73</v>
      </c>
      <c r="C45" s="105" t="s">
        <v>1</v>
      </c>
      <c r="D45" s="131" t="e">
        <v>#N/A</v>
      </c>
      <c r="E45" s="132">
        <v>4000000</v>
      </c>
      <c r="F45" s="132" t="e">
        <v>#N/A</v>
      </c>
      <c r="G45" s="132" t="e">
        <v>#N/A</v>
      </c>
      <c r="H45" s="132" t="e">
        <v>#N/A</v>
      </c>
      <c r="I45" s="132" t="e">
        <v>#N/A</v>
      </c>
      <c r="J45" s="132" t="e">
        <v>#N/A</v>
      </c>
      <c r="K45" s="132" t="e">
        <v>#N/A</v>
      </c>
      <c r="L45" s="132" t="e">
        <v>#N/A</v>
      </c>
      <c r="M45" s="132" t="e">
        <v>#N/A</v>
      </c>
      <c r="N45" s="132" t="e">
        <v>#N/A</v>
      </c>
      <c r="O45" s="132" t="e">
        <v>#N/A</v>
      </c>
      <c r="P45" s="133" t="e">
        <v>#N/A</v>
      </c>
      <c r="Q45" s="134">
        <v>5</v>
      </c>
      <c r="R45" s="134" t="e">
        <v>#N/A</v>
      </c>
      <c r="S45" s="134" t="e">
        <v>#N/A</v>
      </c>
      <c r="T45" s="134" t="e">
        <v>#N/A</v>
      </c>
      <c r="U45" s="134" t="e">
        <v>#N/A</v>
      </c>
      <c r="V45" s="134" t="e">
        <v>#N/A</v>
      </c>
      <c r="W45" s="134" t="e">
        <v>#N/A</v>
      </c>
      <c r="X45" s="134" t="e">
        <v>#N/A</v>
      </c>
      <c r="Y45" s="134" t="e">
        <v>#N/A</v>
      </c>
      <c r="Z45" s="134" t="e">
        <v>#N/A</v>
      </c>
      <c r="AA45" s="134" t="e">
        <v>#N/A</v>
      </c>
    </row>
    <row r="46" spans="1:27">
      <c r="A46" s="105" t="s">
        <v>98</v>
      </c>
      <c r="B46" s="105" t="s">
        <v>73</v>
      </c>
      <c r="C46" s="105" t="s">
        <v>1</v>
      </c>
      <c r="D46" s="131" t="e">
        <v>#N/A</v>
      </c>
      <c r="E46" s="132">
        <v>4000000</v>
      </c>
      <c r="F46" s="132">
        <v>5000000</v>
      </c>
      <c r="G46" s="132">
        <v>6500000</v>
      </c>
      <c r="H46" s="132">
        <v>8000000</v>
      </c>
      <c r="I46" s="132" t="e">
        <v>#N/A</v>
      </c>
      <c r="J46" s="132" t="e">
        <v>#N/A</v>
      </c>
      <c r="K46" s="132" t="e">
        <v>#N/A</v>
      </c>
      <c r="L46" s="132" t="e">
        <v>#N/A</v>
      </c>
      <c r="M46" s="132" t="e">
        <v>#N/A</v>
      </c>
      <c r="N46" s="132" t="e">
        <v>#N/A</v>
      </c>
      <c r="O46" s="132" t="e">
        <v>#N/A</v>
      </c>
      <c r="P46" s="133" t="e">
        <v>#N/A</v>
      </c>
      <c r="Q46" s="134">
        <v>5</v>
      </c>
      <c r="R46" s="134">
        <v>7</v>
      </c>
      <c r="S46" s="134">
        <v>10</v>
      </c>
      <c r="T46" s="134">
        <v>14</v>
      </c>
      <c r="U46" s="134" t="e">
        <v>#N/A</v>
      </c>
      <c r="V46" s="134" t="e">
        <v>#N/A</v>
      </c>
      <c r="W46" s="134" t="e">
        <v>#N/A</v>
      </c>
      <c r="X46" s="134" t="e">
        <v>#N/A</v>
      </c>
      <c r="Y46" s="134" t="e">
        <v>#N/A</v>
      </c>
      <c r="Z46" s="134" t="e">
        <v>#N/A</v>
      </c>
      <c r="AA46" s="134" t="e">
        <v>#N/A</v>
      </c>
    </row>
    <row r="47" spans="1:27">
      <c r="A47" s="105" t="s">
        <v>99</v>
      </c>
      <c r="B47" s="105" t="s">
        <v>73</v>
      </c>
      <c r="C47" s="105" t="s">
        <v>104</v>
      </c>
      <c r="D47" s="131" t="e">
        <v>#N/A</v>
      </c>
      <c r="E47" s="132">
        <v>10000</v>
      </c>
      <c r="F47" s="132">
        <v>20000</v>
      </c>
      <c r="G47" s="132">
        <v>30000</v>
      </c>
      <c r="H47" s="132">
        <v>40000</v>
      </c>
      <c r="I47" s="132">
        <v>100000</v>
      </c>
      <c r="J47" s="132" t="e">
        <v>#N/A</v>
      </c>
      <c r="K47" s="132" t="e">
        <v>#N/A</v>
      </c>
      <c r="L47" s="132" t="e">
        <v>#N/A</v>
      </c>
      <c r="M47" s="132" t="e">
        <v>#N/A</v>
      </c>
      <c r="N47" s="132" t="e">
        <v>#N/A</v>
      </c>
      <c r="O47" s="132" t="e">
        <v>#N/A</v>
      </c>
      <c r="P47" s="133" t="e">
        <v>#N/A</v>
      </c>
      <c r="Q47" s="134">
        <v>5</v>
      </c>
      <c r="R47" s="134">
        <v>6</v>
      </c>
      <c r="S47" s="134">
        <v>7</v>
      </c>
      <c r="T47" s="134">
        <v>10</v>
      </c>
      <c r="U47" s="134">
        <v>14</v>
      </c>
      <c r="V47" s="134" t="e">
        <v>#N/A</v>
      </c>
      <c r="W47" s="134" t="e">
        <v>#N/A</v>
      </c>
      <c r="X47" s="134" t="e">
        <v>#N/A</v>
      </c>
      <c r="Y47" s="134" t="e">
        <v>#N/A</v>
      </c>
      <c r="Z47" s="134" t="e">
        <v>#N/A</v>
      </c>
      <c r="AA47" s="134" t="e">
        <v>#N/A</v>
      </c>
    </row>
    <row r="48" spans="1:27">
      <c r="A48" s="105" t="s">
        <v>100</v>
      </c>
      <c r="B48" s="105" t="s">
        <v>73</v>
      </c>
      <c r="C48" s="105" t="s">
        <v>104</v>
      </c>
      <c r="D48" s="131" t="e">
        <v>#N/A</v>
      </c>
      <c r="E48" s="132">
        <v>20000</v>
      </c>
      <c r="F48" s="132">
        <v>30000</v>
      </c>
      <c r="G48" s="132">
        <v>40000</v>
      </c>
      <c r="H48" s="132">
        <v>50000</v>
      </c>
      <c r="I48" s="132" t="e">
        <v>#N/A</v>
      </c>
      <c r="J48" s="132" t="e">
        <v>#N/A</v>
      </c>
      <c r="K48" s="132" t="e">
        <v>#N/A</v>
      </c>
      <c r="L48" s="132" t="e">
        <v>#N/A</v>
      </c>
      <c r="M48" s="132" t="e">
        <v>#N/A</v>
      </c>
      <c r="N48" s="132" t="e">
        <v>#N/A</v>
      </c>
      <c r="O48" s="132" t="e">
        <v>#N/A</v>
      </c>
      <c r="P48" s="133" t="e">
        <v>#N/A</v>
      </c>
      <c r="Q48" s="134">
        <v>8</v>
      </c>
      <c r="R48" s="134">
        <v>10</v>
      </c>
      <c r="S48" s="134">
        <v>12</v>
      </c>
      <c r="T48" s="134">
        <v>14</v>
      </c>
      <c r="U48" s="134" t="e">
        <v>#N/A</v>
      </c>
      <c r="V48" s="134" t="e">
        <v>#N/A</v>
      </c>
      <c r="W48" s="134" t="e">
        <v>#N/A</v>
      </c>
      <c r="X48" s="134" t="e">
        <v>#N/A</v>
      </c>
      <c r="Y48" s="134" t="e">
        <v>#N/A</v>
      </c>
      <c r="Z48" s="134" t="e">
        <v>#N/A</v>
      </c>
      <c r="AA48" s="134" t="e">
        <v>#N/A</v>
      </c>
    </row>
    <row r="49" spans="1:27">
      <c r="A49" s="105" t="s">
        <v>101</v>
      </c>
      <c r="B49" s="105" t="s">
        <v>73</v>
      </c>
      <c r="C49" s="105" t="s">
        <v>104</v>
      </c>
      <c r="D49" s="131" t="e">
        <v>#N/A</v>
      </c>
      <c r="E49" s="132">
        <v>50000</v>
      </c>
      <c r="F49" s="132">
        <v>60000</v>
      </c>
      <c r="G49" s="132">
        <v>70000</v>
      </c>
      <c r="H49" s="132" t="e">
        <v>#N/A</v>
      </c>
      <c r="I49" s="132" t="e">
        <v>#N/A</v>
      </c>
      <c r="J49" s="132" t="e">
        <v>#N/A</v>
      </c>
      <c r="K49" s="132" t="e">
        <v>#N/A</v>
      </c>
      <c r="L49" s="132" t="e">
        <v>#N/A</v>
      </c>
      <c r="M49" s="132" t="e">
        <v>#N/A</v>
      </c>
      <c r="N49" s="132" t="e">
        <v>#N/A</v>
      </c>
      <c r="O49" s="132" t="e">
        <v>#N/A</v>
      </c>
      <c r="P49" s="133" t="e">
        <v>#N/A</v>
      </c>
      <c r="Q49" s="134">
        <v>10</v>
      </c>
      <c r="R49" s="134">
        <v>12</v>
      </c>
      <c r="S49" s="134">
        <v>14</v>
      </c>
      <c r="T49" s="134" t="e">
        <v>#N/A</v>
      </c>
      <c r="U49" s="134" t="e">
        <v>#N/A</v>
      </c>
      <c r="V49" s="134" t="e">
        <v>#N/A</v>
      </c>
      <c r="W49" s="134" t="e">
        <v>#N/A</v>
      </c>
      <c r="X49" s="134" t="e">
        <v>#N/A</v>
      </c>
      <c r="Y49" s="134" t="e">
        <v>#N/A</v>
      </c>
      <c r="Z49" s="134" t="e">
        <v>#N/A</v>
      </c>
      <c r="AA49" s="134" t="e">
        <v>#N/A</v>
      </c>
    </row>
    <row r="50" spans="1:27">
      <c r="A50" s="105" t="s">
        <v>102</v>
      </c>
      <c r="B50" s="105" t="s">
        <v>73</v>
      </c>
      <c r="C50" s="105" t="s">
        <v>104</v>
      </c>
      <c r="D50" s="131" t="e">
        <v>#N/A</v>
      </c>
      <c r="E50" s="132">
        <v>60000</v>
      </c>
      <c r="F50" s="132">
        <v>70000</v>
      </c>
      <c r="G50" s="132">
        <v>80000</v>
      </c>
      <c r="H50" s="132">
        <v>90000</v>
      </c>
      <c r="I50" s="132" t="e">
        <v>#N/A</v>
      </c>
      <c r="J50" s="132" t="e">
        <v>#N/A</v>
      </c>
      <c r="K50" s="132" t="e">
        <v>#N/A</v>
      </c>
      <c r="L50" s="132" t="e">
        <v>#N/A</v>
      </c>
      <c r="M50" s="132" t="e">
        <v>#N/A</v>
      </c>
      <c r="N50" s="132" t="e">
        <v>#N/A</v>
      </c>
      <c r="O50" s="132" t="e">
        <v>#N/A</v>
      </c>
      <c r="P50" s="133" t="e">
        <v>#N/A</v>
      </c>
      <c r="Q50" s="134">
        <v>10</v>
      </c>
      <c r="R50" s="134">
        <v>12</v>
      </c>
      <c r="S50" s="134">
        <v>14</v>
      </c>
      <c r="T50" s="134">
        <v>14</v>
      </c>
      <c r="U50" s="134" t="e">
        <v>#N/A</v>
      </c>
      <c r="V50" s="134" t="e">
        <v>#N/A</v>
      </c>
      <c r="W50" s="134" t="e">
        <v>#N/A</v>
      </c>
      <c r="X50" s="134" t="e">
        <v>#N/A</v>
      </c>
      <c r="Y50" s="134" t="e">
        <v>#N/A</v>
      </c>
      <c r="Z50" s="134" t="e">
        <v>#N/A</v>
      </c>
      <c r="AA50" s="134" t="e">
        <v>#N/A</v>
      </c>
    </row>
    <row r="51" spans="1:27">
      <c r="A51" s="105" t="s">
        <v>103</v>
      </c>
      <c r="B51" s="105" t="s">
        <v>73</v>
      </c>
      <c r="C51" s="105" t="s">
        <v>104</v>
      </c>
      <c r="D51" s="131" t="e">
        <v>#N/A</v>
      </c>
      <c r="E51" s="132">
        <v>75000</v>
      </c>
      <c r="F51" s="132" t="e">
        <v>#N/A</v>
      </c>
      <c r="G51" s="132" t="e">
        <v>#N/A</v>
      </c>
      <c r="H51" s="132" t="e">
        <v>#N/A</v>
      </c>
      <c r="I51" s="132" t="e">
        <v>#N/A</v>
      </c>
      <c r="J51" s="132" t="e">
        <v>#N/A</v>
      </c>
      <c r="K51" s="132" t="e">
        <v>#N/A</v>
      </c>
      <c r="L51" s="132" t="e">
        <v>#N/A</v>
      </c>
      <c r="M51" s="132" t="e">
        <v>#N/A</v>
      </c>
      <c r="N51" s="132" t="e">
        <v>#N/A</v>
      </c>
      <c r="O51" s="132" t="e">
        <v>#N/A</v>
      </c>
      <c r="P51" s="133" t="e">
        <v>#N/A</v>
      </c>
      <c r="Q51" s="134">
        <v>10</v>
      </c>
      <c r="R51" s="134" t="e">
        <v>#N/A</v>
      </c>
      <c r="S51" s="134" t="e">
        <v>#N/A</v>
      </c>
      <c r="T51" s="134" t="e">
        <v>#N/A</v>
      </c>
      <c r="U51" s="134" t="e">
        <v>#N/A</v>
      </c>
      <c r="V51" s="134" t="e">
        <v>#N/A</v>
      </c>
      <c r="W51" s="134" t="e">
        <v>#N/A</v>
      </c>
      <c r="X51" s="134" t="e">
        <v>#N/A</v>
      </c>
      <c r="Y51" s="134" t="e">
        <v>#N/A</v>
      </c>
      <c r="Z51" s="134" t="e">
        <v>#N/A</v>
      </c>
      <c r="AA51" s="134" t="e">
        <v>#N/A</v>
      </c>
    </row>
    <row r="52" spans="1:27" ht="16" thickBot="1"/>
    <row r="53" spans="1:27" ht="32" thickTop="1" thickBot="1">
      <c r="A53" s="197" t="s">
        <v>182</v>
      </c>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c r="AA53" s="199"/>
    </row>
    <row r="54" spans="1:27" ht="16" thickTop="1"/>
    <row r="55" spans="1:27">
      <c r="A55" s="47" t="s">
        <v>163</v>
      </c>
      <c r="B55" s="47">
        <v>1</v>
      </c>
      <c r="C55" s="47">
        <v>2</v>
      </c>
      <c r="D55" s="47">
        <v>3</v>
      </c>
      <c r="E55" s="47">
        <v>4</v>
      </c>
      <c r="F55" s="47">
        <v>5</v>
      </c>
      <c r="G55" s="47">
        <v>6</v>
      </c>
      <c r="H55" s="47">
        <v>7</v>
      </c>
      <c r="I55" s="47">
        <v>8</v>
      </c>
    </row>
    <row r="56" spans="1:27">
      <c r="A56" s="47" t="s">
        <v>185</v>
      </c>
      <c r="B56" s="47">
        <v>20</v>
      </c>
      <c r="C56" s="47">
        <v>30</v>
      </c>
      <c r="D56" s="47">
        <v>35</v>
      </c>
      <c r="E56" s="47">
        <v>40</v>
      </c>
      <c r="F56" s="47">
        <v>45</v>
      </c>
      <c r="G56" s="47">
        <v>50</v>
      </c>
      <c r="H56" s="47">
        <v>55</v>
      </c>
      <c r="I56" s="47">
        <v>60</v>
      </c>
    </row>
    <row r="57" spans="1:27" ht="16" thickBot="1"/>
    <row r="58" spans="1:27" ht="32" thickTop="1" thickBot="1">
      <c r="A58" s="194" t="s">
        <v>181</v>
      </c>
      <c r="B58" s="195"/>
      <c r="C58" s="195"/>
      <c r="D58" s="195"/>
      <c r="E58" s="195"/>
      <c r="F58" s="195"/>
      <c r="G58" s="195"/>
      <c r="H58" s="195"/>
      <c r="I58" s="195"/>
      <c r="J58" s="195"/>
      <c r="K58" s="195"/>
      <c r="L58" s="195"/>
      <c r="M58" s="195"/>
      <c r="N58" s="195"/>
      <c r="O58" s="195"/>
      <c r="P58" s="195"/>
      <c r="Q58" s="195"/>
      <c r="R58" s="195"/>
      <c r="S58" s="195"/>
      <c r="T58" s="195"/>
      <c r="U58" s="195"/>
      <c r="V58" s="195"/>
      <c r="W58" s="195"/>
      <c r="X58" s="195"/>
      <c r="Y58" s="195"/>
      <c r="Z58" s="195"/>
      <c r="AA58" s="196"/>
    </row>
    <row r="59" spans="1:27" ht="16" thickTop="1">
      <c r="A59" s="47" t="s">
        <v>164</v>
      </c>
      <c r="B59" s="47" t="s">
        <v>150</v>
      </c>
      <c r="C59" s="47" t="s">
        <v>31</v>
      </c>
      <c r="D59" s="47" t="s">
        <v>167</v>
      </c>
      <c r="E59" s="47" t="s">
        <v>168</v>
      </c>
      <c r="F59" s="47" t="s">
        <v>33</v>
      </c>
      <c r="G59" s="47" t="s">
        <v>34</v>
      </c>
      <c r="H59" s="47" t="s">
        <v>35</v>
      </c>
      <c r="I59" s="47" t="s">
        <v>36</v>
      </c>
      <c r="J59" s="47" t="s">
        <v>37</v>
      </c>
      <c r="K59" s="47" t="s">
        <v>38</v>
      </c>
    </row>
    <row r="60" spans="1:27">
      <c r="A60" s="47" t="s">
        <v>84</v>
      </c>
      <c r="B60" s="47" t="s">
        <v>161</v>
      </c>
      <c r="C60" s="47" t="s">
        <v>1</v>
      </c>
      <c r="D60" s="136">
        <v>0.33333333333333331</v>
      </c>
      <c r="E60" s="47">
        <v>1</v>
      </c>
      <c r="F60" s="101">
        <v>25</v>
      </c>
      <c r="G60" s="101">
        <v>40</v>
      </c>
      <c r="H60" s="101">
        <v>60</v>
      </c>
      <c r="I60" s="101">
        <v>80</v>
      </c>
      <c r="J60" s="101">
        <v>100</v>
      </c>
      <c r="K60" s="101">
        <v>150</v>
      </c>
    </row>
    <row r="61" spans="1:27">
      <c r="A61" s="47" t="s">
        <v>85</v>
      </c>
      <c r="B61" s="47" t="s">
        <v>161</v>
      </c>
      <c r="C61" s="47" t="s">
        <v>1</v>
      </c>
      <c r="D61" s="136">
        <v>0.41666666666666669</v>
      </c>
      <c r="E61" s="47">
        <v>1</v>
      </c>
      <c r="F61" s="101">
        <v>50</v>
      </c>
      <c r="G61" s="101">
        <v>80</v>
      </c>
      <c r="H61" s="101">
        <v>120</v>
      </c>
      <c r="I61" s="101">
        <v>160</v>
      </c>
      <c r="J61" s="101">
        <v>200</v>
      </c>
      <c r="K61" s="101">
        <v>300</v>
      </c>
    </row>
    <row r="62" spans="1:27">
      <c r="A62" s="47" t="s">
        <v>86</v>
      </c>
      <c r="B62" s="47" t="s">
        <v>161</v>
      </c>
      <c r="C62" s="47" t="s">
        <v>1</v>
      </c>
      <c r="D62" s="136">
        <v>0.5</v>
      </c>
      <c r="E62" s="47">
        <v>1</v>
      </c>
      <c r="F62" s="101">
        <v>25</v>
      </c>
      <c r="G62" s="101">
        <v>40</v>
      </c>
      <c r="H62" s="101">
        <v>60</v>
      </c>
      <c r="I62" s="101">
        <v>80</v>
      </c>
      <c r="J62" s="101">
        <v>100</v>
      </c>
      <c r="K62" s="101">
        <v>150</v>
      </c>
    </row>
    <row r="63" spans="1:27">
      <c r="A63" s="47" t="s">
        <v>87</v>
      </c>
      <c r="B63" s="47" t="s">
        <v>161</v>
      </c>
      <c r="C63" s="47" t="s">
        <v>1</v>
      </c>
      <c r="D63" s="136">
        <v>2</v>
      </c>
      <c r="E63" s="47">
        <v>5</v>
      </c>
      <c r="F63" s="101">
        <v>500</v>
      </c>
      <c r="G63" s="101">
        <v>1000</v>
      </c>
      <c r="H63" s="101">
        <v>1500</v>
      </c>
      <c r="I63" s="101">
        <v>2000</v>
      </c>
      <c r="J63" s="101">
        <v>2500</v>
      </c>
      <c r="K63" s="101">
        <v>3000</v>
      </c>
    </row>
    <row r="64" spans="1:27">
      <c r="A64" s="47" t="s">
        <v>88</v>
      </c>
      <c r="B64" s="47" t="s">
        <v>161</v>
      </c>
      <c r="C64" s="47" t="s">
        <v>1</v>
      </c>
      <c r="D64" s="136">
        <v>2</v>
      </c>
      <c r="E64" s="47">
        <v>2</v>
      </c>
      <c r="F64" s="101">
        <v>1000</v>
      </c>
      <c r="G64" s="101">
        <v>1500</v>
      </c>
      <c r="H64" s="101">
        <v>2000</v>
      </c>
      <c r="I64" s="101">
        <v>2500</v>
      </c>
      <c r="J64" s="101">
        <v>3000</v>
      </c>
      <c r="K64" s="101">
        <v>3500</v>
      </c>
    </row>
    <row r="65" spans="1:11">
      <c r="A65" s="47" t="s">
        <v>89</v>
      </c>
      <c r="B65" s="47" t="s">
        <v>161</v>
      </c>
      <c r="C65" s="47" t="s">
        <v>1</v>
      </c>
      <c r="D65" s="136">
        <v>8</v>
      </c>
      <c r="E65" s="47">
        <v>5</v>
      </c>
      <c r="F65" s="101">
        <v>2000</v>
      </c>
      <c r="G65" s="101">
        <v>2500</v>
      </c>
      <c r="H65" s="101">
        <v>3000</v>
      </c>
      <c r="I65" s="101">
        <v>3500</v>
      </c>
      <c r="J65" s="101">
        <v>4000</v>
      </c>
      <c r="K65" s="101">
        <v>4500</v>
      </c>
    </row>
    <row r="66" spans="1:11">
      <c r="A66" s="47" t="s">
        <v>90</v>
      </c>
      <c r="B66" s="47" t="s">
        <v>161</v>
      </c>
      <c r="C66" s="47" t="s">
        <v>1</v>
      </c>
      <c r="D66" s="136">
        <v>8</v>
      </c>
      <c r="E66" s="47">
        <v>4</v>
      </c>
      <c r="F66" s="101">
        <v>1500</v>
      </c>
      <c r="G66" s="101">
        <v>2000</v>
      </c>
      <c r="H66" s="101">
        <v>2500</v>
      </c>
      <c r="I66" s="101">
        <v>3000</v>
      </c>
      <c r="J66" s="101">
        <v>3500</v>
      </c>
      <c r="K66" s="101">
        <v>4000</v>
      </c>
    </row>
    <row r="67" spans="1:11">
      <c r="A67" s="47" t="s">
        <v>91</v>
      </c>
      <c r="B67" s="47" t="s">
        <v>161</v>
      </c>
      <c r="C67" s="47" t="s">
        <v>1</v>
      </c>
      <c r="D67" s="136">
        <v>15</v>
      </c>
      <c r="E67" s="47">
        <v>14</v>
      </c>
      <c r="F67" s="101">
        <v>5000</v>
      </c>
      <c r="G67" s="101">
        <v>6000</v>
      </c>
      <c r="H67" s="101">
        <v>8000</v>
      </c>
      <c r="I67" s="101">
        <v>10000</v>
      </c>
      <c r="J67" s="132" t="e">
        <v>#N/A</v>
      </c>
      <c r="K67" s="132" t="e">
        <v>#N/A</v>
      </c>
    </row>
    <row r="68" spans="1:11">
      <c r="A68" s="47" t="s">
        <v>92</v>
      </c>
      <c r="B68" s="47" t="s">
        <v>161</v>
      </c>
      <c r="C68" s="47" t="s">
        <v>1</v>
      </c>
      <c r="D68" s="136">
        <v>30</v>
      </c>
      <c r="E68" s="47">
        <v>20</v>
      </c>
      <c r="F68" s="101">
        <v>25000</v>
      </c>
      <c r="G68" s="101">
        <v>30000</v>
      </c>
      <c r="H68" s="101">
        <v>36000</v>
      </c>
      <c r="I68" s="101">
        <v>42000</v>
      </c>
      <c r="J68" s="132" t="e">
        <v>#N/A</v>
      </c>
      <c r="K68" s="132" t="e">
        <v>#N/A</v>
      </c>
    </row>
    <row r="69" spans="1:11">
      <c r="A69" s="47" t="s">
        <v>93</v>
      </c>
      <c r="B69" s="47" t="s">
        <v>161</v>
      </c>
      <c r="C69" s="47" t="s">
        <v>1</v>
      </c>
      <c r="D69" s="136">
        <v>45</v>
      </c>
      <c r="E69" s="47">
        <v>25</v>
      </c>
      <c r="F69" s="101">
        <v>30000</v>
      </c>
      <c r="G69" s="101">
        <v>35000</v>
      </c>
      <c r="H69" s="101">
        <v>42000</v>
      </c>
      <c r="I69" s="101">
        <v>50000</v>
      </c>
      <c r="J69" s="132" t="e">
        <v>#N/A</v>
      </c>
      <c r="K69" s="132" t="e">
        <v>#N/A</v>
      </c>
    </row>
    <row r="70" spans="1:11">
      <c r="A70" s="47" t="s">
        <v>94</v>
      </c>
      <c r="B70" s="47" t="s">
        <v>162</v>
      </c>
      <c r="C70" s="47" t="s">
        <v>1</v>
      </c>
      <c r="D70" s="136">
        <v>30</v>
      </c>
      <c r="E70" s="47">
        <v>1</v>
      </c>
      <c r="F70" s="101">
        <v>15000</v>
      </c>
      <c r="G70" s="101">
        <v>16500</v>
      </c>
      <c r="H70" s="101">
        <v>18000</v>
      </c>
      <c r="I70" s="101">
        <v>20000</v>
      </c>
      <c r="J70" s="101">
        <v>22000</v>
      </c>
      <c r="K70" s="101">
        <v>24000</v>
      </c>
    </row>
    <row r="71" spans="1:11">
      <c r="A71" s="47" t="s">
        <v>95</v>
      </c>
      <c r="B71" s="47" t="s">
        <v>162</v>
      </c>
      <c r="C71" s="47" t="s">
        <v>1</v>
      </c>
      <c r="D71" s="136">
        <v>30</v>
      </c>
      <c r="E71" s="47">
        <v>1</v>
      </c>
      <c r="F71" s="101">
        <v>15000</v>
      </c>
      <c r="G71" s="101">
        <v>165000</v>
      </c>
      <c r="H71" s="101">
        <v>18000</v>
      </c>
      <c r="I71" s="101">
        <v>20000</v>
      </c>
      <c r="J71" s="101">
        <v>22000</v>
      </c>
      <c r="K71" s="101">
        <v>24000</v>
      </c>
    </row>
    <row r="72" spans="1:11">
      <c r="A72" s="47" t="s">
        <v>96</v>
      </c>
      <c r="B72" s="47" t="s">
        <v>162</v>
      </c>
      <c r="C72" s="47" t="s">
        <v>1</v>
      </c>
      <c r="D72" s="136">
        <v>45</v>
      </c>
      <c r="E72" s="47">
        <v>1</v>
      </c>
      <c r="F72" s="101">
        <v>23000</v>
      </c>
      <c r="G72" s="101">
        <v>25000</v>
      </c>
      <c r="H72" s="101">
        <v>27000</v>
      </c>
      <c r="I72" s="101">
        <v>30000</v>
      </c>
      <c r="J72" s="101">
        <v>33000</v>
      </c>
      <c r="K72" s="132" t="e">
        <v>#N/A</v>
      </c>
    </row>
    <row r="73" spans="1:11">
      <c r="A73" s="47" t="s">
        <v>97</v>
      </c>
      <c r="B73" s="47" t="s">
        <v>162</v>
      </c>
      <c r="C73" s="47" t="s">
        <v>1</v>
      </c>
      <c r="D73" s="136">
        <v>45</v>
      </c>
      <c r="E73" s="47">
        <v>1</v>
      </c>
      <c r="F73" s="101">
        <v>23000</v>
      </c>
      <c r="G73" s="101">
        <v>29000</v>
      </c>
      <c r="H73" s="132" t="e">
        <v>#N/A</v>
      </c>
      <c r="I73" s="132" t="e">
        <v>#N/A</v>
      </c>
      <c r="J73" s="132" t="e">
        <v>#N/A</v>
      </c>
      <c r="K73" s="132" t="e">
        <v>#N/A</v>
      </c>
    </row>
    <row r="74" spans="1:11">
      <c r="A74" s="47" t="s">
        <v>98</v>
      </c>
      <c r="B74" s="47" t="s">
        <v>162</v>
      </c>
      <c r="C74" s="47" t="s">
        <v>1</v>
      </c>
      <c r="D74" s="136">
        <v>45</v>
      </c>
      <c r="E74" s="47">
        <v>1</v>
      </c>
      <c r="F74" s="101">
        <v>26000</v>
      </c>
      <c r="G74" s="101">
        <v>29000</v>
      </c>
      <c r="H74" s="101">
        <v>31000</v>
      </c>
      <c r="I74" s="101">
        <v>33000</v>
      </c>
      <c r="J74" s="101">
        <v>35000</v>
      </c>
      <c r="K74" s="132" t="e">
        <v>#N/A</v>
      </c>
    </row>
    <row r="75" spans="1:11">
      <c r="A75" s="47" t="s">
        <v>99</v>
      </c>
      <c r="B75" s="47" t="s">
        <v>161</v>
      </c>
      <c r="C75" s="47" t="s">
        <v>104</v>
      </c>
      <c r="D75" s="136">
        <v>0.75</v>
      </c>
      <c r="E75" s="47">
        <v>2</v>
      </c>
      <c r="F75" s="101">
        <v>6</v>
      </c>
      <c r="G75" s="101">
        <v>7</v>
      </c>
      <c r="H75" s="101">
        <v>8</v>
      </c>
      <c r="I75" s="101">
        <v>9</v>
      </c>
      <c r="J75" s="101">
        <v>10</v>
      </c>
      <c r="K75" s="101">
        <v>11</v>
      </c>
    </row>
    <row r="76" spans="1:11">
      <c r="A76" s="47" t="s">
        <v>100</v>
      </c>
      <c r="B76" s="47" t="s">
        <v>161</v>
      </c>
      <c r="C76" s="47" t="s">
        <v>104</v>
      </c>
      <c r="D76" s="136">
        <v>2</v>
      </c>
      <c r="E76" s="47">
        <v>5</v>
      </c>
      <c r="F76" s="101">
        <v>40</v>
      </c>
      <c r="G76" s="101">
        <v>45</v>
      </c>
      <c r="H76" s="101">
        <v>52</v>
      </c>
      <c r="I76" s="101">
        <v>58</v>
      </c>
      <c r="J76" s="101">
        <v>65</v>
      </c>
      <c r="K76" s="132" t="e">
        <v>#N/A</v>
      </c>
    </row>
    <row r="77" spans="1:11">
      <c r="A77" s="47" t="s">
        <v>101</v>
      </c>
      <c r="B77" s="47" t="s">
        <v>161</v>
      </c>
      <c r="C77" s="47" t="s">
        <v>104</v>
      </c>
      <c r="D77" s="136">
        <v>15</v>
      </c>
      <c r="E77" s="47">
        <v>8</v>
      </c>
      <c r="F77" s="101">
        <v>70</v>
      </c>
      <c r="G77" s="101">
        <v>100</v>
      </c>
      <c r="H77" s="101">
        <v>130</v>
      </c>
      <c r="I77" s="101">
        <v>160</v>
      </c>
      <c r="J77" s="132" t="e">
        <v>#N/A</v>
      </c>
      <c r="K77" s="132" t="e">
        <v>#N/A</v>
      </c>
    </row>
    <row r="78" spans="1:11">
      <c r="A78" s="47" t="s">
        <v>102</v>
      </c>
      <c r="B78" s="47" t="s">
        <v>161</v>
      </c>
      <c r="C78" s="47" t="s">
        <v>104</v>
      </c>
      <c r="D78" s="136">
        <v>45</v>
      </c>
      <c r="E78" s="47">
        <v>30</v>
      </c>
      <c r="F78" s="101">
        <v>450</v>
      </c>
      <c r="G78" s="101">
        <v>525</v>
      </c>
      <c r="H78" s="101">
        <v>600</v>
      </c>
      <c r="I78" s="101">
        <v>675</v>
      </c>
      <c r="J78" s="101">
        <v>750</v>
      </c>
      <c r="K78" s="132" t="e">
        <v>#N/A</v>
      </c>
    </row>
    <row r="79" spans="1:11">
      <c r="A79" s="47" t="s">
        <v>103</v>
      </c>
      <c r="B79" s="47" t="s">
        <v>161</v>
      </c>
      <c r="C79" s="47" t="s">
        <v>104</v>
      </c>
      <c r="D79" s="136">
        <v>20</v>
      </c>
      <c r="E79" s="47">
        <v>12</v>
      </c>
      <c r="F79" s="101">
        <v>250</v>
      </c>
      <c r="G79" s="101">
        <v>350</v>
      </c>
      <c r="H79" s="132" t="e">
        <v>#N/A</v>
      </c>
      <c r="I79" s="132" t="e">
        <v>#N/A</v>
      </c>
      <c r="J79" s="132" t="e">
        <v>#N/A</v>
      </c>
      <c r="K79" s="132" t="e">
        <v>#N/A</v>
      </c>
    </row>
    <row r="81" spans="1:27" ht="16" thickBot="1"/>
    <row r="82" spans="1:27" ht="32" thickTop="1" thickBot="1">
      <c r="A82" s="197" t="s">
        <v>105</v>
      </c>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c r="AA82" s="199"/>
    </row>
    <row r="83" spans="1:27" ht="16" thickTop="1">
      <c r="A83" s="47" t="s">
        <v>105</v>
      </c>
      <c r="B83" s="47" t="s">
        <v>74</v>
      </c>
      <c r="C83" s="47" t="s">
        <v>75</v>
      </c>
      <c r="D83" s="47" t="s">
        <v>76</v>
      </c>
      <c r="E83" s="47" t="s">
        <v>77</v>
      </c>
      <c r="F83" s="47" t="s">
        <v>78</v>
      </c>
      <c r="G83" s="47" t="s">
        <v>79</v>
      </c>
      <c r="H83" s="47" t="s">
        <v>80</v>
      </c>
      <c r="I83" s="47" t="s">
        <v>81</v>
      </c>
      <c r="J83" s="47" t="s">
        <v>83</v>
      </c>
      <c r="K83" s="47" t="s">
        <v>82</v>
      </c>
    </row>
    <row r="84" spans="1:27">
      <c r="A84" s="47" t="s">
        <v>13</v>
      </c>
      <c r="B84" s="47">
        <v>1</v>
      </c>
      <c r="C84" s="47">
        <v>1</v>
      </c>
      <c r="D84" s="47">
        <v>1</v>
      </c>
      <c r="E84" s="47">
        <v>1</v>
      </c>
      <c r="F84" s="47">
        <v>1</v>
      </c>
      <c r="G84" s="47">
        <v>1</v>
      </c>
      <c r="H84" s="47">
        <v>1</v>
      </c>
      <c r="I84" s="47">
        <v>1</v>
      </c>
      <c r="J84" s="47">
        <v>1</v>
      </c>
      <c r="K84" s="47">
        <v>1</v>
      </c>
    </row>
    <row r="85" spans="1:27">
      <c r="A85" s="47" t="s">
        <v>21</v>
      </c>
      <c r="B85" s="47">
        <v>0</v>
      </c>
      <c r="C85" s="47">
        <v>0</v>
      </c>
      <c r="D85" s="47">
        <v>1</v>
      </c>
      <c r="E85" s="47">
        <v>1</v>
      </c>
      <c r="F85" s="47">
        <v>1</v>
      </c>
      <c r="G85" s="47">
        <v>1</v>
      </c>
      <c r="H85" s="47">
        <v>1</v>
      </c>
      <c r="I85" s="47">
        <v>1</v>
      </c>
      <c r="J85" s="47">
        <v>1</v>
      </c>
      <c r="K85" s="47">
        <v>1</v>
      </c>
    </row>
    <row r="86" spans="1:27">
      <c r="A86" s="47" t="s">
        <v>15</v>
      </c>
      <c r="B86" s="47">
        <v>1</v>
      </c>
      <c r="C86" s="47">
        <v>2</v>
      </c>
      <c r="D86" s="137">
        <v>3</v>
      </c>
      <c r="E86" s="47">
        <v>4</v>
      </c>
      <c r="F86" s="47">
        <v>5</v>
      </c>
      <c r="G86" s="47">
        <v>6</v>
      </c>
      <c r="H86" s="47">
        <v>6</v>
      </c>
      <c r="I86" s="47">
        <v>6</v>
      </c>
      <c r="J86" s="47">
        <v>6</v>
      </c>
      <c r="K86" s="47">
        <v>7</v>
      </c>
    </row>
    <row r="87" spans="1:27">
      <c r="A87" s="47" t="s">
        <v>16</v>
      </c>
      <c r="B87" s="47">
        <v>1</v>
      </c>
      <c r="C87" s="47">
        <v>2</v>
      </c>
      <c r="D87" s="47">
        <v>3</v>
      </c>
      <c r="E87" s="47">
        <v>4</v>
      </c>
      <c r="F87" s="47">
        <v>5</v>
      </c>
      <c r="G87" s="47">
        <v>6</v>
      </c>
      <c r="H87" s="47">
        <v>6</v>
      </c>
      <c r="I87" s="47">
        <v>6</v>
      </c>
      <c r="J87" s="47">
        <v>6</v>
      </c>
      <c r="K87" s="47">
        <v>7</v>
      </c>
    </row>
    <row r="88" spans="1:27">
      <c r="A88" s="47" t="s">
        <v>17</v>
      </c>
      <c r="B88" s="47">
        <v>0</v>
      </c>
      <c r="C88" s="47">
        <v>0</v>
      </c>
      <c r="D88" s="47">
        <v>0</v>
      </c>
      <c r="E88" s="47">
        <v>0</v>
      </c>
      <c r="F88" s="47">
        <v>0</v>
      </c>
      <c r="G88" s="47">
        <v>0</v>
      </c>
      <c r="H88" s="47">
        <v>0</v>
      </c>
      <c r="I88" s="47">
        <v>1</v>
      </c>
      <c r="J88" s="47">
        <v>2</v>
      </c>
      <c r="K88" s="47">
        <v>3</v>
      </c>
    </row>
    <row r="89" spans="1:27">
      <c r="A89" s="47" t="s">
        <v>3</v>
      </c>
      <c r="B89" s="47">
        <v>1</v>
      </c>
      <c r="C89" s="47">
        <v>1</v>
      </c>
      <c r="D89" s="47">
        <v>2</v>
      </c>
      <c r="E89" s="47">
        <v>2</v>
      </c>
      <c r="F89" s="47">
        <v>2</v>
      </c>
      <c r="G89" s="47">
        <v>2</v>
      </c>
      <c r="H89" s="47">
        <v>2</v>
      </c>
      <c r="I89" s="47">
        <v>3</v>
      </c>
      <c r="J89" s="47">
        <v>4</v>
      </c>
      <c r="K89" s="47">
        <v>4</v>
      </c>
    </row>
    <row r="90" spans="1:27">
      <c r="A90" s="47" t="s">
        <v>4</v>
      </c>
      <c r="B90" s="47">
        <v>1</v>
      </c>
      <c r="C90" s="47">
        <v>1</v>
      </c>
      <c r="D90" s="47">
        <v>2</v>
      </c>
      <c r="E90" s="47">
        <v>2</v>
      </c>
      <c r="F90" s="47">
        <v>2</v>
      </c>
      <c r="G90" s="47">
        <v>2</v>
      </c>
      <c r="H90" s="47">
        <v>2</v>
      </c>
      <c r="I90" s="47">
        <v>3</v>
      </c>
      <c r="J90" s="47">
        <v>4</v>
      </c>
      <c r="K90" s="47">
        <v>4</v>
      </c>
    </row>
    <row r="91" spans="1:27">
      <c r="A91" s="47" t="s">
        <v>18</v>
      </c>
      <c r="B91" s="47">
        <v>0</v>
      </c>
      <c r="C91" s="47">
        <v>0</v>
      </c>
      <c r="D91" s="47">
        <v>0</v>
      </c>
      <c r="E91" s="47">
        <v>0</v>
      </c>
      <c r="F91" s="47">
        <v>0</v>
      </c>
      <c r="G91" s="47">
        <v>0</v>
      </c>
      <c r="H91" s="47">
        <v>1</v>
      </c>
      <c r="I91" s="47">
        <v>1</v>
      </c>
      <c r="J91" s="47">
        <v>1</v>
      </c>
      <c r="K91" s="47">
        <v>1</v>
      </c>
    </row>
    <row r="92" spans="1:27">
      <c r="A92" s="47" t="s">
        <v>19</v>
      </c>
      <c r="B92" s="47">
        <v>0</v>
      </c>
      <c r="C92" s="47">
        <v>0</v>
      </c>
      <c r="D92" s="47">
        <v>0</v>
      </c>
      <c r="E92" s="47">
        <v>0</v>
      </c>
      <c r="F92" s="47">
        <v>0</v>
      </c>
      <c r="G92" s="47">
        <v>0</v>
      </c>
      <c r="H92" s="47">
        <v>1</v>
      </c>
      <c r="I92" s="47">
        <v>2</v>
      </c>
      <c r="J92" s="47">
        <v>2</v>
      </c>
      <c r="K92" s="47">
        <v>2</v>
      </c>
    </row>
    <row r="93" spans="1:27">
      <c r="A93" s="47" t="s">
        <v>2</v>
      </c>
      <c r="B93" s="47">
        <v>1</v>
      </c>
      <c r="C93" s="47">
        <v>2</v>
      </c>
      <c r="D93" s="47">
        <v>2</v>
      </c>
      <c r="E93" s="47">
        <v>3</v>
      </c>
      <c r="F93" s="47">
        <v>3</v>
      </c>
      <c r="G93" s="47">
        <v>3</v>
      </c>
      <c r="H93" s="47">
        <v>4</v>
      </c>
      <c r="I93" s="47">
        <v>4</v>
      </c>
      <c r="J93" s="47">
        <v>4</v>
      </c>
      <c r="K93" s="47">
        <v>4</v>
      </c>
    </row>
    <row r="94" spans="1:27">
      <c r="A94" s="47" t="s">
        <v>20</v>
      </c>
      <c r="B94" s="47">
        <v>1</v>
      </c>
      <c r="C94" s="47">
        <v>1</v>
      </c>
      <c r="D94" s="47">
        <v>2</v>
      </c>
      <c r="E94" s="47">
        <v>2</v>
      </c>
      <c r="F94" s="47">
        <v>3</v>
      </c>
      <c r="G94" s="47">
        <v>3</v>
      </c>
      <c r="H94" s="47">
        <v>4</v>
      </c>
      <c r="I94" s="47">
        <v>4</v>
      </c>
      <c r="J94" s="47">
        <v>4</v>
      </c>
      <c r="K94" s="47">
        <v>4</v>
      </c>
    </row>
    <row r="95" spans="1:27">
      <c r="A95" s="47" t="s">
        <v>5</v>
      </c>
      <c r="B95" s="47">
        <v>0</v>
      </c>
      <c r="C95" s="47">
        <v>0</v>
      </c>
      <c r="D95" s="47">
        <v>1</v>
      </c>
      <c r="E95" s="47">
        <v>1</v>
      </c>
      <c r="F95" s="47">
        <v>1</v>
      </c>
      <c r="G95" s="47">
        <v>1</v>
      </c>
      <c r="H95" s="47">
        <v>1</v>
      </c>
      <c r="I95" s="47">
        <v>1</v>
      </c>
      <c r="J95" s="47">
        <v>1</v>
      </c>
      <c r="K95" s="47">
        <v>1</v>
      </c>
    </row>
    <row r="96" spans="1:27">
      <c r="A96" s="47" t="s">
        <v>22</v>
      </c>
      <c r="B96" s="47">
        <v>0</v>
      </c>
      <c r="C96" s="47">
        <v>0</v>
      </c>
      <c r="D96" s="47">
        <v>0</v>
      </c>
      <c r="E96" s="47">
        <v>0</v>
      </c>
      <c r="F96" s="47">
        <v>1</v>
      </c>
      <c r="G96" s="47">
        <v>1</v>
      </c>
      <c r="H96" s="47">
        <v>1</v>
      </c>
      <c r="I96" s="47">
        <v>1</v>
      </c>
      <c r="J96" s="47">
        <v>1</v>
      </c>
      <c r="K96" s="47">
        <v>1</v>
      </c>
    </row>
    <row r="97" spans="1:11">
      <c r="A97" s="47" t="s">
        <v>6</v>
      </c>
      <c r="B97" s="47">
        <v>2</v>
      </c>
      <c r="C97" s="47">
        <v>2</v>
      </c>
      <c r="D97" s="47">
        <v>2</v>
      </c>
      <c r="E97" s="47">
        <v>2</v>
      </c>
      <c r="F97" s="47">
        <v>3</v>
      </c>
      <c r="G97" s="47">
        <v>3</v>
      </c>
      <c r="H97" s="47">
        <v>5</v>
      </c>
      <c r="I97" s="47">
        <v>5</v>
      </c>
      <c r="J97" s="47">
        <v>5</v>
      </c>
      <c r="K97" s="47">
        <v>6</v>
      </c>
    </row>
    <row r="98" spans="1:11">
      <c r="A98" s="47" t="s">
        <v>23</v>
      </c>
      <c r="B98" s="47">
        <v>0</v>
      </c>
      <c r="C98" s="47">
        <v>1</v>
      </c>
      <c r="D98" s="47">
        <v>1</v>
      </c>
      <c r="E98" s="47">
        <v>2</v>
      </c>
      <c r="F98" s="47">
        <v>3</v>
      </c>
      <c r="G98" s="47">
        <v>3</v>
      </c>
      <c r="H98" s="47">
        <v>4</v>
      </c>
      <c r="I98" s="47">
        <v>5</v>
      </c>
      <c r="J98" s="47">
        <v>6</v>
      </c>
      <c r="K98" s="47">
        <v>7</v>
      </c>
    </row>
    <row r="99" spans="1:11">
      <c r="A99" s="47" t="s">
        <v>24</v>
      </c>
      <c r="B99" s="47">
        <v>0</v>
      </c>
      <c r="C99" s="47">
        <v>25</v>
      </c>
      <c r="D99" s="47">
        <v>50</v>
      </c>
      <c r="E99" s="47">
        <v>75</v>
      </c>
      <c r="F99" s="47">
        <v>100</v>
      </c>
      <c r="G99" s="47">
        <v>125</v>
      </c>
      <c r="H99" s="47">
        <v>175</v>
      </c>
      <c r="I99" s="47">
        <v>225</v>
      </c>
      <c r="J99" s="47">
        <v>250</v>
      </c>
      <c r="K99" s="47">
        <v>250</v>
      </c>
    </row>
    <row r="100" spans="1:11">
      <c r="A100" s="47" t="s">
        <v>7</v>
      </c>
      <c r="B100" s="47">
        <v>0</v>
      </c>
      <c r="C100" s="47">
        <v>0</v>
      </c>
      <c r="D100" s="47">
        <v>1</v>
      </c>
      <c r="E100" s="47">
        <v>1</v>
      </c>
      <c r="F100" s="47">
        <v>1</v>
      </c>
      <c r="G100" s="47">
        <v>2</v>
      </c>
      <c r="H100" s="47">
        <v>3</v>
      </c>
      <c r="I100" s="47">
        <v>3</v>
      </c>
      <c r="J100" s="47">
        <v>3</v>
      </c>
      <c r="K100" s="47">
        <v>3</v>
      </c>
    </row>
    <row r="101" spans="1:11">
      <c r="A101" s="47" t="s">
        <v>8</v>
      </c>
      <c r="B101" s="47">
        <v>0</v>
      </c>
      <c r="C101" s="47">
        <v>0</v>
      </c>
      <c r="D101" s="47">
        <v>2</v>
      </c>
      <c r="E101" s="47">
        <v>2</v>
      </c>
      <c r="F101" s="47">
        <v>4</v>
      </c>
      <c r="G101" s="47">
        <v>4</v>
      </c>
      <c r="H101" s="47">
        <v>6</v>
      </c>
      <c r="I101" s="47">
        <v>6</v>
      </c>
      <c r="J101" s="47">
        <v>6</v>
      </c>
      <c r="K101" s="47">
        <v>6</v>
      </c>
    </row>
    <row r="102" spans="1:11">
      <c r="A102" s="47" t="s">
        <v>25</v>
      </c>
      <c r="B102" s="47">
        <v>0</v>
      </c>
      <c r="C102" s="47">
        <v>0</v>
      </c>
      <c r="D102" s="47">
        <v>0</v>
      </c>
      <c r="E102" s="47">
        <v>1</v>
      </c>
      <c r="F102" s="47">
        <v>1</v>
      </c>
      <c r="G102" s="47">
        <v>1</v>
      </c>
      <c r="H102" s="47">
        <v>2</v>
      </c>
      <c r="I102" s="47">
        <v>3</v>
      </c>
      <c r="J102" s="47">
        <v>4</v>
      </c>
      <c r="K102" s="47">
        <v>4</v>
      </c>
    </row>
    <row r="103" spans="1:11">
      <c r="A103" s="47" t="s">
        <v>26</v>
      </c>
      <c r="B103" s="47">
        <v>0</v>
      </c>
      <c r="C103" s="47">
        <v>0</v>
      </c>
      <c r="D103" s="47">
        <v>0</v>
      </c>
      <c r="E103" s="47">
        <v>2</v>
      </c>
      <c r="F103" s="47">
        <v>2</v>
      </c>
      <c r="G103" s="47">
        <v>4</v>
      </c>
      <c r="H103" s="47">
        <v>4</v>
      </c>
      <c r="I103" s="47">
        <v>6</v>
      </c>
      <c r="J103" s="47">
        <v>6</v>
      </c>
      <c r="K103" s="47">
        <v>6</v>
      </c>
    </row>
    <row r="104" spans="1:11">
      <c r="A104" s="47" t="s">
        <v>27</v>
      </c>
      <c r="B104" s="47">
        <v>0</v>
      </c>
      <c r="C104" s="47">
        <v>0</v>
      </c>
      <c r="D104" s="47">
        <v>0</v>
      </c>
      <c r="E104" s="47">
        <v>0</v>
      </c>
      <c r="F104" s="47">
        <v>1</v>
      </c>
      <c r="G104" s="47">
        <v>2</v>
      </c>
      <c r="H104" s="47">
        <v>2</v>
      </c>
      <c r="I104" s="47">
        <v>3</v>
      </c>
      <c r="J104" s="47">
        <v>4</v>
      </c>
      <c r="K104" s="47">
        <v>4</v>
      </c>
    </row>
    <row r="105" spans="1:11">
      <c r="A105" s="47" t="s">
        <v>9</v>
      </c>
      <c r="B105" s="47">
        <v>0</v>
      </c>
      <c r="C105" s="47">
        <v>0</v>
      </c>
      <c r="D105" s="47">
        <v>0</v>
      </c>
      <c r="E105" s="47">
        <v>0</v>
      </c>
      <c r="F105" s="47">
        <v>0</v>
      </c>
      <c r="G105" s="47">
        <v>1</v>
      </c>
      <c r="H105" s="47">
        <v>2</v>
      </c>
      <c r="I105" s="47">
        <v>3</v>
      </c>
      <c r="J105" s="47">
        <v>4</v>
      </c>
      <c r="K105" s="47">
        <v>5</v>
      </c>
    </row>
    <row r="106" spans="1:11">
      <c r="A106" s="47" t="s">
        <v>10</v>
      </c>
      <c r="B106" s="47">
        <v>0</v>
      </c>
      <c r="C106" s="47">
        <v>0</v>
      </c>
      <c r="D106" s="47">
        <v>0</v>
      </c>
      <c r="E106" s="47">
        <v>0</v>
      </c>
      <c r="F106" s="47">
        <v>2</v>
      </c>
      <c r="G106" s="47">
        <v>2</v>
      </c>
      <c r="H106" s="47">
        <v>2</v>
      </c>
      <c r="I106" s="47">
        <v>4</v>
      </c>
      <c r="J106" s="47">
        <v>4</v>
      </c>
      <c r="K106" s="47">
        <v>5</v>
      </c>
    </row>
    <row r="107" spans="1:11">
      <c r="A107" s="47" t="s">
        <v>28</v>
      </c>
      <c r="B107" s="47">
        <v>0</v>
      </c>
      <c r="C107" s="47">
        <v>0</v>
      </c>
      <c r="D107" s="47">
        <v>0</v>
      </c>
      <c r="E107" s="47">
        <v>0</v>
      </c>
      <c r="F107" s="47">
        <v>0</v>
      </c>
      <c r="G107" s="47">
        <v>0</v>
      </c>
      <c r="H107" s="47">
        <v>1</v>
      </c>
      <c r="I107" s="47">
        <v>2</v>
      </c>
      <c r="J107" s="47">
        <v>4</v>
      </c>
      <c r="K107" s="47">
        <v>5</v>
      </c>
    </row>
    <row r="108" spans="1:11">
      <c r="A108" s="47" t="s">
        <v>11</v>
      </c>
      <c r="B108" s="47">
        <v>0</v>
      </c>
      <c r="C108" s="47">
        <v>0</v>
      </c>
      <c r="D108" s="47">
        <v>0</v>
      </c>
      <c r="E108" s="47">
        <v>0</v>
      </c>
      <c r="F108" s="47">
        <v>0</v>
      </c>
      <c r="G108" s="47">
        <v>0</v>
      </c>
      <c r="H108" s="47">
        <v>2</v>
      </c>
      <c r="I108" s="47">
        <v>3</v>
      </c>
      <c r="J108" s="47">
        <v>4</v>
      </c>
      <c r="K108" s="47">
        <v>4</v>
      </c>
    </row>
    <row r="109" spans="1:11">
      <c r="A109" s="47" t="s">
        <v>12</v>
      </c>
      <c r="B109" s="47">
        <v>0</v>
      </c>
      <c r="C109" s="47">
        <v>0</v>
      </c>
      <c r="D109" s="47">
        <v>0</v>
      </c>
      <c r="E109" s="47">
        <v>0</v>
      </c>
      <c r="F109" s="47">
        <v>0</v>
      </c>
      <c r="G109" s="47">
        <v>0</v>
      </c>
      <c r="H109" s="47">
        <v>0</v>
      </c>
      <c r="I109" s="47">
        <v>0</v>
      </c>
      <c r="J109" s="47">
        <v>2</v>
      </c>
      <c r="K109" s="47">
        <v>3</v>
      </c>
    </row>
    <row r="110" spans="1:11">
      <c r="A110" s="47" t="s">
        <v>29</v>
      </c>
      <c r="B110" s="47">
        <v>0</v>
      </c>
      <c r="C110" s="47">
        <v>0</v>
      </c>
      <c r="D110" s="47">
        <v>0</v>
      </c>
      <c r="E110" s="47">
        <v>0</v>
      </c>
      <c r="F110" s="47">
        <v>0</v>
      </c>
      <c r="G110" s="47">
        <v>0</v>
      </c>
      <c r="H110" s="47">
        <v>0</v>
      </c>
      <c r="I110" s="47">
        <v>0</v>
      </c>
      <c r="J110" s="47">
        <v>0</v>
      </c>
      <c r="K110" s="47">
        <v>2</v>
      </c>
    </row>
    <row r="111" spans="1:11">
      <c r="A111" s="47" t="s">
        <v>107</v>
      </c>
      <c r="B111" s="47">
        <v>0</v>
      </c>
      <c r="C111" s="47">
        <v>0</v>
      </c>
      <c r="D111" s="47">
        <v>0</v>
      </c>
      <c r="E111" s="47">
        <v>0</v>
      </c>
      <c r="F111" s="47">
        <v>0</v>
      </c>
      <c r="G111" s="47">
        <v>0</v>
      </c>
      <c r="H111" s="47">
        <v>1</v>
      </c>
      <c r="I111" s="47">
        <v>1</v>
      </c>
      <c r="J111" s="47">
        <v>1</v>
      </c>
      <c r="K111" s="47">
        <v>1</v>
      </c>
    </row>
    <row r="112" spans="1:11">
      <c r="A112" s="47" t="s">
        <v>108</v>
      </c>
      <c r="B112" s="47">
        <v>0</v>
      </c>
      <c r="C112" s="47">
        <v>0</v>
      </c>
      <c r="D112" s="47">
        <v>0</v>
      </c>
      <c r="E112" s="47">
        <v>0</v>
      </c>
      <c r="F112" s="47">
        <v>0</v>
      </c>
      <c r="G112" s="47">
        <v>0</v>
      </c>
      <c r="H112" s="47">
        <v>0</v>
      </c>
      <c r="I112" s="47">
        <v>0</v>
      </c>
      <c r="J112" s="47">
        <v>1</v>
      </c>
      <c r="K112" s="47">
        <v>1</v>
      </c>
    </row>
    <row r="113" spans="1:11">
      <c r="A113" s="47" t="s">
        <v>84</v>
      </c>
      <c r="B113" s="47">
        <v>1</v>
      </c>
      <c r="C113" s="47">
        <v>1</v>
      </c>
      <c r="D113" s="47">
        <v>1</v>
      </c>
      <c r="E113" s="47">
        <v>1</v>
      </c>
      <c r="F113" s="47">
        <v>1</v>
      </c>
      <c r="G113" s="47">
        <v>1</v>
      </c>
      <c r="H113" s="47">
        <v>1</v>
      </c>
      <c r="I113" s="47">
        <v>1</v>
      </c>
      <c r="J113" s="47">
        <v>0</v>
      </c>
      <c r="K113" s="47">
        <v>0</v>
      </c>
    </row>
    <row r="114" spans="1:11">
      <c r="A114" s="47" t="s">
        <v>85</v>
      </c>
      <c r="B114" s="47">
        <v>1</v>
      </c>
      <c r="C114" s="47">
        <v>1</v>
      </c>
      <c r="D114" s="47">
        <v>1</v>
      </c>
      <c r="E114" s="47">
        <v>1</v>
      </c>
      <c r="F114" s="47">
        <v>1</v>
      </c>
      <c r="G114" s="47">
        <v>1</v>
      </c>
      <c r="H114" s="47">
        <v>1</v>
      </c>
      <c r="I114" s="47">
        <v>1</v>
      </c>
      <c r="J114" s="47">
        <v>0</v>
      </c>
      <c r="K114" s="47">
        <v>0</v>
      </c>
    </row>
    <row r="115" spans="1:11">
      <c r="A115" s="47" t="s">
        <v>86</v>
      </c>
      <c r="B115" s="47">
        <v>1</v>
      </c>
      <c r="C115" s="47">
        <v>1</v>
      </c>
      <c r="D115" s="47">
        <v>1</v>
      </c>
      <c r="E115" s="47">
        <v>1</v>
      </c>
      <c r="F115" s="47">
        <v>1</v>
      </c>
      <c r="G115" s="47">
        <v>1</v>
      </c>
      <c r="H115" s="47">
        <v>1</v>
      </c>
      <c r="I115" s="47">
        <v>1</v>
      </c>
      <c r="J115" s="47">
        <v>0</v>
      </c>
      <c r="K115" s="47">
        <v>0</v>
      </c>
    </row>
    <row r="116" spans="1:11">
      <c r="A116" s="47" t="s">
        <v>87</v>
      </c>
      <c r="B116" s="47">
        <v>0</v>
      </c>
      <c r="C116" s="47">
        <v>1</v>
      </c>
      <c r="D116" s="47">
        <v>1</v>
      </c>
      <c r="E116" s="47">
        <v>1</v>
      </c>
      <c r="F116" s="47">
        <v>1</v>
      </c>
      <c r="G116" s="47">
        <v>1</v>
      </c>
      <c r="H116" s="47">
        <v>1</v>
      </c>
      <c r="I116" s="47">
        <v>1</v>
      </c>
      <c r="J116" s="47">
        <v>0</v>
      </c>
      <c r="K116" s="47">
        <v>0</v>
      </c>
    </row>
    <row r="117" spans="1:11">
      <c r="A117" s="47" t="s">
        <v>88</v>
      </c>
      <c r="B117" s="47">
        <v>0</v>
      </c>
      <c r="C117" s="47">
        <v>1</v>
      </c>
      <c r="D117" s="47">
        <v>1</v>
      </c>
      <c r="E117" s="47">
        <v>1</v>
      </c>
      <c r="F117" s="47">
        <v>1</v>
      </c>
      <c r="G117" s="47">
        <v>1</v>
      </c>
      <c r="H117" s="47">
        <v>1</v>
      </c>
      <c r="I117" s="47">
        <v>1</v>
      </c>
      <c r="J117" s="47">
        <v>0</v>
      </c>
      <c r="K117" s="47">
        <v>0</v>
      </c>
    </row>
    <row r="118" spans="1:11">
      <c r="A118" s="47" t="s">
        <v>89</v>
      </c>
      <c r="B118" s="47">
        <v>0</v>
      </c>
      <c r="C118" s="47">
        <v>1</v>
      </c>
      <c r="D118" s="47">
        <v>1</v>
      </c>
      <c r="E118" s="47">
        <v>1</v>
      </c>
      <c r="F118" s="47">
        <v>1</v>
      </c>
      <c r="G118" s="47">
        <v>1</v>
      </c>
      <c r="H118" s="47">
        <v>1</v>
      </c>
      <c r="I118" s="47">
        <v>1</v>
      </c>
      <c r="J118" s="47">
        <v>0</v>
      </c>
      <c r="K118" s="47">
        <v>0</v>
      </c>
    </row>
    <row r="119" spans="1:11">
      <c r="A119" s="47" t="s">
        <v>90</v>
      </c>
      <c r="B119" s="47">
        <v>0</v>
      </c>
      <c r="C119" s="47">
        <v>0</v>
      </c>
      <c r="D119" s="47">
        <v>1</v>
      </c>
      <c r="E119" s="47">
        <v>1</v>
      </c>
      <c r="F119" s="47">
        <v>1</v>
      </c>
      <c r="G119" s="47">
        <v>1</v>
      </c>
      <c r="H119" s="47">
        <v>1</v>
      </c>
      <c r="I119" s="47">
        <v>1</v>
      </c>
      <c r="J119" s="47">
        <v>0</v>
      </c>
      <c r="K119" s="47">
        <v>0</v>
      </c>
    </row>
    <row r="120" spans="1:11">
      <c r="A120" s="47" t="s">
        <v>91</v>
      </c>
      <c r="B120" s="47">
        <v>0</v>
      </c>
      <c r="C120" s="47">
        <v>0</v>
      </c>
      <c r="D120" s="47">
        <v>0</v>
      </c>
      <c r="E120" s="47">
        <v>0</v>
      </c>
      <c r="F120" s="47">
        <v>1</v>
      </c>
      <c r="G120" s="47">
        <v>1</v>
      </c>
      <c r="H120" s="47">
        <v>1</v>
      </c>
      <c r="I120" s="47">
        <v>1</v>
      </c>
      <c r="J120" s="47">
        <v>0</v>
      </c>
      <c r="K120" s="47">
        <v>0</v>
      </c>
    </row>
    <row r="121" spans="1:11">
      <c r="A121" s="47" t="s">
        <v>92</v>
      </c>
      <c r="B121" s="47">
        <v>0</v>
      </c>
      <c r="C121" s="47">
        <v>0</v>
      </c>
      <c r="D121" s="47">
        <v>0</v>
      </c>
      <c r="E121" s="47">
        <v>0</v>
      </c>
      <c r="F121" s="47">
        <v>1</v>
      </c>
      <c r="G121" s="47">
        <v>1</v>
      </c>
      <c r="H121" s="47">
        <v>1</v>
      </c>
      <c r="I121" s="47">
        <v>1</v>
      </c>
      <c r="J121" s="47">
        <v>0</v>
      </c>
      <c r="K121" s="47">
        <v>0</v>
      </c>
    </row>
    <row r="122" spans="1:11">
      <c r="A122" s="47" t="s">
        <v>93</v>
      </c>
      <c r="B122" s="47">
        <v>0</v>
      </c>
      <c r="C122" s="47">
        <v>0</v>
      </c>
      <c r="D122" s="47">
        <v>0</v>
      </c>
      <c r="E122" s="47">
        <v>0</v>
      </c>
      <c r="F122" s="47">
        <v>0</v>
      </c>
      <c r="G122" s="47">
        <v>1</v>
      </c>
      <c r="H122" s="47">
        <v>1</v>
      </c>
      <c r="I122" s="47">
        <v>1</v>
      </c>
      <c r="J122" s="47">
        <v>0</v>
      </c>
      <c r="K122" s="47">
        <v>0</v>
      </c>
    </row>
    <row r="123" spans="1:11">
      <c r="A123" s="47" t="s">
        <v>94</v>
      </c>
      <c r="B123" s="47">
        <v>1</v>
      </c>
      <c r="C123" s="47">
        <v>1</v>
      </c>
      <c r="D123" s="47">
        <v>1</v>
      </c>
      <c r="E123" s="47">
        <v>1</v>
      </c>
      <c r="F123" s="47">
        <v>1</v>
      </c>
      <c r="G123" s="47">
        <v>1</v>
      </c>
      <c r="H123" s="47">
        <v>1</v>
      </c>
      <c r="I123" s="47">
        <v>1</v>
      </c>
      <c r="J123" s="47">
        <v>0</v>
      </c>
      <c r="K123" s="47">
        <v>0</v>
      </c>
    </row>
    <row r="124" spans="1:11">
      <c r="A124" s="47" t="s">
        <v>95</v>
      </c>
      <c r="B124" s="47">
        <v>0</v>
      </c>
      <c r="C124" s="47">
        <v>1</v>
      </c>
      <c r="D124" s="47">
        <v>1</v>
      </c>
      <c r="E124" s="47">
        <v>1</v>
      </c>
      <c r="F124" s="47">
        <v>1</v>
      </c>
      <c r="G124" s="47">
        <v>1</v>
      </c>
      <c r="H124" s="47">
        <v>1</v>
      </c>
      <c r="I124" s="47">
        <v>1</v>
      </c>
      <c r="J124" s="47">
        <v>0</v>
      </c>
      <c r="K124" s="47">
        <v>0</v>
      </c>
    </row>
    <row r="125" spans="1:11">
      <c r="A125" s="47" t="s">
        <v>96</v>
      </c>
      <c r="B125" s="47">
        <v>0</v>
      </c>
      <c r="C125" s="47">
        <v>0</v>
      </c>
      <c r="D125" s="47">
        <v>1</v>
      </c>
      <c r="E125" s="47">
        <v>1</v>
      </c>
      <c r="F125" s="47">
        <v>1</v>
      </c>
      <c r="G125" s="47">
        <v>1</v>
      </c>
      <c r="H125" s="47">
        <v>1</v>
      </c>
      <c r="I125" s="47">
        <v>1</v>
      </c>
      <c r="J125" s="47">
        <v>0</v>
      </c>
      <c r="K125" s="47">
        <v>0</v>
      </c>
    </row>
    <row r="126" spans="1:11">
      <c r="A126" s="47" t="s">
        <v>97</v>
      </c>
      <c r="B126" s="47">
        <v>0</v>
      </c>
      <c r="C126" s="47">
        <v>0</v>
      </c>
      <c r="D126" s="47">
        <v>0</v>
      </c>
      <c r="E126" s="47">
        <v>0</v>
      </c>
      <c r="F126" s="47">
        <v>0</v>
      </c>
      <c r="G126" s="47">
        <v>0</v>
      </c>
      <c r="H126" s="47">
        <v>1</v>
      </c>
      <c r="I126" s="47">
        <v>1</v>
      </c>
      <c r="J126" s="47">
        <v>0</v>
      </c>
      <c r="K126" s="47">
        <v>0</v>
      </c>
    </row>
    <row r="127" spans="1:11">
      <c r="A127" s="47" t="s">
        <v>98</v>
      </c>
      <c r="B127" s="47">
        <v>0</v>
      </c>
      <c r="C127" s="47">
        <v>0</v>
      </c>
      <c r="D127" s="47">
        <v>0</v>
      </c>
      <c r="E127" s="47">
        <v>0</v>
      </c>
      <c r="F127" s="47">
        <v>0</v>
      </c>
      <c r="G127" s="47">
        <v>0</v>
      </c>
      <c r="H127" s="47">
        <v>0</v>
      </c>
      <c r="I127" s="47">
        <v>1</v>
      </c>
      <c r="J127" s="47">
        <v>0</v>
      </c>
      <c r="K127" s="47">
        <v>0</v>
      </c>
    </row>
    <row r="128" spans="1:11">
      <c r="A128" s="47" t="s">
        <v>99</v>
      </c>
      <c r="B128" s="47">
        <v>0</v>
      </c>
      <c r="C128" s="47">
        <v>0</v>
      </c>
      <c r="D128" s="47">
        <v>0</v>
      </c>
      <c r="E128" s="47">
        <v>0</v>
      </c>
      <c r="F128" s="47">
        <v>1</v>
      </c>
      <c r="G128" s="47">
        <v>1</v>
      </c>
      <c r="H128" s="47">
        <v>1</v>
      </c>
      <c r="I128" s="47">
        <v>1</v>
      </c>
      <c r="J128" s="47">
        <v>0</v>
      </c>
      <c r="K128" s="47">
        <v>0</v>
      </c>
    </row>
    <row r="129" spans="1:27">
      <c r="A129" s="47" t="s">
        <v>100</v>
      </c>
      <c r="B129" s="47">
        <v>0</v>
      </c>
      <c r="C129" s="47">
        <v>0</v>
      </c>
      <c r="D129" s="47">
        <v>0</v>
      </c>
      <c r="E129" s="47">
        <v>0</v>
      </c>
      <c r="F129" s="47">
        <v>1</v>
      </c>
      <c r="G129" s="47">
        <v>1</v>
      </c>
      <c r="H129" s="47">
        <v>1</v>
      </c>
      <c r="I129" s="47">
        <v>1</v>
      </c>
      <c r="J129" s="47">
        <v>0</v>
      </c>
      <c r="K129" s="47">
        <v>0</v>
      </c>
    </row>
    <row r="130" spans="1:27">
      <c r="A130" s="47" t="s">
        <v>101</v>
      </c>
      <c r="B130" s="47">
        <v>0</v>
      </c>
      <c r="C130" s="47">
        <v>0</v>
      </c>
      <c r="D130" s="47">
        <v>0</v>
      </c>
      <c r="E130" s="47">
        <v>0</v>
      </c>
      <c r="F130" s="47">
        <v>0</v>
      </c>
      <c r="G130" s="47">
        <v>1</v>
      </c>
      <c r="H130" s="47">
        <v>1</v>
      </c>
      <c r="I130" s="47">
        <v>1</v>
      </c>
      <c r="J130" s="47">
        <v>0</v>
      </c>
      <c r="K130" s="47">
        <v>0</v>
      </c>
    </row>
    <row r="131" spans="1:27">
      <c r="A131" s="47" t="s">
        <v>102</v>
      </c>
      <c r="B131" s="47">
        <v>0</v>
      </c>
      <c r="C131" s="47">
        <v>0</v>
      </c>
      <c r="D131" s="47">
        <v>0</v>
      </c>
      <c r="E131" s="47">
        <v>0</v>
      </c>
      <c r="F131" s="47">
        <v>0</v>
      </c>
      <c r="G131" s="47">
        <v>1</v>
      </c>
      <c r="H131" s="47">
        <v>1</v>
      </c>
      <c r="I131" s="47">
        <v>1</v>
      </c>
      <c r="J131" s="47">
        <v>0</v>
      </c>
      <c r="K131" s="47">
        <v>0</v>
      </c>
    </row>
    <row r="132" spans="1:27">
      <c r="A132" s="105" t="s">
        <v>103</v>
      </c>
      <c r="B132" s="105">
        <v>0</v>
      </c>
      <c r="C132" s="105">
        <v>0</v>
      </c>
      <c r="D132" s="105">
        <v>0</v>
      </c>
      <c r="E132" s="105">
        <v>0</v>
      </c>
      <c r="F132" s="105">
        <v>0</v>
      </c>
      <c r="G132" s="105">
        <v>0</v>
      </c>
      <c r="H132" s="105">
        <v>1</v>
      </c>
      <c r="I132" s="105">
        <v>1</v>
      </c>
      <c r="J132" s="105">
        <v>0</v>
      </c>
      <c r="K132" s="105">
        <v>0</v>
      </c>
    </row>
    <row r="133" spans="1:27" ht="16" thickBot="1"/>
    <row r="134" spans="1:27" ht="32" thickTop="1" thickBot="1">
      <c r="A134" s="197" t="s">
        <v>134</v>
      </c>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c r="AA134" s="199"/>
    </row>
    <row r="135" spans="1:27" ht="16" thickTop="1">
      <c r="A135" s="47" t="s">
        <v>32</v>
      </c>
      <c r="B135" s="47" t="s">
        <v>74</v>
      </c>
      <c r="C135" s="47" t="s">
        <v>75</v>
      </c>
      <c r="D135" s="47" t="s">
        <v>76</v>
      </c>
      <c r="E135" s="47" t="s">
        <v>77</v>
      </c>
      <c r="F135" s="47" t="s">
        <v>78</v>
      </c>
      <c r="G135" s="47" t="s">
        <v>79</v>
      </c>
      <c r="H135" s="47" t="s">
        <v>80</v>
      </c>
      <c r="I135" s="47" t="s">
        <v>81</v>
      </c>
      <c r="J135" s="47" t="s">
        <v>83</v>
      </c>
      <c r="K135" s="47" t="s">
        <v>82</v>
      </c>
    </row>
    <row r="136" spans="1:27">
      <c r="A136" s="47" t="s">
        <v>13</v>
      </c>
      <c r="B136" s="47">
        <v>2</v>
      </c>
      <c r="C136" s="47">
        <v>3</v>
      </c>
      <c r="D136" s="47">
        <v>4</v>
      </c>
      <c r="E136" s="47">
        <v>5</v>
      </c>
      <c r="F136" s="47">
        <v>6</v>
      </c>
      <c r="G136" s="47">
        <v>7</v>
      </c>
      <c r="H136" s="47">
        <v>8</v>
      </c>
      <c r="I136" s="47">
        <v>9</v>
      </c>
      <c r="J136" s="47">
        <v>10</v>
      </c>
      <c r="K136" s="47">
        <v>10</v>
      </c>
    </row>
    <row r="137" spans="1:27">
      <c r="A137" s="47" t="s">
        <v>15</v>
      </c>
      <c r="B137" s="47">
        <v>2</v>
      </c>
      <c r="C137" s="47">
        <v>4</v>
      </c>
      <c r="D137" s="47">
        <v>6</v>
      </c>
      <c r="E137" s="47">
        <v>8</v>
      </c>
      <c r="F137" s="47">
        <v>10</v>
      </c>
      <c r="G137" s="47">
        <v>10</v>
      </c>
      <c r="H137" s="47">
        <v>11</v>
      </c>
      <c r="I137" s="47">
        <v>11</v>
      </c>
      <c r="J137" s="47">
        <v>11</v>
      </c>
      <c r="K137" s="47">
        <v>11</v>
      </c>
    </row>
    <row r="138" spans="1:27">
      <c r="A138" s="47" t="s">
        <v>16</v>
      </c>
      <c r="B138" s="47">
        <v>2</v>
      </c>
      <c r="C138" s="47">
        <v>4</v>
      </c>
      <c r="D138" s="47">
        <v>6</v>
      </c>
      <c r="E138" s="47">
        <v>8</v>
      </c>
      <c r="F138" s="47">
        <v>10</v>
      </c>
      <c r="G138" s="47">
        <v>10</v>
      </c>
      <c r="H138" s="47">
        <v>11</v>
      </c>
      <c r="I138" s="47">
        <v>11</v>
      </c>
      <c r="J138" s="47">
        <v>11</v>
      </c>
      <c r="K138" s="47">
        <v>11</v>
      </c>
    </row>
    <row r="139" spans="1:27">
      <c r="A139" s="47" t="s">
        <v>17</v>
      </c>
      <c r="B139" s="47">
        <v>0</v>
      </c>
      <c r="C139" s="47">
        <v>0</v>
      </c>
      <c r="D139" s="47">
        <v>0</v>
      </c>
      <c r="E139" s="47">
        <v>0</v>
      </c>
      <c r="F139" s="47">
        <v>0</v>
      </c>
      <c r="G139" s="47">
        <v>0</v>
      </c>
      <c r="H139" s="47">
        <v>0</v>
      </c>
      <c r="I139" s="47">
        <v>3</v>
      </c>
      <c r="J139" s="47">
        <v>6</v>
      </c>
      <c r="K139" s="47">
        <v>6</v>
      </c>
    </row>
    <row r="140" spans="1:27">
      <c r="A140" s="47" t="s">
        <v>3</v>
      </c>
      <c r="B140" s="47">
        <v>1</v>
      </c>
      <c r="C140" s="47">
        <v>3</v>
      </c>
      <c r="D140" s="47">
        <v>6</v>
      </c>
      <c r="E140" s="47">
        <v>8</v>
      </c>
      <c r="F140" s="47">
        <v>9</v>
      </c>
      <c r="G140" s="47">
        <v>10</v>
      </c>
      <c r="H140" s="47">
        <v>11</v>
      </c>
      <c r="I140" s="47">
        <v>11</v>
      </c>
      <c r="J140" s="47">
        <v>11</v>
      </c>
      <c r="K140" s="47">
        <v>11</v>
      </c>
    </row>
    <row r="141" spans="1:27">
      <c r="A141" s="47" t="s">
        <v>4</v>
      </c>
      <c r="B141" s="47">
        <v>1</v>
      </c>
      <c r="C141" s="47">
        <v>3</v>
      </c>
      <c r="D141" s="47">
        <v>6</v>
      </c>
      <c r="E141" s="47">
        <v>8</v>
      </c>
      <c r="F141" s="47">
        <v>9</v>
      </c>
      <c r="G141" s="47">
        <v>10</v>
      </c>
      <c r="H141" s="47">
        <v>11</v>
      </c>
      <c r="I141" s="47">
        <v>11</v>
      </c>
      <c r="J141" s="47">
        <v>11</v>
      </c>
      <c r="K141" s="47">
        <v>11</v>
      </c>
    </row>
    <row r="142" spans="1:27">
      <c r="A142" s="47" t="s">
        <v>18</v>
      </c>
      <c r="B142" s="47">
        <v>0</v>
      </c>
      <c r="C142" s="47">
        <v>0</v>
      </c>
      <c r="D142" s="47">
        <v>0</v>
      </c>
      <c r="E142" s="47">
        <v>0</v>
      </c>
      <c r="F142" s="47">
        <v>0</v>
      </c>
      <c r="G142" s="47">
        <v>0</v>
      </c>
      <c r="H142" s="47">
        <v>2</v>
      </c>
      <c r="I142" s="47">
        <v>4</v>
      </c>
      <c r="J142" s="47">
        <v>6</v>
      </c>
      <c r="K142" s="47">
        <v>6</v>
      </c>
    </row>
    <row r="143" spans="1:27">
      <c r="A143" s="47" t="s">
        <v>19</v>
      </c>
      <c r="B143" s="47">
        <v>0</v>
      </c>
      <c r="C143" s="47">
        <v>0</v>
      </c>
      <c r="D143" s="47">
        <v>0</v>
      </c>
      <c r="E143" s="47">
        <v>0</v>
      </c>
      <c r="F143" s="47">
        <v>0</v>
      </c>
      <c r="G143" s="47">
        <v>0</v>
      </c>
      <c r="H143" s="47">
        <v>2</v>
      </c>
      <c r="I143" s="47">
        <v>4</v>
      </c>
      <c r="J143" s="47">
        <v>5</v>
      </c>
      <c r="K143" s="47">
        <v>5</v>
      </c>
    </row>
    <row r="144" spans="1:27">
      <c r="A144" s="47" t="s">
        <v>2</v>
      </c>
      <c r="B144" s="47">
        <v>3</v>
      </c>
      <c r="C144" s="47">
        <v>4</v>
      </c>
      <c r="D144" s="47">
        <v>5</v>
      </c>
      <c r="E144" s="47">
        <v>6</v>
      </c>
      <c r="F144" s="47">
        <v>7</v>
      </c>
      <c r="G144" s="47">
        <v>8</v>
      </c>
      <c r="H144" s="47">
        <v>9</v>
      </c>
      <c r="I144" s="47">
        <v>10</v>
      </c>
      <c r="J144" s="47">
        <v>10</v>
      </c>
      <c r="K144" s="47">
        <v>10</v>
      </c>
    </row>
    <row r="145" spans="1:11">
      <c r="A145" s="47" t="s">
        <v>20</v>
      </c>
      <c r="B145" s="47">
        <v>1</v>
      </c>
      <c r="C145" s="47">
        <v>2</v>
      </c>
      <c r="D145" s="47">
        <v>3</v>
      </c>
      <c r="E145" s="47">
        <v>4</v>
      </c>
      <c r="F145" s="47">
        <v>5</v>
      </c>
      <c r="G145" s="47">
        <v>6</v>
      </c>
      <c r="H145" s="47">
        <v>6</v>
      </c>
      <c r="I145" s="47">
        <v>6</v>
      </c>
      <c r="J145" s="47">
        <v>7</v>
      </c>
      <c r="K145" s="47">
        <v>8</v>
      </c>
    </row>
    <row r="146" spans="1:11">
      <c r="A146" s="47" t="s">
        <v>21</v>
      </c>
      <c r="B146" s="47">
        <v>0</v>
      </c>
      <c r="C146" s="47">
        <v>0</v>
      </c>
      <c r="D146" s="47">
        <v>1</v>
      </c>
      <c r="E146" s="47">
        <v>2</v>
      </c>
      <c r="F146" s="47">
        <v>3</v>
      </c>
      <c r="G146" s="47">
        <v>4</v>
      </c>
      <c r="H146" s="47">
        <v>5</v>
      </c>
      <c r="I146" s="47">
        <v>6</v>
      </c>
      <c r="J146" s="47">
        <v>7</v>
      </c>
      <c r="K146" s="47">
        <v>8</v>
      </c>
    </row>
    <row r="147" spans="1:11">
      <c r="A147" s="47" t="s">
        <v>22</v>
      </c>
      <c r="B147" s="47">
        <v>0</v>
      </c>
      <c r="C147" s="47">
        <v>0</v>
      </c>
      <c r="D147" s="47">
        <v>0</v>
      </c>
      <c r="E147" s="47">
        <v>0</v>
      </c>
      <c r="F147" s="47">
        <v>1</v>
      </c>
      <c r="G147" s="47">
        <v>2</v>
      </c>
      <c r="H147" s="47">
        <v>3</v>
      </c>
      <c r="I147" s="47">
        <v>3</v>
      </c>
      <c r="J147" s="47">
        <v>4</v>
      </c>
      <c r="K147" s="47">
        <v>5</v>
      </c>
    </row>
    <row r="148" spans="1:11">
      <c r="A148" s="47" t="s">
        <v>5</v>
      </c>
      <c r="B148" s="47">
        <v>0</v>
      </c>
      <c r="C148" s="47">
        <v>0</v>
      </c>
      <c r="D148" s="47">
        <v>1</v>
      </c>
      <c r="E148" s="47">
        <v>2</v>
      </c>
      <c r="F148" s="47">
        <v>2</v>
      </c>
      <c r="G148" s="47">
        <v>3</v>
      </c>
      <c r="H148" s="47">
        <v>3</v>
      </c>
      <c r="I148" s="47">
        <v>4</v>
      </c>
      <c r="J148" s="47">
        <v>5</v>
      </c>
      <c r="K148" s="47">
        <v>6</v>
      </c>
    </row>
    <row r="149" spans="1:11">
      <c r="A149" s="47" t="s">
        <v>6</v>
      </c>
      <c r="B149" s="47">
        <v>2</v>
      </c>
      <c r="C149" s="47">
        <v>3</v>
      </c>
      <c r="D149" s="47">
        <v>4</v>
      </c>
      <c r="E149" s="47">
        <v>5</v>
      </c>
      <c r="F149" s="47">
        <v>6</v>
      </c>
      <c r="G149" s="47">
        <v>7</v>
      </c>
      <c r="H149" s="47">
        <v>8</v>
      </c>
      <c r="I149" s="47">
        <v>10</v>
      </c>
      <c r="J149" s="47">
        <v>11</v>
      </c>
      <c r="K149" s="47">
        <v>12</v>
      </c>
    </row>
    <row r="150" spans="1:11">
      <c r="A150" s="47" t="s">
        <v>23</v>
      </c>
      <c r="B150" s="47">
        <v>0</v>
      </c>
      <c r="C150" s="47">
        <v>2</v>
      </c>
      <c r="D150" s="47">
        <v>3</v>
      </c>
      <c r="E150" s="47">
        <v>4</v>
      </c>
      <c r="F150" s="47">
        <v>6</v>
      </c>
      <c r="G150" s="47">
        <v>7</v>
      </c>
      <c r="H150" s="47">
        <v>8</v>
      </c>
      <c r="I150" s="47">
        <v>10</v>
      </c>
      <c r="J150" s="47">
        <v>11</v>
      </c>
      <c r="K150" s="47">
        <v>12</v>
      </c>
    </row>
    <row r="151" spans="1:11">
      <c r="A151" s="47" t="s">
        <v>24</v>
      </c>
      <c r="B151" s="47">
        <v>0</v>
      </c>
      <c r="C151" s="47">
        <v>2</v>
      </c>
      <c r="D151" s="47">
        <v>3</v>
      </c>
      <c r="E151" s="47">
        <v>4</v>
      </c>
      <c r="F151" s="47">
        <v>5</v>
      </c>
      <c r="G151" s="47">
        <v>6</v>
      </c>
      <c r="H151" s="47">
        <v>7</v>
      </c>
      <c r="I151" s="47">
        <v>8</v>
      </c>
      <c r="J151" s="47">
        <v>10</v>
      </c>
      <c r="K151" s="47">
        <v>11</v>
      </c>
    </row>
    <row r="152" spans="1:11">
      <c r="A152" s="47" t="s">
        <v>7</v>
      </c>
      <c r="B152" s="47">
        <v>0</v>
      </c>
      <c r="C152" s="47">
        <v>0</v>
      </c>
      <c r="D152" s="47">
        <v>1</v>
      </c>
      <c r="E152" s="47">
        <v>2</v>
      </c>
      <c r="F152" s="47">
        <v>3</v>
      </c>
      <c r="G152" s="47">
        <v>4</v>
      </c>
      <c r="H152" s="47">
        <v>5</v>
      </c>
      <c r="I152" s="47">
        <v>6</v>
      </c>
      <c r="J152" s="47">
        <v>7</v>
      </c>
      <c r="K152" s="47">
        <v>8</v>
      </c>
    </row>
    <row r="153" spans="1:11">
      <c r="A153" s="47" t="s">
        <v>8</v>
      </c>
      <c r="B153" s="47">
        <v>0</v>
      </c>
      <c r="C153" s="47">
        <v>0</v>
      </c>
      <c r="D153" s="47">
        <v>2</v>
      </c>
      <c r="E153" s="47">
        <v>2</v>
      </c>
      <c r="F153" s="47">
        <v>3</v>
      </c>
      <c r="G153" s="47">
        <v>3</v>
      </c>
      <c r="H153" s="47">
        <v>4</v>
      </c>
      <c r="I153" s="47">
        <v>4</v>
      </c>
      <c r="J153" s="47">
        <v>5</v>
      </c>
      <c r="K153" s="47">
        <v>5</v>
      </c>
    </row>
    <row r="154" spans="1:11">
      <c r="A154" s="47" t="s">
        <v>25</v>
      </c>
      <c r="B154" s="47">
        <v>0</v>
      </c>
      <c r="C154" s="47">
        <v>0</v>
      </c>
      <c r="D154" s="47">
        <v>0</v>
      </c>
      <c r="E154" s="47">
        <v>2</v>
      </c>
      <c r="F154" s="47">
        <v>3</v>
      </c>
      <c r="G154" s="47">
        <v>4</v>
      </c>
      <c r="H154" s="47">
        <v>5</v>
      </c>
      <c r="I154" s="47">
        <v>6</v>
      </c>
      <c r="J154" s="47">
        <v>7</v>
      </c>
      <c r="K154" s="47">
        <v>8</v>
      </c>
    </row>
    <row r="155" spans="1:11">
      <c r="A155" s="47" t="s">
        <v>26</v>
      </c>
      <c r="B155" s="47">
        <v>1</v>
      </c>
      <c r="C155" s="47">
        <v>1</v>
      </c>
      <c r="D155" s="47">
        <v>1</v>
      </c>
      <c r="E155" s="47">
        <v>1</v>
      </c>
      <c r="F155" s="47">
        <v>1</v>
      </c>
      <c r="G155" s="47">
        <v>1</v>
      </c>
      <c r="H155" s="47">
        <v>1</v>
      </c>
      <c r="I155" s="47">
        <v>1</v>
      </c>
      <c r="J155" s="47">
        <v>1</v>
      </c>
      <c r="K155" s="47">
        <v>1</v>
      </c>
    </row>
    <row r="156" spans="1:11">
      <c r="A156" s="47" t="s">
        <v>27</v>
      </c>
      <c r="B156" s="47">
        <v>0</v>
      </c>
      <c r="C156" s="47">
        <v>0</v>
      </c>
      <c r="D156" s="47">
        <v>0</v>
      </c>
      <c r="E156" s="47">
        <v>0</v>
      </c>
      <c r="F156" s="47">
        <v>2</v>
      </c>
      <c r="G156" s="47">
        <v>3</v>
      </c>
      <c r="H156" s="47">
        <v>4</v>
      </c>
      <c r="I156" s="47">
        <v>6</v>
      </c>
      <c r="J156" s="47">
        <v>7</v>
      </c>
      <c r="K156" s="47">
        <v>8</v>
      </c>
    </row>
    <row r="157" spans="1:11">
      <c r="A157" s="47" t="s">
        <v>9</v>
      </c>
      <c r="B157" s="47">
        <v>0</v>
      </c>
      <c r="C157" s="47">
        <v>0</v>
      </c>
      <c r="D157" s="47">
        <v>0</v>
      </c>
      <c r="E157" s="47">
        <v>0</v>
      </c>
      <c r="F157" s="47">
        <v>0</v>
      </c>
      <c r="G157" s="47">
        <v>2</v>
      </c>
      <c r="H157" s="47">
        <v>2</v>
      </c>
      <c r="I157" s="47">
        <v>3</v>
      </c>
      <c r="J157" s="47">
        <v>3</v>
      </c>
      <c r="K157" s="47">
        <v>4</v>
      </c>
    </row>
    <row r="158" spans="1:11">
      <c r="A158" s="47" t="s">
        <v>10</v>
      </c>
      <c r="B158" s="47">
        <v>0</v>
      </c>
      <c r="C158" s="47">
        <v>0</v>
      </c>
      <c r="D158" s="47">
        <v>0</v>
      </c>
      <c r="E158" s="47">
        <v>0</v>
      </c>
      <c r="F158" s="47">
        <v>2</v>
      </c>
      <c r="G158" s="47">
        <v>2</v>
      </c>
      <c r="H158" s="47">
        <v>3</v>
      </c>
      <c r="I158" s="47">
        <v>3</v>
      </c>
      <c r="J158" s="47">
        <v>4</v>
      </c>
      <c r="K158" s="47">
        <v>4</v>
      </c>
    </row>
    <row r="159" spans="1:11">
      <c r="A159" s="47" t="s">
        <v>28</v>
      </c>
      <c r="B159" s="47">
        <v>0</v>
      </c>
      <c r="C159" s="47">
        <v>0</v>
      </c>
      <c r="D159" s="47">
        <v>0</v>
      </c>
      <c r="E159" s="47">
        <v>0</v>
      </c>
      <c r="F159" s="47">
        <v>0</v>
      </c>
      <c r="G159" s="47">
        <v>0</v>
      </c>
      <c r="H159" s="47">
        <v>1</v>
      </c>
      <c r="I159" s="47">
        <v>1</v>
      </c>
      <c r="J159" s="47">
        <v>2</v>
      </c>
      <c r="K159" s="47">
        <v>3</v>
      </c>
    </row>
    <row r="160" spans="1:11">
      <c r="A160" s="47" t="s">
        <v>11</v>
      </c>
      <c r="B160" s="47">
        <v>0</v>
      </c>
      <c r="C160" s="47">
        <v>0</v>
      </c>
      <c r="D160" s="47">
        <v>0</v>
      </c>
      <c r="E160" s="47">
        <v>0</v>
      </c>
      <c r="F160" s="47">
        <v>0</v>
      </c>
      <c r="G160" s="47">
        <v>0</v>
      </c>
      <c r="H160" s="47">
        <v>3</v>
      </c>
      <c r="I160" s="47">
        <v>6</v>
      </c>
      <c r="J160" s="47">
        <v>7</v>
      </c>
      <c r="K160" s="47">
        <v>7</v>
      </c>
    </row>
    <row r="161" spans="1:11">
      <c r="A161" s="47" t="s">
        <v>12</v>
      </c>
      <c r="B161" s="47">
        <v>0</v>
      </c>
      <c r="C161" s="47">
        <v>0</v>
      </c>
      <c r="D161" s="47">
        <v>0</v>
      </c>
      <c r="E161" s="47">
        <v>0</v>
      </c>
      <c r="F161" s="47">
        <v>0</v>
      </c>
      <c r="G161" s="47">
        <v>0</v>
      </c>
      <c r="H161" s="47">
        <v>0</v>
      </c>
      <c r="I161" s="47">
        <v>0</v>
      </c>
      <c r="J161" s="47">
        <v>3</v>
      </c>
      <c r="K161" s="47">
        <v>4</v>
      </c>
    </row>
    <row r="162" spans="1:11">
      <c r="A162" s="47" t="s">
        <v>29</v>
      </c>
      <c r="B162" s="47">
        <v>0</v>
      </c>
      <c r="C162" s="47">
        <v>0</v>
      </c>
      <c r="D162" s="47">
        <v>0</v>
      </c>
      <c r="E162" s="47">
        <v>0</v>
      </c>
      <c r="F162" s="47">
        <v>0</v>
      </c>
      <c r="G162" s="47">
        <v>0</v>
      </c>
      <c r="H162" s="47">
        <v>0</v>
      </c>
      <c r="I162" s="47">
        <v>0</v>
      </c>
      <c r="J162" s="47">
        <v>0</v>
      </c>
      <c r="K162" s="47">
        <v>3</v>
      </c>
    </row>
    <row r="163" spans="1:11">
      <c r="A163" s="47" t="s">
        <v>107</v>
      </c>
      <c r="B163" s="47">
        <v>0</v>
      </c>
      <c r="C163" s="47">
        <v>0</v>
      </c>
      <c r="D163" s="47">
        <v>0</v>
      </c>
      <c r="E163" s="47">
        <v>0</v>
      </c>
      <c r="F163" s="47">
        <v>0</v>
      </c>
      <c r="G163" s="47">
        <v>0</v>
      </c>
      <c r="H163" s="47">
        <v>1</v>
      </c>
      <c r="I163" s="47">
        <v>1</v>
      </c>
      <c r="J163" s="47">
        <v>1</v>
      </c>
      <c r="K163" s="47">
        <v>1</v>
      </c>
    </row>
    <row r="164" spans="1:11">
      <c r="A164" s="47" t="s">
        <v>108</v>
      </c>
      <c r="B164" s="47">
        <v>0</v>
      </c>
      <c r="C164" s="47">
        <v>0</v>
      </c>
      <c r="D164" s="47">
        <v>0</v>
      </c>
      <c r="E164" s="47">
        <v>0</v>
      </c>
      <c r="F164" s="47">
        <v>0</v>
      </c>
      <c r="G164" s="47">
        <v>0</v>
      </c>
      <c r="H164" s="47">
        <v>0</v>
      </c>
      <c r="I164" s="47">
        <v>0</v>
      </c>
      <c r="J164" s="47">
        <v>1</v>
      </c>
      <c r="K164" s="47">
        <v>1</v>
      </c>
    </row>
    <row r="165" spans="1:11">
      <c r="A165" s="47" t="s">
        <v>84</v>
      </c>
      <c r="B165" s="47">
        <v>2</v>
      </c>
      <c r="C165" s="47">
        <v>2</v>
      </c>
      <c r="D165" s="47">
        <v>3</v>
      </c>
      <c r="E165" s="47">
        <v>3</v>
      </c>
      <c r="F165" s="47">
        <v>4</v>
      </c>
      <c r="G165" s="47">
        <v>5</v>
      </c>
      <c r="H165" s="47">
        <v>6</v>
      </c>
      <c r="I165" s="47">
        <v>6</v>
      </c>
      <c r="J165" s="47">
        <v>0</v>
      </c>
      <c r="K165" s="47">
        <v>0</v>
      </c>
    </row>
    <row r="166" spans="1:11">
      <c r="A166" s="47" t="s">
        <v>85</v>
      </c>
      <c r="B166" s="47">
        <v>2</v>
      </c>
      <c r="C166" s="47">
        <v>2</v>
      </c>
      <c r="D166" s="47">
        <v>3</v>
      </c>
      <c r="E166" s="47">
        <v>3</v>
      </c>
      <c r="F166" s="47">
        <v>4</v>
      </c>
      <c r="G166" s="47">
        <v>5</v>
      </c>
      <c r="H166" s="47">
        <v>6</v>
      </c>
      <c r="I166" s="47">
        <v>6</v>
      </c>
      <c r="J166" s="47">
        <v>0</v>
      </c>
      <c r="K166" s="47">
        <v>0</v>
      </c>
    </row>
    <row r="167" spans="1:11">
      <c r="A167" s="47" t="s">
        <v>86</v>
      </c>
      <c r="B167" s="47">
        <v>2</v>
      </c>
      <c r="C167" s="47">
        <v>2</v>
      </c>
      <c r="D167" s="47">
        <v>3</v>
      </c>
      <c r="E167" s="47">
        <v>3</v>
      </c>
      <c r="F167" s="47">
        <v>4</v>
      </c>
      <c r="G167" s="47">
        <v>5</v>
      </c>
      <c r="H167" s="47">
        <v>5</v>
      </c>
      <c r="I167" s="47">
        <v>6</v>
      </c>
      <c r="J167" s="47">
        <v>0</v>
      </c>
      <c r="K167" s="47">
        <v>0</v>
      </c>
    </row>
    <row r="168" spans="1:11">
      <c r="A168" s="47" t="s">
        <v>87</v>
      </c>
      <c r="B168" s="47">
        <v>0</v>
      </c>
      <c r="C168" s="47">
        <v>2</v>
      </c>
      <c r="D168" s="47">
        <v>2</v>
      </c>
      <c r="E168" s="47">
        <v>3</v>
      </c>
      <c r="F168" s="47">
        <v>4</v>
      </c>
      <c r="G168" s="47">
        <v>5</v>
      </c>
      <c r="H168" s="47">
        <v>6</v>
      </c>
      <c r="I168" s="47">
        <v>6</v>
      </c>
      <c r="J168" s="47">
        <v>0</v>
      </c>
      <c r="K168" s="47">
        <v>0</v>
      </c>
    </row>
    <row r="169" spans="1:11">
      <c r="A169" s="47" t="s">
        <v>88</v>
      </c>
      <c r="B169" s="47">
        <v>0</v>
      </c>
      <c r="C169" s="47">
        <v>2</v>
      </c>
      <c r="D169" s="47">
        <v>2</v>
      </c>
      <c r="E169" s="47">
        <v>3</v>
      </c>
      <c r="F169" s="47">
        <v>4</v>
      </c>
      <c r="G169" s="47">
        <v>5</v>
      </c>
      <c r="H169" s="47">
        <v>5</v>
      </c>
      <c r="I169" s="47">
        <v>6</v>
      </c>
      <c r="J169" s="47">
        <v>0</v>
      </c>
      <c r="K169" s="47">
        <v>0</v>
      </c>
    </row>
    <row r="170" spans="1:11">
      <c r="A170" s="47" t="s">
        <v>89</v>
      </c>
      <c r="B170" s="47">
        <v>0</v>
      </c>
      <c r="C170" s="47">
        <v>2</v>
      </c>
      <c r="D170" s="47">
        <v>2</v>
      </c>
      <c r="E170" s="47">
        <v>3</v>
      </c>
      <c r="F170" s="47">
        <v>4</v>
      </c>
      <c r="G170" s="47">
        <v>5</v>
      </c>
      <c r="H170" s="47">
        <v>6</v>
      </c>
      <c r="I170" s="47">
        <v>6</v>
      </c>
      <c r="J170" s="47">
        <v>0</v>
      </c>
      <c r="K170" s="47">
        <v>0</v>
      </c>
    </row>
    <row r="171" spans="1:11">
      <c r="A171" s="47" t="s">
        <v>90</v>
      </c>
      <c r="B171" s="47">
        <v>0</v>
      </c>
      <c r="C171" s="47">
        <v>0</v>
      </c>
      <c r="D171" s="47">
        <v>2</v>
      </c>
      <c r="E171" s="47">
        <v>3</v>
      </c>
      <c r="F171" s="47">
        <v>4</v>
      </c>
      <c r="G171" s="47">
        <v>5</v>
      </c>
      <c r="H171" s="47">
        <v>5</v>
      </c>
      <c r="I171" s="47">
        <v>6</v>
      </c>
      <c r="J171" s="47">
        <v>0</v>
      </c>
      <c r="K171" s="47">
        <v>0</v>
      </c>
    </row>
    <row r="172" spans="1:11">
      <c r="A172" s="47" t="s">
        <v>91</v>
      </c>
      <c r="B172" s="47">
        <v>0</v>
      </c>
      <c r="C172" s="47">
        <v>0</v>
      </c>
      <c r="D172" s="47">
        <v>0</v>
      </c>
      <c r="E172" s="47">
        <v>0</v>
      </c>
      <c r="F172" s="47">
        <v>2</v>
      </c>
      <c r="G172" s="47">
        <v>3</v>
      </c>
      <c r="H172" s="47">
        <v>4</v>
      </c>
      <c r="I172" s="47">
        <v>4</v>
      </c>
      <c r="J172" s="47">
        <v>0</v>
      </c>
      <c r="K172" s="47">
        <v>0</v>
      </c>
    </row>
    <row r="173" spans="1:11">
      <c r="A173" s="47" t="s">
        <v>92</v>
      </c>
      <c r="B173" s="47">
        <v>0</v>
      </c>
      <c r="C173" s="47">
        <v>0</v>
      </c>
      <c r="D173" s="47">
        <v>0</v>
      </c>
      <c r="E173" s="47">
        <v>0</v>
      </c>
      <c r="F173" s="47">
        <v>2</v>
      </c>
      <c r="G173" s="47">
        <v>3</v>
      </c>
      <c r="H173" s="47">
        <v>3</v>
      </c>
      <c r="I173" s="47">
        <v>4</v>
      </c>
      <c r="J173" s="47">
        <v>0</v>
      </c>
      <c r="K173" s="47">
        <v>0</v>
      </c>
    </row>
    <row r="174" spans="1:11">
      <c r="A174" s="47" t="s">
        <v>93</v>
      </c>
      <c r="B174" s="47">
        <v>0</v>
      </c>
      <c r="C174" s="47">
        <v>0</v>
      </c>
      <c r="D174" s="47">
        <v>0</v>
      </c>
      <c r="E174" s="47">
        <v>0</v>
      </c>
      <c r="F174" s="47">
        <v>0</v>
      </c>
      <c r="G174" s="47">
        <v>3</v>
      </c>
      <c r="H174" s="47">
        <v>3</v>
      </c>
      <c r="I174" s="47">
        <v>4</v>
      </c>
      <c r="J174" s="47">
        <v>0</v>
      </c>
      <c r="K174" s="47">
        <v>0</v>
      </c>
    </row>
    <row r="175" spans="1:11">
      <c r="A175" s="47" t="s">
        <v>94</v>
      </c>
      <c r="B175" s="47">
        <v>2</v>
      </c>
      <c r="C175" s="47">
        <v>3</v>
      </c>
      <c r="D175" s="47">
        <v>4</v>
      </c>
      <c r="E175" s="47">
        <v>4</v>
      </c>
      <c r="F175" s="47">
        <v>4</v>
      </c>
      <c r="G175" s="47">
        <v>5</v>
      </c>
      <c r="H175" s="47">
        <v>5</v>
      </c>
      <c r="I175" s="47">
        <v>6</v>
      </c>
      <c r="J175" s="47">
        <v>0</v>
      </c>
      <c r="K175" s="47">
        <v>0</v>
      </c>
    </row>
    <row r="176" spans="1:11">
      <c r="A176" s="47" t="s">
        <v>95</v>
      </c>
      <c r="B176" s="47">
        <v>0</v>
      </c>
      <c r="C176" s="47">
        <v>2</v>
      </c>
      <c r="D176" s="47">
        <v>2</v>
      </c>
      <c r="E176" s="47">
        <v>3</v>
      </c>
      <c r="F176" s="47">
        <v>4</v>
      </c>
      <c r="G176" s="47">
        <v>5</v>
      </c>
      <c r="H176" s="47">
        <v>6</v>
      </c>
      <c r="I176" s="47">
        <v>6</v>
      </c>
      <c r="J176" s="47">
        <v>0</v>
      </c>
      <c r="K176" s="47">
        <v>0</v>
      </c>
    </row>
    <row r="177" spans="1:11">
      <c r="A177" s="47" t="s">
        <v>96</v>
      </c>
      <c r="B177" s="47">
        <v>0</v>
      </c>
      <c r="C177" s="47">
        <v>0</v>
      </c>
      <c r="D177" s="47">
        <v>2</v>
      </c>
      <c r="E177" s="47">
        <v>3</v>
      </c>
      <c r="F177" s="47">
        <v>4</v>
      </c>
      <c r="G177" s="47">
        <v>5</v>
      </c>
      <c r="H177" s="47">
        <v>5</v>
      </c>
      <c r="I177" s="47">
        <v>5</v>
      </c>
      <c r="J177" s="47">
        <v>0</v>
      </c>
      <c r="K177" s="47">
        <v>0</v>
      </c>
    </row>
    <row r="178" spans="1:11">
      <c r="A178" s="47" t="s">
        <v>97</v>
      </c>
      <c r="B178" s="47">
        <v>0</v>
      </c>
      <c r="C178" s="47">
        <v>0</v>
      </c>
      <c r="D178" s="47">
        <v>0</v>
      </c>
      <c r="E178" s="47">
        <v>0</v>
      </c>
      <c r="F178" s="47">
        <v>0</v>
      </c>
      <c r="G178" s="47">
        <v>0</v>
      </c>
      <c r="H178" s="47">
        <v>2</v>
      </c>
      <c r="I178" s="47">
        <v>2</v>
      </c>
      <c r="J178" s="47">
        <v>0</v>
      </c>
      <c r="K178" s="47">
        <v>0</v>
      </c>
    </row>
    <row r="179" spans="1:11">
      <c r="A179" s="47" t="s">
        <v>98</v>
      </c>
      <c r="B179" s="47">
        <v>0</v>
      </c>
      <c r="C179" s="47">
        <v>0</v>
      </c>
      <c r="D179" s="47">
        <v>0</v>
      </c>
      <c r="E179" s="47">
        <v>0</v>
      </c>
      <c r="F179" s="47">
        <v>0</v>
      </c>
      <c r="G179" s="47">
        <v>0</v>
      </c>
      <c r="H179" s="47">
        <v>0</v>
      </c>
      <c r="I179" s="47">
        <v>5</v>
      </c>
      <c r="J179" s="47">
        <v>0</v>
      </c>
      <c r="K179" s="47">
        <v>0</v>
      </c>
    </row>
    <row r="180" spans="1:11">
      <c r="A180" s="47" t="s">
        <v>99</v>
      </c>
      <c r="B180" s="47">
        <v>0</v>
      </c>
      <c r="C180" s="47">
        <v>0</v>
      </c>
      <c r="D180" s="47">
        <v>0</v>
      </c>
      <c r="E180" s="47">
        <v>0</v>
      </c>
      <c r="F180" s="47">
        <v>2</v>
      </c>
      <c r="G180" s="47">
        <v>4</v>
      </c>
      <c r="H180" s="47">
        <v>5</v>
      </c>
      <c r="I180" s="47">
        <v>6</v>
      </c>
      <c r="J180" s="47">
        <v>0</v>
      </c>
      <c r="K180" s="47">
        <v>0</v>
      </c>
    </row>
    <row r="181" spans="1:11">
      <c r="A181" s="47" t="s">
        <v>100</v>
      </c>
      <c r="B181" s="47">
        <v>0</v>
      </c>
      <c r="C181" s="47">
        <v>0</v>
      </c>
      <c r="D181" s="47">
        <v>0</v>
      </c>
      <c r="E181" s="47">
        <v>0</v>
      </c>
      <c r="F181" s="47">
        <v>2</v>
      </c>
      <c r="G181" s="47">
        <v>4</v>
      </c>
      <c r="H181" s="47">
        <v>5</v>
      </c>
      <c r="I181" s="47">
        <v>5</v>
      </c>
      <c r="J181" s="47">
        <v>0</v>
      </c>
      <c r="K181" s="47">
        <v>0</v>
      </c>
    </row>
    <row r="182" spans="1:11">
      <c r="A182" s="47" t="s">
        <v>101</v>
      </c>
      <c r="B182" s="47">
        <v>0</v>
      </c>
      <c r="C182" s="47">
        <v>0</v>
      </c>
      <c r="D182" s="47">
        <v>0</v>
      </c>
      <c r="E182" s="47">
        <v>0</v>
      </c>
      <c r="F182" s="47">
        <v>0</v>
      </c>
      <c r="G182" s="47">
        <v>2</v>
      </c>
      <c r="H182" s="47">
        <v>4</v>
      </c>
      <c r="I182" s="47">
        <v>4</v>
      </c>
      <c r="J182" s="47">
        <v>0</v>
      </c>
      <c r="K182" s="47">
        <v>0</v>
      </c>
    </row>
    <row r="183" spans="1:11">
      <c r="A183" s="47" t="s">
        <v>102</v>
      </c>
      <c r="B183" s="47">
        <v>0</v>
      </c>
      <c r="C183" s="47">
        <v>0</v>
      </c>
      <c r="D183" s="47">
        <v>0</v>
      </c>
      <c r="E183" s="47">
        <v>0</v>
      </c>
      <c r="F183" s="47">
        <v>0</v>
      </c>
      <c r="G183" s="47">
        <v>2</v>
      </c>
      <c r="H183" s="47">
        <v>4</v>
      </c>
      <c r="I183" s="47">
        <v>5</v>
      </c>
      <c r="J183" s="47">
        <v>0</v>
      </c>
      <c r="K183" s="47">
        <v>0</v>
      </c>
    </row>
    <row r="184" spans="1:11">
      <c r="A184" s="105" t="s">
        <v>103</v>
      </c>
      <c r="B184" s="105">
        <v>0</v>
      </c>
      <c r="C184" s="105">
        <v>0</v>
      </c>
      <c r="D184" s="105">
        <v>0</v>
      </c>
      <c r="E184" s="105">
        <v>0</v>
      </c>
      <c r="F184" s="105">
        <v>0</v>
      </c>
      <c r="G184" s="105">
        <v>0</v>
      </c>
      <c r="H184" s="105">
        <v>2</v>
      </c>
      <c r="I184" s="105">
        <v>2</v>
      </c>
      <c r="J184" s="105">
        <v>0</v>
      </c>
      <c r="K184" s="105">
        <v>0</v>
      </c>
    </row>
  </sheetData>
  <sheetProtection password="F457" sheet="1" objects="1" scenarios="1" selectLockedCells="1" sort="0" autoFilter="0" pivotTables="0"/>
  <mergeCells count="5">
    <mergeCell ref="A1:AA1"/>
    <mergeCell ref="A58:AA58"/>
    <mergeCell ref="A82:AA82"/>
    <mergeCell ref="A134:AA134"/>
    <mergeCell ref="A53:AA53"/>
  </mergeCells>
  <phoneticPr fontId="9" type="noConversion"/>
  <conditionalFormatting sqref="D3:AA51">
    <cfRule type="containsErrors" dxfId="134" priority="61">
      <formula>ISERROR(D3)</formula>
    </cfRule>
  </conditionalFormatting>
  <conditionalFormatting sqref="P23:W23 P22:Q22 T22 P27:W27 P24:T26 P28:T29 P21:W21 P20:U20 P16:AA17 P15:V15 P19:X19 P18:Z18 P32:T51 P30:P31">
    <cfRule type="containsErrors" dxfId="133" priority="60">
      <formula>ISERROR(P15)</formula>
    </cfRule>
  </conditionalFormatting>
  <conditionalFormatting sqref="P11:T11 P10:U10 P8:Z8 P7:U7">
    <cfRule type="containsErrors" dxfId="132" priority="59">
      <formula>ISERROR(P7)</formula>
    </cfRule>
  </conditionalFormatting>
  <conditionalFormatting sqref="P6:AA6">
    <cfRule type="containsErrors" dxfId="131" priority="56">
      <formula>ISERROR(P6)</formula>
    </cfRule>
  </conditionalFormatting>
  <conditionalFormatting sqref="D9:N9">
    <cfRule type="containsErrors" dxfId="130" priority="55">
      <formula>ISERROR(D9)</formula>
    </cfRule>
  </conditionalFormatting>
  <conditionalFormatting sqref="P9:Z9">
    <cfRule type="containsErrors" dxfId="129" priority="54">
      <formula>ISERROR(P9)</formula>
    </cfRule>
  </conditionalFormatting>
  <conditionalFormatting sqref="E41">
    <cfRule type="containsErrors" dxfId="128" priority="53">
      <formula>ISERROR(E41)</formula>
    </cfRule>
  </conditionalFormatting>
  <conditionalFormatting sqref="J33">
    <cfRule type="containsErrors" dxfId="127" priority="52">
      <formula>ISERROR(J33)</formula>
    </cfRule>
  </conditionalFormatting>
  <conditionalFormatting sqref="I39:I41">
    <cfRule type="containsErrors" dxfId="126" priority="51">
      <formula>ISERROR(I39)</formula>
    </cfRule>
  </conditionalFormatting>
  <conditionalFormatting sqref="J39:J41">
    <cfRule type="containsErrors" dxfId="125" priority="50">
      <formula>ISERROR(J39)</formula>
    </cfRule>
  </conditionalFormatting>
  <conditionalFormatting sqref="K34:K38 K42:K46">
    <cfRule type="containsErrors" dxfId="124" priority="49">
      <formula>ISERROR(K34)</formula>
    </cfRule>
  </conditionalFormatting>
  <conditionalFormatting sqref="K33">
    <cfRule type="containsErrors" dxfId="123" priority="48">
      <formula>ISERROR(K33)</formula>
    </cfRule>
  </conditionalFormatting>
  <conditionalFormatting sqref="K39:K41">
    <cfRule type="containsErrors" dxfId="122" priority="47">
      <formula>ISERROR(K39)</formula>
    </cfRule>
  </conditionalFormatting>
  <conditionalFormatting sqref="L34:L38 L42:L46">
    <cfRule type="containsErrors" dxfId="121" priority="46">
      <formula>ISERROR(L34)</formula>
    </cfRule>
  </conditionalFormatting>
  <conditionalFormatting sqref="L33">
    <cfRule type="containsErrors" dxfId="120" priority="45">
      <formula>ISERROR(L33)</formula>
    </cfRule>
  </conditionalFormatting>
  <conditionalFormatting sqref="L39:L41">
    <cfRule type="containsErrors" dxfId="119" priority="44">
      <formula>ISERROR(L39)</formula>
    </cfRule>
  </conditionalFormatting>
  <conditionalFormatting sqref="M34:M38 M42:M46">
    <cfRule type="containsErrors" dxfId="118" priority="43">
      <formula>ISERROR(M34)</formula>
    </cfRule>
  </conditionalFormatting>
  <conditionalFormatting sqref="M33">
    <cfRule type="containsErrors" dxfId="117" priority="42">
      <formula>ISERROR(M33)</formula>
    </cfRule>
  </conditionalFormatting>
  <conditionalFormatting sqref="M39:M41">
    <cfRule type="containsErrors" dxfId="116" priority="41">
      <formula>ISERROR(M39)</formula>
    </cfRule>
  </conditionalFormatting>
  <conditionalFormatting sqref="N34:N38 N42:N46">
    <cfRule type="containsErrors" dxfId="115" priority="40">
      <formula>ISERROR(N34)</formula>
    </cfRule>
  </conditionalFormatting>
  <conditionalFormatting sqref="N33">
    <cfRule type="containsErrors" dxfId="114" priority="39">
      <formula>ISERROR(N33)</formula>
    </cfRule>
  </conditionalFormatting>
  <conditionalFormatting sqref="N39:N41">
    <cfRule type="containsErrors" dxfId="113" priority="38">
      <formula>ISERROR(N39)</formula>
    </cfRule>
  </conditionalFormatting>
  <conditionalFormatting sqref="O34:O38 O42:O46">
    <cfRule type="containsErrors" dxfId="112" priority="37">
      <formula>ISERROR(O34)</formula>
    </cfRule>
  </conditionalFormatting>
  <conditionalFormatting sqref="O33">
    <cfRule type="containsErrors" dxfId="111" priority="36">
      <formula>ISERROR(O33)</formula>
    </cfRule>
  </conditionalFormatting>
  <conditionalFormatting sqref="O39:O41">
    <cfRule type="containsErrors" dxfId="110" priority="35">
      <formula>ISERROR(O39)</formula>
    </cfRule>
  </conditionalFormatting>
  <conditionalFormatting sqref="W33:W51">
    <cfRule type="containsErrors" dxfId="109" priority="34">
      <formula>ISERROR(W33)</formula>
    </cfRule>
  </conditionalFormatting>
  <conditionalFormatting sqref="X33:X51">
    <cfRule type="containsErrors" dxfId="108" priority="33">
      <formula>ISERROR(X33)</formula>
    </cfRule>
  </conditionalFormatting>
  <conditionalFormatting sqref="Y33:Y51">
    <cfRule type="containsErrors" dxfId="107" priority="32">
      <formula>ISERROR(Y33)</formula>
    </cfRule>
  </conditionalFormatting>
  <conditionalFormatting sqref="Z33:Z51">
    <cfRule type="containsErrors" dxfId="106" priority="31">
      <formula>ISERROR(Z33)</formula>
    </cfRule>
  </conditionalFormatting>
  <conditionalFormatting sqref="AA33:AA51">
    <cfRule type="containsErrors" dxfId="105" priority="30">
      <formula>ISERROR(AA33)</formula>
    </cfRule>
  </conditionalFormatting>
  <conditionalFormatting sqref="D41">
    <cfRule type="containsErrors" dxfId="104" priority="28">
      <formula>ISERROR(D41)</formula>
    </cfRule>
  </conditionalFormatting>
  <conditionalFormatting sqref="D32:D40 D42:D51">
    <cfRule type="containsErrors" dxfId="103" priority="29">
      <formula>ISERROR(D32)</formula>
    </cfRule>
  </conditionalFormatting>
  <conditionalFormatting sqref="Q30:R31">
    <cfRule type="containsErrors" dxfId="102" priority="27">
      <formula>ISERROR(Q30)</formula>
    </cfRule>
  </conditionalFormatting>
  <conditionalFormatting sqref="J68">
    <cfRule type="containsErrors" dxfId="101" priority="26">
      <formula>ISERROR(J68)</formula>
    </cfRule>
  </conditionalFormatting>
  <conditionalFormatting sqref="J68">
    <cfRule type="containsErrors" dxfId="100" priority="25">
      <formula>ISERROR(J68)</formula>
    </cfRule>
  </conditionalFormatting>
  <conditionalFormatting sqref="H79">
    <cfRule type="containsErrors" dxfId="99" priority="4">
      <formula>ISERROR(H79)</formula>
    </cfRule>
  </conditionalFormatting>
  <conditionalFormatting sqref="K74">
    <cfRule type="containsErrors" dxfId="98" priority="3">
      <formula>ISERROR(K74)</formula>
    </cfRule>
  </conditionalFormatting>
  <conditionalFormatting sqref="J67">
    <cfRule type="containsErrors" dxfId="97" priority="22">
      <formula>ISERROR(J67)</formula>
    </cfRule>
  </conditionalFormatting>
  <conditionalFormatting sqref="K67">
    <cfRule type="containsErrors" dxfId="96" priority="20">
      <formula>ISERROR(K67)</formula>
    </cfRule>
  </conditionalFormatting>
  <conditionalFormatting sqref="K68">
    <cfRule type="containsErrors" dxfId="95" priority="19">
      <formula>ISERROR(K68)</formula>
    </cfRule>
  </conditionalFormatting>
  <conditionalFormatting sqref="K69">
    <cfRule type="containsErrors" dxfId="94" priority="18">
      <formula>ISERROR(K69)</formula>
    </cfRule>
  </conditionalFormatting>
  <conditionalFormatting sqref="J69">
    <cfRule type="containsErrors" dxfId="93" priority="17">
      <formula>ISERROR(J69)</formula>
    </cfRule>
  </conditionalFormatting>
  <conditionalFormatting sqref="K72">
    <cfRule type="containsErrors" dxfId="92" priority="16">
      <formula>ISERROR(K72)</formula>
    </cfRule>
  </conditionalFormatting>
  <conditionalFormatting sqref="K73">
    <cfRule type="containsErrors" dxfId="91" priority="15">
      <formula>ISERROR(K73)</formula>
    </cfRule>
  </conditionalFormatting>
  <conditionalFormatting sqref="J73">
    <cfRule type="containsErrors" dxfId="90" priority="14">
      <formula>ISERROR(J73)</formula>
    </cfRule>
  </conditionalFormatting>
  <conditionalFormatting sqref="I73">
    <cfRule type="containsErrors" dxfId="89" priority="13">
      <formula>ISERROR(I73)</formula>
    </cfRule>
  </conditionalFormatting>
  <conditionalFormatting sqref="H73">
    <cfRule type="containsErrors" dxfId="88" priority="12">
      <formula>ISERROR(H73)</formula>
    </cfRule>
  </conditionalFormatting>
  <conditionalFormatting sqref="K76">
    <cfRule type="containsErrors" dxfId="87" priority="11">
      <formula>ISERROR(K76)</formula>
    </cfRule>
  </conditionalFormatting>
  <conditionalFormatting sqref="K77">
    <cfRule type="containsErrors" dxfId="86" priority="10">
      <formula>ISERROR(K77)</formula>
    </cfRule>
  </conditionalFormatting>
  <conditionalFormatting sqref="J77">
    <cfRule type="containsErrors" dxfId="85" priority="9">
      <formula>ISERROR(J77)</formula>
    </cfRule>
  </conditionalFormatting>
  <conditionalFormatting sqref="K78">
    <cfRule type="containsErrors" dxfId="84" priority="8">
      <formula>ISERROR(K78)</formula>
    </cfRule>
  </conditionalFormatting>
  <conditionalFormatting sqref="K79">
    <cfRule type="containsErrors" dxfId="83" priority="7">
      <formula>ISERROR(K79)</formula>
    </cfRule>
  </conditionalFormatting>
  <conditionalFormatting sqref="J79">
    <cfRule type="containsErrors" dxfId="82" priority="6">
      <formula>ISERROR(J79)</formula>
    </cfRule>
  </conditionalFormatting>
  <conditionalFormatting sqref="I79">
    <cfRule type="containsErrors" dxfId="81" priority="5">
      <formula>ISERROR(I79)</formula>
    </cfRule>
  </conditionalFormatting>
  <conditionalFormatting sqref="B84:K132">
    <cfRule type="cellIs" dxfId="80" priority="2" operator="equal">
      <formula>0</formula>
    </cfRule>
  </conditionalFormatting>
  <conditionalFormatting sqref="B136:K184">
    <cfRule type="cellIs" dxfId="79" priority="1" operator="equal">
      <formula>0</formula>
    </cfRule>
  </conditionalFormatting>
  <pageMargins left="0.75" right="0.75" top="1" bottom="1" header="0.5" footer="0.5"/>
  <pageSetup scale="29" orientation="landscape" horizontalDpi="4294967292" verticalDpi="4294967292"/>
  <rowBreaks count="1" manualBreakCount="1">
    <brk id="51" max="16383" man="1"/>
  </rowBreaks>
  <colBreaks count="1" manualBreakCount="1">
    <brk id="27" max="1048575" man="1"/>
  </colBreaks>
  <tableParts count="5">
    <tablePart r:id="rId1"/>
    <tablePart r:id="rId2"/>
    <tablePart r:id="rId3"/>
    <tablePart r:id="rId4"/>
    <tablePart r:id="rId5"/>
  </tableParts>
  <extLst>
    <ext xmlns:mx="http://schemas.microsoft.com/office/mac/excel/2008/main" uri="{64002731-A6B0-56B0-2670-7721B7C09600}">
      <mx:PLV Mode="0" OnePage="0" WScale="29"/>
      <mx:PLV Mode="0" OnePage="0" WScale="29"/>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Construction Dashboard</vt:lpstr>
      <vt:lpstr>Army Value</vt:lpstr>
      <vt:lpstr>Scratch</vt:lpstr>
      <vt:lpstr>About</vt:lpstr>
      <vt:lpstr>Statistics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2014-06-28T16:16:46Z</dcterms:modified>
</cp:coreProperties>
</file>