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C0B84415-6784-4892-B5AC-B51493D4DD7E}" xr6:coauthVersionLast="36" xr6:coauthVersionMax="36" xr10:uidLastSave="{00000000-0000-0000-0000-000000000000}"/>
  <bookViews>
    <workbookView xWindow="0" yWindow="0" windowWidth="22260" windowHeight="12648" activeTab="1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413" i="3" l="1"/>
  <c r="LP413" i="3"/>
  <c r="LU413" i="3"/>
  <c r="BC413" i="3"/>
  <c r="AT413" i="3"/>
  <c r="AH413" i="3"/>
  <c r="AD413" i="3"/>
  <c r="U413" i="3"/>
  <c r="R413" i="3"/>
  <c r="K413" i="3"/>
  <c r="C413" i="3"/>
  <c r="B517" i="1"/>
  <c r="B488" i="1"/>
  <c r="B457" i="1"/>
  <c r="B281" i="1"/>
  <c r="BI281" i="1"/>
  <c r="EE29" i="1"/>
  <c r="EE30" i="1" s="1"/>
  <c r="EE31" i="1" s="1"/>
  <c r="EE32" i="1" s="1"/>
  <c r="EE33" i="1" s="1"/>
  <c r="EE34" i="1" s="1"/>
  <c r="EE35" i="1" s="1"/>
  <c r="EE36" i="1" s="1"/>
  <c r="EE37" i="1" s="1"/>
  <c r="EE38" i="1" s="1"/>
  <c r="EE39" i="1" s="1"/>
  <c r="EE40" i="1" s="1"/>
  <c r="EE41" i="1" s="1"/>
  <c r="EE42" i="1" s="1"/>
  <c r="EE43" i="1" s="1"/>
  <c r="EE44" i="1" s="1"/>
  <c r="EE45" i="1" s="1"/>
  <c r="EE46" i="1" s="1"/>
  <c r="EE47" i="1" s="1"/>
  <c r="EE48" i="1" s="1"/>
  <c r="EE49" i="1" s="1"/>
  <c r="EE50" i="1" s="1"/>
  <c r="EE51" i="1" s="1"/>
  <c r="EE52" i="1" s="1"/>
  <c r="EE53" i="1" s="1"/>
  <c r="EE54" i="1" s="1"/>
  <c r="EE55" i="1" s="1"/>
  <c r="EE56" i="1" s="1"/>
  <c r="EE57" i="1" s="1"/>
  <c r="EE58" i="1" s="1"/>
  <c r="EE59" i="1" s="1"/>
  <c r="EE60" i="1" s="1"/>
  <c r="EE61" i="1" s="1"/>
  <c r="EE62" i="1" s="1"/>
  <c r="EE63" i="1" s="1"/>
  <c r="EE64" i="1" s="1"/>
  <c r="EE65" i="1" s="1"/>
  <c r="EE66" i="1" s="1"/>
  <c r="EE67" i="1" s="1"/>
  <c r="EE68" i="1" s="1"/>
  <c r="EE69" i="1" s="1"/>
  <c r="EE70" i="1" s="1"/>
  <c r="EE71" i="1" s="1"/>
  <c r="EE72" i="1" s="1"/>
  <c r="EE73" i="1" s="1"/>
  <c r="EE74" i="1" s="1"/>
  <c r="EE75" i="1" s="1"/>
  <c r="EE76" i="1" s="1"/>
  <c r="EE77" i="1" s="1"/>
  <c r="EE78" i="1" s="1"/>
  <c r="EE79" i="1" s="1"/>
  <c r="EE80" i="1" s="1"/>
  <c r="EE81" i="1" s="1"/>
  <c r="EE82" i="1" s="1"/>
  <c r="EE83" i="1" s="1"/>
  <c r="EE84" i="1" s="1"/>
  <c r="EE85" i="1" s="1"/>
  <c r="EE86" i="1" s="1"/>
  <c r="EE87" i="1" s="1"/>
  <c r="EE88" i="1" s="1"/>
  <c r="EE89" i="1" s="1"/>
  <c r="EE90" i="1" s="1"/>
  <c r="EE91" i="1" s="1"/>
  <c r="EE92" i="1" s="1"/>
  <c r="EE93" i="1" s="1"/>
  <c r="EE94" i="1" s="1"/>
  <c r="EE95" i="1" s="1"/>
  <c r="EE96" i="1" s="1"/>
  <c r="EE97" i="1" s="1"/>
  <c r="EE98" i="1" s="1"/>
  <c r="EE99" i="1" s="1"/>
  <c r="EE100" i="1" s="1"/>
  <c r="EE101" i="1" s="1"/>
  <c r="EE102" i="1" s="1"/>
  <c r="EE103" i="1" s="1"/>
  <c r="EE104" i="1" s="1"/>
  <c r="EE105" i="1" s="1"/>
  <c r="EE106" i="1" s="1"/>
  <c r="EE107" i="1" s="1"/>
  <c r="EE108" i="1" s="1"/>
  <c r="EE109" i="1" s="1"/>
  <c r="EE110" i="1" s="1"/>
  <c r="EE111" i="1" s="1"/>
  <c r="EE112" i="1" s="1"/>
  <c r="EE113" i="1" s="1"/>
  <c r="EE114" i="1" s="1"/>
  <c r="EE115" i="1" s="1"/>
  <c r="EE116" i="1" s="1"/>
  <c r="EE117" i="1" s="1"/>
  <c r="EE118" i="1" s="1"/>
  <c r="EE119" i="1" s="1"/>
  <c r="EE120" i="1" s="1"/>
  <c r="EE121" i="1" s="1"/>
  <c r="EE122" i="1" s="1"/>
  <c r="EE123" i="1" s="1"/>
  <c r="EE124" i="1" s="1"/>
  <c r="EE125" i="1" s="1"/>
  <c r="EE126" i="1" s="1"/>
  <c r="EE127" i="1" s="1"/>
  <c r="EE128" i="1" s="1"/>
  <c r="EE129" i="1" s="1"/>
  <c r="EE130" i="1" s="1"/>
  <c r="EE131" i="1" s="1"/>
  <c r="EE132" i="1" s="1"/>
  <c r="EE133" i="1" s="1"/>
  <c r="EE134" i="1" s="1"/>
  <c r="EE135" i="1" s="1"/>
  <c r="EE136" i="1" s="1"/>
  <c r="EE137" i="1" s="1"/>
  <c r="EE138" i="1" s="1"/>
  <c r="EE139" i="1" s="1"/>
  <c r="EE140" i="1" s="1"/>
  <c r="EE141" i="1" s="1"/>
  <c r="EE142" i="1" s="1"/>
  <c r="EE143" i="1" s="1"/>
  <c r="EE144" i="1" s="1"/>
  <c r="EE145" i="1" s="1"/>
  <c r="EE146" i="1" s="1"/>
  <c r="EE147" i="1" s="1"/>
  <c r="EE148" i="1" s="1"/>
  <c r="EE149" i="1" s="1"/>
  <c r="EE150" i="1" s="1"/>
  <c r="EE151" i="1" s="1"/>
  <c r="EE152" i="1" s="1"/>
  <c r="EE153" i="1" s="1"/>
  <c r="EE154" i="1" s="1"/>
  <c r="EE155" i="1" s="1"/>
  <c r="EE156" i="1" s="1"/>
  <c r="EE157" i="1" s="1"/>
  <c r="EE158" i="1" s="1"/>
  <c r="EE159" i="1" s="1"/>
  <c r="EE160" i="1" s="1"/>
  <c r="EE161" i="1" s="1"/>
  <c r="EE162" i="1" s="1"/>
  <c r="EE163" i="1" s="1"/>
  <c r="EE164" i="1" s="1"/>
  <c r="EE165" i="1" s="1"/>
  <c r="EE166" i="1" s="1"/>
  <c r="EE167" i="1" s="1"/>
  <c r="EE168" i="1" s="1"/>
  <c r="EE169" i="1" s="1"/>
  <c r="EE170" i="1" s="1"/>
  <c r="EE171" i="1" s="1"/>
  <c r="EE172" i="1" s="1"/>
  <c r="EE173" i="1" s="1"/>
  <c r="EE174" i="1" s="1"/>
  <c r="EE175" i="1" s="1"/>
  <c r="EE176" i="1" s="1"/>
  <c r="EE177" i="1" s="1"/>
  <c r="EE178" i="1" s="1"/>
  <c r="EE179" i="1" s="1"/>
  <c r="EE180" i="1" s="1"/>
  <c r="EE181" i="1" s="1"/>
  <c r="EE182" i="1" s="1"/>
  <c r="EE183" i="1" s="1"/>
  <c r="EE184" i="1" s="1"/>
  <c r="EE185" i="1" s="1"/>
  <c r="EE186" i="1" s="1"/>
  <c r="EE187" i="1" s="1"/>
  <c r="EE188" i="1" s="1"/>
  <c r="EE189" i="1" s="1"/>
  <c r="EE190" i="1" s="1"/>
  <c r="EE191" i="1" s="1"/>
  <c r="EE192" i="1" s="1"/>
  <c r="EE193" i="1" s="1"/>
  <c r="EE194" i="1" s="1"/>
  <c r="EE195" i="1" s="1"/>
  <c r="EE196" i="1" s="1"/>
  <c r="EE197" i="1" s="1"/>
  <c r="EE198" i="1" s="1"/>
  <c r="EE199" i="1" s="1"/>
  <c r="EE200" i="1" s="1"/>
  <c r="EE201" i="1" s="1"/>
  <c r="EE202" i="1" s="1"/>
  <c r="EE203" i="1" s="1"/>
  <c r="EE204" i="1" s="1"/>
  <c r="EE205" i="1" s="1"/>
  <c r="EE206" i="1" s="1"/>
  <c r="EE207" i="1" s="1"/>
  <c r="EE208" i="1" s="1"/>
  <c r="EE209" i="1" s="1"/>
  <c r="EE210" i="1" s="1"/>
  <c r="EE211" i="1" s="1"/>
  <c r="EE212" i="1" s="1"/>
  <c r="EE213" i="1" s="1"/>
  <c r="EE214" i="1" s="1"/>
  <c r="EE215" i="1" s="1"/>
  <c r="EE216" i="1" s="1"/>
  <c r="EE217" i="1" s="1"/>
  <c r="EE218" i="1" s="1"/>
  <c r="EE219" i="1" s="1"/>
  <c r="EE220" i="1" s="1"/>
  <c r="EE221" i="1" s="1"/>
  <c r="EE222" i="1" s="1"/>
  <c r="EE223" i="1" s="1"/>
  <c r="EE224" i="1" s="1"/>
  <c r="EE225" i="1" s="1"/>
  <c r="EE226" i="1" s="1"/>
  <c r="EE227" i="1" s="1"/>
  <c r="EE228" i="1" s="1"/>
  <c r="EE229" i="1" s="1"/>
  <c r="EE230" i="1" s="1"/>
  <c r="EE231" i="1" s="1"/>
  <c r="EE232" i="1" s="1"/>
  <c r="EE233" i="1" s="1"/>
  <c r="EE234" i="1" s="1"/>
  <c r="EE235" i="1" s="1"/>
  <c r="EE236" i="1" s="1"/>
  <c r="EE237" i="1" s="1"/>
  <c r="EE238" i="1" s="1"/>
  <c r="EE239" i="1" s="1"/>
  <c r="EE240" i="1" s="1"/>
  <c r="EE241" i="1" s="1"/>
  <c r="EE242" i="1" s="1"/>
  <c r="EE243" i="1" s="1"/>
  <c r="EE244" i="1" s="1"/>
  <c r="EE245" i="1" s="1"/>
  <c r="EE246" i="1" s="1"/>
  <c r="EE247" i="1" s="1"/>
  <c r="EE248" i="1" s="1"/>
  <c r="EE249" i="1" s="1"/>
  <c r="EE250" i="1" s="1"/>
  <c r="EE251" i="1" s="1"/>
  <c r="EE252" i="1" s="1"/>
  <c r="EE253" i="1" s="1"/>
  <c r="EE254" i="1" s="1"/>
  <c r="EE255" i="1" s="1"/>
  <c r="EE256" i="1" s="1"/>
  <c r="EE257" i="1" s="1"/>
  <c r="EE258" i="1" s="1"/>
  <c r="EE259" i="1" s="1"/>
  <c r="EE260" i="1" s="1"/>
  <c r="EE261" i="1" s="1"/>
  <c r="EE262" i="1" s="1"/>
  <c r="EE263" i="1" s="1"/>
  <c r="EE264" i="1" s="1"/>
  <c r="EE265" i="1" s="1"/>
  <c r="EE266" i="1" s="1"/>
  <c r="EE267" i="1" s="1"/>
  <c r="BQ413" i="1"/>
  <c r="EB29" i="1"/>
  <c r="EB30" i="1" s="1"/>
  <c r="EB31" i="1" s="1"/>
  <c r="EB32" i="1" s="1"/>
  <c r="EB33" i="1" s="1"/>
  <c r="EB34" i="1" s="1"/>
  <c r="EB35" i="1" s="1"/>
  <c r="EB36" i="1" s="1"/>
  <c r="EB37" i="1" s="1"/>
  <c r="EB38" i="1" s="1"/>
  <c r="EB39" i="1" s="1"/>
  <c r="EB40" i="1" s="1"/>
  <c r="EB41" i="1" s="1"/>
  <c r="EB42" i="1" s="1"/>
  <c r="EB43" i="1" s="1"/>
  <c r="EB44" i="1" s="1"/>
  <c r="EB45" i="1" s="1"/>
  <c r="EB46" i="1" s="1"/>
  <c r="EB47" i="1" s="1"/>
  <c r="EB48" i="1" s="1"/>
  <c r="EB49" i="1" s="1"/>
  <c r="EB50" i="1" s="1"/>
  <c r="EB51" i="1" s="1"/>
  <c r="EB52" i="1" s="1"/>
  <c r="EB53" i="1" s="1"/>
  <c r="EB54" i="1" s="1"/>
  <c r="EB55" i="1" s="1"/>
  <c r="EB56" i="1" s="1"/>
  <c r="EB57" i="1" s="1"/>
  <c r="EB58" i="1" s="1"/>
  <c r="EB59" i="1" s="1"/>
  <c r="EB60" i="1" s="1"/>
  <c r="EB61" i="1" s="1"/>
  <c r="EB62" i="1" s="1"/>
  <c r="EB63" i="1" s="1"/>
  <c r="EB64" i="1" s="1"/>
  <c r="EB65" i="1" s="1"/>
  <c r="EB66" i="1" s="1"/>
  <c r="EB67" i="1" s="1"/>
  <c r="EB68" i="1" s="1"/>
  <c r="EB69" i="1" s="1"/>
  <c r="EB70" i="1" s="1"/>
  <c r="EB71" i="1" s="1"/>
  <c r="EB72" i="1" s="1"/>
  <c r="EB73" i="1" s="1"/>
  <c r="EB74" i="1" s="1"/>
  <c r="EB75" i="1" s="1"/>
  <c r="EB76" i="1" s="1"/>
  <c r="EB77" i="1" s="1"/>
  <c r="EB78" i="1" s="1"/>
  <c r="EB79" i="1" s="1"/>
  <c r="EB80" i="1" s="1"/>
  <c r="EB81" i="1" s="1"/>
  <c r="EB82" i="1" s="1"/>
  <c r="EB83" i="1" s="1"/>
  <c r="EB84" i="1" s="1"/>
  <c r="EB85" i="1" s="1"/>
  <c r="EB86" i="1" s="1"/>
  <c r="EB87" i="1" s="1"/>
  <c r="EB88" i="1" s="1"/>
  <c r="EB89" i="1" s="1"/>
  <c r="EB90" i="1" s="1"/>
  <c r="EB91" i="1" s="1"/>
  <c r="EB92" i="1" s="1"/>
  <c r="EB93" i="1" s="1"/>
  <c r="EB94" i="1" s="1"/>
  <c r="EB95" i="1" s="1"/>
  <c r="EB96" i="1" s="1"/>
  <c r="EB97" i="1" s="1"/>
  <c r="EB98" i="1" s="1"/>
  <c r="EB99" i="1" s="1"/>
  <c r="EB100" i="1" s="1"/>
  <c r="EB101" i="1" s="1"/>
  <c r="EB102" i="1" s="1"/>
  <c r="EB103" i="1" s="1"/>
  <c r="EB104" i="1" s="1"/>
  <c r="EB105" i="1" s="1"/>
  <c r="EB106" i="1" s="1"/>
  <c r="EB107" i="1" s="1"/>
  <c r="EB108" i="1" s="1"/>
  <c r="EB109" i="1" s="1"/>
  <c r="EB110" i="1" s="1"/>
  <c r="EB111" i="1" s="1"/>
  <c r="EB112" i="1" s="1"/>
  <c r="EB113" i="1" s="1"/>
  <c r="EB114" i="1" s="1"/>
  <c r="EB115" i="1" s="1"/>
  <c r="EB116" i="1" s="1"/>
  <c r="EB117" i="1" s="1"/>
  <c r="EB118" i="1" s="1"/>
  <c r="EB119" i="1" s="1"/>
  <c r="EB120" i="1" s="1"/>
  <c r="EB121" i="1" s="1"/>
  <c r="EB122" i="1" s="1"/>
  <c r="EB123" i="1" s="1"/>
  <c r="EB124" i="1" s="1"/>
  <c r="EB125" i="1" s="1"/>
  <c r="EB126" i="1" s="1"/>
  <c r="EB127" i="1" s="1"/>
  <c r="EB128" i="1" s="1"/>
  <c r="EB129" i="1" s="1"/>
  <c r="EB130" i="1" s="1"/>
  <c r="EB131" i="1" s="1"/>
  <c r="EB132" i="1" s="1"/>
  <c r="EB133" i="1" s="1"/>
  <c r="EB134" i="1" s="1"/>
  <c r="EB135" i="1" s="1"/>
  <c r="EB136" i="1" s="1"/>
  <c r="EB137" i="1" s="1"/>
  <c r="EB138" i="1" s="1"/>
  <c r="EB139" i="1" s="1"/>
  <c r="EB140" i="1" s="1"/>
  <c r="EB141" i="1" s="1"/>
  <c r="EB142" i="1" s="1"/>
  <c r="EB143" i="1" s="1"/>
  <c r="EB144" i="1" s="1"/>
  <c r="EB145" i="1" s="1"/>
  <c r="EB146" i="1" s="1"/>
  <c r="EB147" i="1" s="1"/>
  <c r="EB148" i="1" s="1"/>
  <c r="EB149" i="1" s="1"/>
  <c r="EB150" i="1" s="1"/>
  <c r="EB151" i="1" s="1"/>
  <c r="EB152" i="1" s="1"/>
  <c r="EB153" i="1" s="1"/>
  <c r="EB154" i="1" s="1"/>
  <c r="EB155" i="1" s="1"/>
  <c r="EB156" i="1" s="1"/>
  <c r="EB157" i="1" s="1"/>
  <c r="EB158" i="1" s="1"/>
  <c r="EB159" i="1" s="1"/>
  <c r="EB160" i="1" s="1"/>
  <c r="EB161" i="1" s="1"/>
  <c r="EB162" i="1" s="1"/>
  <c r="EB163" i="1" s="1"/>
  <c r="EB164" i="1" s="1"/>
  <c r="EB165" i="1" s="1"/>
  <c r="EB166" i="1" s="1"/>
  <c r="EB167" i="1" s="1"/>
  <c r="EB168" i="1" s="1"/>
  <c r="EB169" i="1" s="1"/>
  <c r="EB170" i="1" s="1"/>
  <c r="EB171" i="1" s="1"/>
  <c r="EB172" i="1" s="1"/>
  <c r="EB173" i="1" s="1"/>
  <c r="EB174" i="1" s="1"/>
  <c r="EB175" i="1" s="1"/>
  <c r="EB176" i="1" s="1"/>
  <c r="EB177" i="1" s="1"/>
  <c r="EB178" i="1" s="1"/>
  <c r="EB179" i="1" s="1"/>
  <c r="EB180" i="1" s="1"/>
  <c r="EB181" i="1" s="1"/>
  <c r="EB182" i="1" s="1"/>
  <c r="EB183" i="1" s="1"/>
  <c r="EB184" i="1" s="1"/>
  <c r="EB185" i="1" s="1"/>
  <c r="EB186" i="1" s="1"/>
  <c r="EB187" i="1" s="1"/>
  <c r="EB188" i="1" s="1"/>
  <c r="EB189" i="1" s="1"/>
  <c r="EB190" i="1" s="1"/>
  <c r="EB191" i="1" s="1"/>
  <c r="EB192" i="1" s="1"/>
  <c r="EB193" i="1" s="1"/>
  <c r="EB194" i="1" s="1"/>
  <c r="EB195" i="1" s="1"/>
  <c r="EB196" i="1" s="1"/>
  <c r="EB197" i="1" s="1"/>
  <c r="EB198" i="1" s="1"/>
  <c r="EB199" i="1" s="1"/>
  <c r="EB200" i="1" s="1"/>
  <c r="EB201" i="1" s="1"/>
  <c r="EB202" i="1" s="1"/>
  <c r="EB203" i="1" s="1"/>
  <c r="EB204" i="1" s="1"/>
  <c r="EB205" i="1" s="1"/>
  <c r="EB206" i="1" s="1"/>
  <c r="EB207" i="1" s="1"/>
  <c r="EB208" i="1" s="1"/>
  <c r="EB209" i="1" s="1"/>
  <c r="EB210" i="1" s="1"/>
  <c r="EB211" i="1" s="1"/>
  <c r="EB212" i="1" s="1"/>
  <c r="EB213" i="1" s="1"/>
  <c r="EB214" i="1" s="1"/>
  <c r="EB215" i="1" s="1"/>
  <c r="EB216" i="1" s="1"/>
  <c r="EB217" i="1" s="1"/>
  <c r="EB218" i="1" s="1"/>
  <c r="EB219" i="1" s="1"/>
  <c r="EB220" i="1" s="1"/>
  <c r="EB221" i="1" s="1"/>
  <c r="EB222" i="1" s="1"/>
  <c r="EB223" i="1" s="1"/>
  <c r="EB224" i="1" s="1"/>
  <c r="EB225" i="1" s="1"/>
  <c r="EB226" i="1" s="1"/>
  <c r="EB227" i="1" s="1"/>
  <c r="EB228" i="1" s="1"/>
  <c r="EB229" i="1" s="1"/>
  <c r="EB230" i="1" s="1"/>
  <c r="EB231" i="1" s="1"/>
  <c r="EB232" i="1" s="1"/>
  <c r="EB233" i="1" s="1"/>
  <c r="EB234" i="1" s="1"/>
  <c r="EB235" i="1" s="1"/>
  <c r="EB236" i="1" s="1"/>
  <c r="EB237" i="1" s="1"/>
  <c r="EB238" i="1" s="1"/>
  <c r="EB239" i="1" s="1"/>
  <c r="EB240" i="1" s="1"/>
  <c r="EB241" i="1" s="1"/>
  <c r="EB242" i="1" s="1"/>
  <c r="EB243" i="1" s="1"/>
  <c r="EB244" i="1" s="1"/>
  <c r="EB245" i="1" s="1"/>
  <c r="EB246" i="1" s="1"/>
  <c r="EB247" i="1" s="1"/>
  <c r="EB248" i="1" s="1"/>
  <c r="EB249" i="1" s="1"/>
  <c r="EB250" i="1" s="1"/>
  <c r="EB251" i="1" s="1"/>
  <c r="EB252" i="1" s="1"/>
  <c r="EB253" i="1" s="1"/>
  <c r="EB254" i="1" s="1"/>
  <c r="EB255" i="1" s="1"/>
  <c r="EB256" i="1" s="1"/>
  <c r="EB257" i="1" s="1"/>
  <c r="EB258" i="1" s="1"/>
  <c r="EB259" i="1" s="1"/>
  <c r="EB260" i="1" s="1"/>
  <c r="EB261" i="1" s="1"/>
  <c r="EB262" i="1" s="1"/>
  <c r="EB263" i="1" s="1"/>
  <c r="EB264" i="1" s="1"/>
  <c r="EB265" i="1" s="1"/>
  <c r="EB266" i="1" s="1"/>
  <c r="EB267" i="1" s="1"/>
  <c r="LU28" i="1" l="1"/>
  <c r="LJ28" i="1"/>
  <c r="KV28" i="1"/>
  <c r="KP28" i="1"/>
  <c r="KK28" i="1"/>
  <c r="JZ28" i="1"/>
  <c r="JS28" i="1"/>
  <c r="JM28" i="1"/>
  <c r="JE28" i="1"/>
  <c r="IW28" i="1"/>
  <c r="IR28" i="1"/>
  <c r="IL28" i="1"/>
  <c r="IH28" i="1"/>
  <c r="IF28" i="1"/>
  <c r="IC28" i="1"/>
  <c r="HX28" i="1"/>
  <c r="HO28" i="1"/>
  <c r="HD28" i="1"/>
  <c r="GX28" i="1"/>
  <c r="GO28" i="1"/>
  <c r="GH28" i="1"/>
  <c r="FZ28" i="1"/>
  <c r="FQ28" i="1"/>
  <c r="FI28" i="1"/>
  <c r="FA28" i="1"/>
  <c r="ET28" i="1"/>
  <c r="EJ28" i="1"/>
  <c r="EG28" i="1"/>
  <c r="EG29" i="1" s="1"/>
  <c r="EG30" i="1" s="1"/>
  <c r="EG31" i="1" s="1"/>
  <c r="EG32" i="1" s="1"/>
  <c r="EG33" i="1" s="1"/>
  <c r="EG34" i="1" s="1"/>
  <c r="EG35" i="1" s="1"/>
  <c r="EG36" i="1" s="1"/>
  <c r="EG37" i="1" s="1"/>
  <c r="EG38" i="1" s="1"/>
  <c r="EG39" i="1" s="1"/>
  <c r="EG40" i="1" s="1"/>
  <c r="EG41" i="1" s="1"/>
  <c r="EG42" i="1" s="1"/>
  <c r="EG43" i="1" s="1"/>
  <c r="EG44" i="1" s="1"/>
  <c r="EG45" i="1" s="1"/>
  <c r="EG46" i="1" s="1"/>
  <c r="EG47" i="1" s="1"/>
  <c r="EG48" i="1" s="1"/>
  <c r="EG49" i="1" s="1"/>
  <c r="EG50" i="1" s="1"/>
  <c r="EG51" i="1" s="1"/>
  <c r="EG52" i="1" s="1"/>
  <c r="EG53" i="1" s="1"/>
  <c r="EG54" i="1" s="1"/>
  <c r="EG55" i="1" s="1"/>
  <c r="EG56" i="1" s="1"/>
  <c r="EG57" i="1" s="1"/>
  <c r="EG58" i="1" s="1"/>
  <c r="EG59" i="1" s="1"/>
  <c r="EG60" i="1" s="1"/>
  <c r="EG61" i="1" s="1"/>
  <c r="EG62" i="1" s="1"/>
  <c r="EG63" i="1" s="1"/>
  <c r="EG64" i="1" s="1"/>
  <c r="EG65" i="1" s="1"/>
  <c r="EG66" i="1" s="1"/>
  <c r="EG67" i="1" s="1"/>
  <c r="EG68" i="1" s="1"/>
  <c r="EG69" i="1" s="1"/>
  <c r="EG70" i="1" s="1"/>
  <c r="EG71" i="1" s="1"/>
  <c r="EG72" i="1" s="1"/>
  <c r="EG73" i="1" s="1"/>
  <c r="EG74" i="1" s="1"/>
  <c r="EG75" i="1" s="1"/>
  <c r="EG76" i="1" s="1"/>
  <c r="EG77" i="1" s="1"/>
  <c r="EG78" i="1" s="1"/>
  <c r="EG79" i="1" s="1"/>
  <c r="EG80" i="1" s="1"/>
  <c r="EG81" i="1" s="1"/>
  <c r="EG82" i="1" s="1"/>
  <c r="EG83" i="1" s="1"/>
  <c r="EG84" i="1" s="1"/>
  <c r="EG85" i="1" s="1"/>
  <c r="EG86" i="1" s="1"/>
  <c r="EG87" i="1" s="1"/>
  <c r="EG88" i="1" s="1"/>
  <c r="EG89" i="1" s="1"/>
  <c r="EG90" i="1" s="1"/>
  <c r="EG91" i="1" s="1"/>
  <c r="EG92" i="1" s="1"/>
  <c r="EG93" i="1" s="1"/>
  <c r="EG94" i="1" s="1"/>
  <c r="EG95" i="1" s="1"/>
  <c r="EG96" i="1" s="1"/>
  <c r="EG97" i="1" s="1"/>
  <c r="EG98" i="1" s="1"/>
  <c r="EG99" i="1" s="1"/>
  <c r="EG100" i="1" s="1"/>
  <c r="EG101" i="1" s="1"/>
  <c r="EG102" i="1" s="1"/>
  <c r="EG103" i="1" s="1"/>
  <c r="EG104" i="1" s="1"/>
  <c r="EG105" i="1" s="1"/>
  <c r="EG106" i="1" s="1"/>
  <c r="EG107" i="1" s="1"/>
  <c r="EG108" i="1" s="1"/>
  <c r="EG109" i="1" s="1"/>
  <c r="EG110" i="1" s="1"/>
  <c r="EG111" i="1" s="1"/>
  <c r="EG112" i="1" s="1"/>
  <c r="EG113" i="1" s="1"/>
  <c r="EG114" i="1" s="1"/>
  <c r="EG115" i="1" s="1"/>
  <c r="EG116" i="1" s="1"/>
  <c r="EG117" i="1" s="1"/>
  <c r="EG118" i="1" s="1"/>
  <c r="EG119" i="1" s="1"/>
  <c r="EG120" i="1" s="1"/>
  <c r="EG121" i="1" s="1"/>
  <c r="EG122" i="1" s="1"/>
  <c r="EG123" i="1" s="1"/>
  <c r="EG124" i="1" s="1"/>
  <c r="EG125" i="1" s="1"/>
  <c r="EG126" i="1" s="1"/>
  <c r="EG127" i="1" s="1"/>
  <c r="EG128" i="1" s="1"/>
  <c r="EG129" i="1" s="1"/>
  <c r="EG130" i="1" s="1"/>
  <c r="EG131" i="1" s="1"/>
  <c r="EG132" i="1" s="1"/>
  <c r="EG133" i="1" s="1"/>
  <c r="EG134" i="1" s="1"/>
  <c r="EG135" i="1" s="1"/>
  <c r="EG136" i="1" s="1"/>
  <c r="EG137" i="1" s="1"/>
  <c r="EG138" i="1" s="1"/>
  <c r="EG139" i="1" s="1"/>
  <c r="EG140" i="1" s="1"/>
  <c r="EG141" i="1" s="1"/>
  <c r="EG142" i="1" s="1"/>
  <c r="EG143" i="1" s="1"/>
  <c r="EG144" i="1" s="1"/>
  <c r="EG145" i="1" s="1"/>
  <c r="EG146" i="1" s="1"/>
  <c r="EG147" i="1" s="1"/>
  <c r="EG148" i="1" s="1"/>
  <c r="EG149" i="1" s="1"/>
  <c r="EG150" i="1" s="1"/>
  <c r="EG151" i="1" s="1"/>
  <c r="EG152" i="1" s="1"/>
  <c r="EG153" i="1" s="1"/>
  <c r="EG154" i="1" s="1"/>
  <c r="EG155" i="1" s="1"/>
  <c r="EG156" i="1" s="1"/>
  <c r="EG157" i="1" s="1"/>
  <c r="EG158" i="1" s="1"/>
  <c r="EG159" i="1" s="1"/>
  <c r="EG160" i="1" s="1"/>
  <c r="EG161" i="1" s="1"/>
  <c r="EG162" i="1" s="1"/>
  <c r="EG163" i="1" s="1"/>
  <c r="EG164" i="1" s="1"/>
  <c r="EG165" i="1" s="1"/>
  <c r="EG166" i="1" s="1"/>
  <c r="EG167" i="1" s="1"/>
  <c r="EG168" i="1" s="1"/>
  <c r="EG169" i="1" s="1"/>
  <c r="EG170" i="1" s="1"/>
  <c r="EG171" i="1" s="1"/>
  <c r="EG172" i="1" s="1"/>
  <c r="EG173" i="1" s="1"/>
  <c r="EG174" i="1" s="1"/>
  <c r="EG175" i="1" s="1"/>
  <c r="EG176" i="1" s="1"/>
  <c r="EG177" i="1" s="1"/>
  <c r="EG178" i="1" s="1"/>
  <c r="EG179" i="1" s="1"/>
  <c r="EG180" i="1" s="1"/>
  <c r="EG181" i="1" s="1"/>
  <c r="EG182" i="1" s="1"/>
  <c r="EG183" i="1" s="1"/>
  <c r="EG184" i="1" s="1"/>
  <c r="EG185" i="1" s="1"/>
  <c r="EG186" i="1" s="1"/>
  <c r="EG187" i="1" s="1"/>
  <c r="EG188" i="1" s="1"/>
  <c r="EG189" i="1" s="1"/>
  <c r="EG190" i="1" s="1"/>
  <c r="EG191" i="1" s="1"/>
  <c r="EG192" i="1" s="1"/>
  <c r="EG193" i="1" s="1"/>
  <c r="EG194" i="1" s="1"/>
  <c r="EG195" i="1" s="1"/>
  <c r="EG196" i="1" s="1"/>
  <c r="EG197" i="1" s="1"/>
  <c r="EG198" i="1" s="1"/>
  <c r="EG199" i="1" s="1"/>
  <c r="EG200" i="1" s="1"/>
  <c r="EG201" i="1" s="1"/>
  <c r="EG202" i="1" s="1"/>
  <c r="EG203" i="1" s="1"/>
  <c r="EG204" i="1" s="1"/>
  <c r="EG205" i="1" s="1"/>
  <c r="EG206" i="1" s="1"/>
  <c r="EG207" i="1" s="1"/>
  <c r="EG208" i="1" s="1"/>
  <c r="EG209" i="1" s="1"/>
  <c r="EG210" i="1" s="1"/>
  <c r="EG211" i="1" s="1"/>
  <c r="EG212" i="1" s="1"/>
  <c r="EG213" i="1" s="1"/>
  <c r="EG214" i="1" s="1"/>
  <c r="EG215" i="1" s="1"/>
  <c r="EG216" i="1" s="1"/>
  <c r="EG217" i="1" s="1"/>
  <c r="EG218" i="1" s="1"/>
  <c r="EG219" i="1" s="1"/>
  <c r="EG220" i="1" s="1"/>
  <c r="EG221" i="1" s="1"/>
  <c r="EG222" i="1" s="1"/>
  <c r="EG223" i="1" s="1"/>
  <c r="EG224" i="1" s="1"/>
  <c r="EG225" i="1" s="1"/>
  <c r="EG226" i="1" s="1"/>
  <c r="EG227" i="1" s="1"/>
  <c r="EG228" i="1" s="1"/>
  <c r="EG229" i="1" s="1"/>
  <c r="EG230" i="1" s="1"/>
  <c r="EG231" i="1" s="1"/>
  <c r="EG232" i="1" s="1"/>
  <c r="EG233" i="1" s="1"/>
  <c r="EG234" i="1" s="1"/>
  <c r="EG235" i="1" s="1"/>
  <c r="EG236" i="1" s="1"/>
  <c r="EG237" i="1" s="1"/>
  <c r="EG238" i="1" s="1"/>
  <c r="EG239" i="1" s="1"/>
  <c r="EG240" i="1" s="1"/>
  <c r="EG241" i="1" s="1"/>
  <c r="EG242" i="1" s="1"/>
  <c r="EG243" i="1" s="1"/>
  <c r="EG244" i="1" s="1"/>
  <c r="EG245" i="1" s="1"/>
  <c r="EG246" i="1" s="1"/>
  <c r="EG247" i="1" s="1"/>
  <c r="EG248" i="1" s="1"/>
  <c r="EG249" i="1" s="1"/>
  <c r="EG250" i="1" s="1"/>
  <c r="EG251" i="1" s="1"/>
  <c r="EG252" i="1" s="1"/>
  <c r="EG253" i="1" s="1"/>
  <c r="EG254" i="1" s="1"/>
  <c r="EG255" i="1" s="1"/>
  <c r="EG256" i="1" s="1"/>
  <c r="EG257" i="1" s="1"/>
  <c r="EG258" i="1" s="1"/>
  <c r="EG259" i="1" s="1"/>
  <c r="EG260" i="1" s="1"/>
  <c r="EG261" i="1" s="1"/>
  <c r="EG262" i="1" s="1"/>
  <c r="EG263" i="1" s="1"/>
  <c r="EG264" i="1" s="1"/>
  <c r="EG265" i="1" s="1"/>
  <c r="EG266" i="1" s="1"/>
  <c r="EG267" i="1" s="1"/>
  <c r="DS28" i="1"/>
  <c r="DS29" i="1" s="1"/>
  <c r="DS30" i="1" s="1"/>
  <c r="DS31" i="1" s="1"/>
  <c r="DS32" i="1" s="1"/>
  <c r="DS33" i="1" s="1"/>
  <c r="DS34" i="1" s="1"/>
  <c r="DS35" i="1" s="1"/>
  <c r="DS36" i="1" s="1"/>
  <c r="DS37" i="1" s="1"/>
  <c r="DS38" i="1" s="1"/>
  <c r="DS39" i="1" s="1"/>
  <c r="DS40" i="1" s="1"/>
  <c r="DS41" i="1" s="1"/>
  <c r="DS42" i="1" s="1"/>
  <c r="DS43" i="1" s="1"/>
  <c r="DS44" i="1" s="1"/>
  <c r="DS45" i="1" s="1"/>
  <c r="DS46" i="1" s="1"/>
  <c r="DS47" i="1" s="1"/>
  <c r="DS48" i="1" s="1"/>
  <c r="DS49" i="1" s="1"/>
  <c r="DS50" i="1" s="1"/>
  <c r="DS51" i="1" s="1"/>
  <c r="DS52" i="1" s="1"/>
  <c r="DS53" i="1" s="1"/>
  <c r="DS54" i="1" s="1"/>
  <c r="DS55" i="1" s="1"/>
  <c r="DS56" i="1" s="1"/>
  <c r="DS57" i="1" s="1"/>
  <c r="DS58" i="1" s="1"/>
  <c r="DS59" i="1" s="1"/>
  <c r="DS60" i="1" s="1"/>
  <c r="DS61" i="1" s="1"/>
  <c r="DS62" i="1" s="1"/>
  <c r="DS63" i="1" s="1"/>
  <c r="DS64" i="1" s="1"/>
  <c r="DS65" i="1" s="1"/>
  <c r="DS66" i="1" s="1"/>
  <c r="DS67" i="1" s="1"/>
  <c r="DS68" i="1" s="1"/>
  <c r="DS69" i="1" s="1"/>
  <c r="DS70" i="1" s="1"/>
  <c r="DS71" i="1" s="1"/>
  <c r="DS72" i="1" s="1"/>
  <c r="DS73" i="1" s="1"/>
  <c r="DS74" i="1" s="1"/>
  <c r="DS75" i="1" s="1"/>
  <c r="DS76" i="1" s="1"/>
  <c r="DS77" i="1" s="1"/>
  <c r="DS78" i="1" s="1"/>
  <c r="DS79" i="1" s="1"/>
  <c r="DS80" i="1" s="1"/>
  <c r="DS81" i="1" s="1"/>
  <c r="DS82" i="1" s="1"/>
  <c r="DS83" i="1" s="1"/>
  <c r="DS84" i="1" s="1"/>
  <c r="DS85" i="1" s="1"/>
  <c r="DS86" i="1" s="1"/>
  <c r="DS87" i="1" s="1"/>
  <c r="DS88" i="1" s="1"/>
  <c r="DS89" i="1" s="1"/>
  <c r="DS90" i="1" s="1"/>
  <c r="DS91" i="1" s="1"/>
  <c r="DS92" i="1" s="1"/>
  <c r="DS93" i="1" s="1"/>
  <c r="DS94" i="1" s="1"/>
  <c r="DS95" i="1" s="1"/>
  <c r="DS96" i="1" s="1"/>
  <c r="DS97" i="1" s="1"/>
  <c r="DS98" i="1" s="1"/>
  <c r="DS99" i="1" s="1"/>
  <c r="DS100" i="1" s="1"/>
  <c r="DS101" i="1" s="1"/>
  <c r="DS102" i="1" s="1"/>
  <c r="DS103" i="1" s="1"/>
  <c r="DS104" i="1" s="1"/>
  <c r="DS105" i="1" s="1"/>
  <c r="DS106" i="1" s="1"/>
  <c r="DS107" i="1" s="1"/>
  <c r="DS108" i="1" s="1"/>
  <c r="DS109" i="1" s="1"/>
  <c r="DS110" i="1" s="1"/>
  <c r="DS111" i="1" s="1"/>
  <c r="DS112" i="1" s="1"/>
  <c r="DS113" i="1" s="1"/>
  <c r="DS114" i="1" s="1"/>
  <c r="DS115" i="1" s="1"/>
  <c r="DS116" i="1" s="1"/>
  <c r="DS117" i="1" s="1"/>
  <c r="DS118" i="1" s="1"/>
  <c r="DS119" i="1" s="1"/>
  <c r="DS120" i="1" s="1"/>
  <c r="DS121" i="1" s="1"/>
  <c r="DS122" i="1" s="1"/>
  <c r="DS123" i="1" s="1"/>
  <c r="DS124" i="1" s="1"/>
  <c r="DS125" i="1" s="1"/>
  <c r="DS126" i="1" s="1"/>
  <c r="DS127" i="1" s="1"/>
  <c r="DS128" i="1" s="1"/>
  <c r="DS129" i="1" s="1"/>
  <c r="DS130" i="1" s="1"/>
  <c r="DS131" i="1" s="1"/>
  <c r="DS132" i="1" s="1"/>
  <c r="DS133" i="1" s="1"/>
  <c r="DS134" i="1" s="1"/>
  <c r="DS135" i="1" s="1"/>
  <c r="DS136" i="1" s="1"/>
  <c r="DS137" i="1" s="1"/>
  <c r="DS138" i="1" s="1"/>
  <c r="DS139" i="1" s="1"/>
  <c r="DS140" i="1" s="1"/>
  <c r="DS141" i="1" s="1"/>
  <c r="DS142" i="1" s="1"/>
  <c r="DS143" i="1" s="1"/>
  <c r="DS144" i="1" s="1"/>
  <c r="DS145" i="1" s="1"/>
  <c r="DS146" i="1" s="1"/>
  <c r="DS147" i="1" s="1"/>
  <c r="DS148" i="1" s="1"/>
  <c r="DS149" i="1" s="1"/>
  <c r="DS150" i="1" s="1"/>
  <c r="DS151" i="1" s="1"/>
  <c r="DS152" i="1" s="1"/>
  <c r="DS153" i="1" s="1"/>
  <c r="DS154" i="1" s="1"/>
  <c r="DS155" i="1" s="1"/>
  <c r="DS156" i="1" s="1"/>
  <c r="DS157" i="1" s="1"/>
  <c r="DS158" i="1" s="1"/>
  <c r="DS159" i="1" s="1"/>
  <c r="DS160" i="1" s="1"/>
  <c r="DS161" i="1" s="1"/>
  <c r="DS162" i="1" s="1"/>
  <c r="DS163" i="1" s="1"/>
  <c r="DS164" i="1" s="1"/>
  <c r="DS165" i="1" s="1"/>
  <c r="DS166" i="1" s="1"/>
  <c r="DS167" i="1" s="1"/>
  <c r="DS168" i="1" s="1"/>
  <c r="DS169" i="1" s="1"/>
  <c r="DS170" i="1" s="1"/>
  <c r="DS171" i="1" s="1"/>
  <c r="DS172" i="1" s="1"/>
  <c r="DS173" i="1" s="1"/>
  <c r="DS174" i="1" s="1"/>
  <c r="DS175" i="1" s="1"/>
  <c r="DS176" i="1" s="1"/>
  <c r="DS177" i="1" s="1"/>
  <c r="DS178" i="1" s="1"/>
  <c r="DS179" i="1" s="1"/>
  <c r="DS180" i="1" s="1"/>
  <c r="DS181" i="1" s="1"/>
  <c r="DS182" i="1" s="1"/>
  <c r="DS183" i="1" s="1"/>
  <c r="DS184" i="1" s="1"/>
  <c r="DS185" i="1" s="1"/>
  <c r="DS186" i="1" s="1"/>
  <c r="DS187" i="1" s="1"/>
  <c r="DS188" i="1" s="1"/>
  <c r="DS189" i="1" s="1"/>
  <c r="DS190" i="1" s="1"/>
  <c r="DS191" i="1" s="1"/>
  <c r="DS192" i="1" s="1"/>
  <c r="DS193" i="1" s="1"/>
  <c r="DS194" i="1" s="1"/>
  <c r="DS195" i="1" s="1"/>
  <c r="DS196" i="1" s="1"/>
  <c r="DS197" i="1" s="1"/>
  <c r="DS198" i="1" s="1"/>
  <c r="DS199" i="1" s="1"/>
  <c r="DS200" i="1" s="1"/>
  <c r="DS201" i="1" s="1"/>
  <c r="DS202" i="1" s="1"/>
  <c r="DS203" i="1" s="1"/>
  <c r="DS204" i="1" s="1"/>
  <c r="DS205" i="1" s="1"/>
  <c r="DS206" i="1" s="1"/>
  <c r="DS207" i="1" s="1"/>
  <c r="DS208" i="1" s="1"/>
  <c r="DS209" i="1" s="1"/>
  <c r="DS210" i="1" s="1"/>
  <c r="DS211" i="1" s="1"/>
  <c r="DS212" i="1" s="1"/>
  <c r="DS213" i="1" s="1"/>
  <c r="DS214" i="1" s="1"/>
  <c r="DS215" i="1" s="1"/>
  <c r="DS216" i="1" s="1"/>
  <c r="DS217" i="1" s="1"/>
  <c r="DS218" i="1" s="1"/>
  <c r="DS219" i="1" s="1"/>
  <c r="DS220" i="1" s="1"/>
  <c r="DS221" i="1" s="1"/>
  <c r="DS222" i="1" s="1"/>
  <c r="DS223" i="1" s="1"/>
  <c r="DS224" i="1" s="1"/>
  <c r="DS225" i="1" s="1"/>
  <c r="DS226" i="1" s="1"/>
  <c r="DS227" i="1" s="1"/>
  <c r="DS228" i="1" s="1"/>
  <c r="DS229" i="1" s="1"/>
  <c r="DS230" i="1" s="1"/>
  <c r="DS231" i="1" s="1"/>
  <c r="DS232" i="1" s="1"/>
  <c r="DS233" i="1" s="1"/>
  <c r="DS234" i="1" s="1"/>
  <c r="DS235" i="1" s="1"/>
  <c r="DS236" i="1" s="1"/>
  <c r="DS237" i="1" s="1"/>
  <c r="DS238" i="1" s="1"/>
  <c r="DS239" i="1" s="1"/>
  <c r="DS240" i="1" s="1"/>
  <c r="DS241" i="1" s="1"/>
  <c r="DS242" i="1" s="1"/>
  <c r="DS243" i="1" s="1"/>
  <c r="DS244" i="1" s="1"/>
  <c r="DS245" i="1" s="1"/>
  <c r="DS246" i="1" s="1"/>
  <c r="DS247" i="1" s="1"/>
  <c r="DS248" i="1" s="1"/>
  <c r="DS249" i="1" s="1"/>
  <c r="DS250" i="1" s="1"/>
  <c r="DS251" i="1" s="1"/>
  <c r="DS252" i="1" s="1"/>
  <c r="DS253" i="1" s="1"/>
  <c r="DS254" i="1" s="1"/>
  <c r="DS255" i="1" s="1"/>
  <c r="DS256" i="1" s="1"/>
  <c r="DS257" i="1" s="1"/>
  <c r="DS258" i="1" s="1"/>
  <c r="DS259" i="1" s="1"/>
  <c r="DS260" i="1" s="1"/>
  <c r="DS261" i="1" s="1"/>
  <c r="DS262" i="1" s="1"/>
  <c r="DS263" i="1" s="1"/>
  <c r="DS264" i="1" s="1"/>
  <c r="DS265" i="1" s="1"/>
  <c r="DS266" i="1" s="1"/>
  <c r="DS267" i="1" s="1"/>
  <c r="DL28" i="1"/>
  <c r="DL29" i="1" s="1"/>
  <c r="DL30" i="1" s="1"/>
  <c r="DL31" i="1" s="1"/>
  <c r="DL32" i="1" s="1"/>
  <c r="DL33" i="1" s="1"/>
  <c r="DL34" i="1" s="1"/>
  <c r="DL35" i="1" s="1"/>
  <c r="DL36" i="1" s="1"/>
  <c r="DL37" i="1" s="1"/>
  <c r="DL38" i="1" s="1"/>
  <c r="DL39" i="1" s="1"/>
  <c r="DL40" i="1" s="1"/>
  <c r="DL41" i="1" s="1"/>
  <c r="DL42" i="1" s="1"/>
  <c r="DL43" i="1" s="1"/>
  <c r="DL44" i="1" s="1"/>
  <c r="DL45" i="1" s="1"/>
  <c r="DL46" i="1" s="1"/>
  <c r="DL47" i="1" s="1"/>
  <c r="DL48" i="1" s="1"/>
  <c r="DL49" i="1" s="1"/>
  <c r="DL50" i="1" s="1"/>
  <c r="DL51" i="1" s="1"/>
  <c r="DL52" i="1" s="1"/>
  <c r="DL53" i="1" s="1"/>
  <c r="DL54" i="1" s="1"/>
  <c r="DL55" i="1" s="1"/>
  <c r="DL56" i="1" s="1"/>
  <c r="DL57" i="1" s="1"/>
  <c r="DL58" i="1" s="1"/>
  <c r="DL59" i="1" s="1"/>
  <c r="DL60" i="1" s="1"/>
  <c r="DL61" i="1" s="1"/>
  <c r="DL62" i="1" s="1"/>
  <c r="DL63" i="1" s="1"/>
  <c r="DL64" i="1" s="1"/>
  <c r="DL65" i="1" s="1"/>
  <c r="DL66" i="1" s="1"/>
  <c r="DL67" i="1" s="1"/>
  <c r="DL68" i="1" s="1"/>
  <c r="DL69" i="1" s="1"/>
  <c r="DL70" i="1" s="1"/>
  <c r="DL71" i="1" s="1"/>
  <c r="DL72" i="1" s="1"/>
  <c r="DL73" i="1" s="1"/>
  <c r="DL74" i="1" s="1"/>
  <c r="DL75" i="1" s="1"/>
  <c r="DL76" i="1" s="1"/>
  <c r="DL77" i="1" s="1"/>
  <c r="DL78" i="1" s="1"/>
  <c r="DL79" i="1" s="1"/>
  <c r="DL80" i="1" s="1"/>
  <c r="DL81" i="1" s="1"/>
  <c r="DL82" i="1" s="1"/>
  <c r="DL83" i="1" s="1"/>
  <c r="DL84" i="1" s="1"/>
  <c r="DL85" i="1" s="1"/>
  <c r="DL86" i="1" s="1"/>
  <c r="DL87" i="1" s="1"/>
  <c r="DL88" i="1" s="1"/>
  <c r="DL89" i="1" s="1"/>
  <c r="DL90" i="1" s="1"/>
  <c r="DL91" i="1" s="1"/>
  <c r="DL92" i="1" s="1"/>
  <c r="DL93" i="1" s="1"/>
  <c r="DL94" i="1" s="1"/>
  <c r="DL95" i="1" s="1"/>
  <c r="DL96" i="1" s="1"/>
  <c r="DL97" i="1" s="1"/>
  <c r="DL98" i="1" s="1"/>
  <c r="DL99" i="1" s="1"/>
  <c r="DL100" i="1" s="1"/>
  <c r="DL101" i="1" s="1"/>
  <c r="DL102" i="1" s="1"/>
  <c r="DL103" i="1" s="1"/>
  <c r="DL104" i="1" s="1"/>
  <c r="DL105" i="1" s="1"/>
  <c r="DL106" i="1" s="1"/>
  <c r="DL107" i="1" s="1"/>
  <c r="DL108" i="1" s="1"/>
  <c r="DL109" i="1" s="1"/>
  <c r="DL110" i="1" s="1"/>
  <c r="DL111" i="1" s="1"/>
  <c r="DL112" i="1" s="1"/>
  <c r="DL113" i="1" s="1"/>
  <c r="DL114" i="1" s="1"/>
  <c r="DL115" i="1" s="1"/>
  <c r="DL116" i="1" s="1"/>
  <c r="DL117" i="1" s="1"/>
  <c r="DL118" i="1" s="1"/>
  <c r="DL119" i="1" s="1"/>
  <c r="DL120" i="1" s="1"/>
  <c r="DL121" i="1" s="1"/>
  <c r="DL122" i="1" s="1"/>
  <c r="DL123" i="1" s="1"/>
  <c r="DL124" i="1" s="1"/>
  <c r="DL125" i="1" s="1"/>
  <c r="DL126" i="1" s="1"/>
  <c r="DL127" i="1" s="1"/>
  <c r="DL128" i="1" s="1"/>
  <c r="DL129" i="1" s="1"/>
  <c r="DL130" i="1" s="1"/>
  <c r="DL131" i="1" s="1"/>
  <c r="DL132" i="1" s="1"/>
  <c r="DL133" i="1" s="1"/>
  <c r="DL134" i="1" s="1"/>
  <c r="DL135" i="1" s="1"/>
  <c r="DL136" i="1" s="1"/>
  <c r="DL137" i="1" s="1"/>
  <c r="DL138" i="1" s="1"/>
  <c r="DL139" i="1" s="1"/>
  <c r="DL140" i="1" s="1"/>
  <c r="DL141" i="1" s="1"/>
  <c r="DL142" i="1" s="1"/>
  <c r="DL143" i="1" s="1"/>
  <c r="DL144" i="1" s="1"/>
  <c r="DL145" i="1" s="1"/>
  <c r="DL146" i="1" s="1"/>
  <c r="DL147" i="1" s="1"/>
  <c r="DL148" i="1" s="1"/>
  <c r="DL149" i="1" s="1"/>
  <c r="DL150" i="1" s="1"/>
  <c r="DL151" i="1" s="1"/>
  <c r="DL152" i="1" s="1"/>
  <c r="DL153" i="1" s="1"/>
  <c r="DL154" i="1" s="1"/>
  <c r="DL155" i="1" s="1"/>
  <c r="DL156" i="1" s="1"/>
  <c r="DL157" i="1" s="1"/>
  <c r="DL158" i="1" s="1"/>
  <c r="DL159" i="1" s="1"/>
  <c r="DL160" i="1" s="1"/>
  <c r="DL161" i="1" s="1"/>
  <c r="DL162" i="1" s="1"/>
  <c r="DL163" i="1" s="1"/>
  <c r="DL164" i="1" s="1"/>
  <c r="DL165" i="1" s="1"/>
  <c r="DL166" i="1" s="1"/>
  <c r="DL167" i="1" s="1"/>
  <c r="DL168" i="1" s="1"/>
  <c r="DL169" i="1" s="1"/>
  <c r="DL170" i="1" s="1"/>
  <c r="DL171" i="1" s="1"/>
  <c r="DL172" i="1" s="1"/>
  <c r="DL173" i="1" s="1"/>
  <c r="DL174" i="1" s="1"/>
  <c r="DL175" i="1" s="1"/>
  <c r="DL176" i="1" s="1"/>
  <c r="DL177" i="1" s="1"/>
  <c r="DL178" i="1" s="1"/>
  <c r="DL179" i="1" s="1"/>
  <c r="DL180" i="1" s="1"/>
  <c r="DL181" i="1" s="1"/>
  <c r="DL182" i="1" s="1"/>
  <c r="DL183" i="1" s="1"/>
  <c r="DL184" i="1" s="1"/>
  <c r="DL185" i="1" s="1"/>
  <c r="DL186" i="1" s="1"/>
  <c r="DL187" i="1" s="1"/>
  <c r="DL188" i="1" s="1"/>
  <c r="DL189" i="1" s="1"/>
  <c r="DL190" i="1" s="1"/>
  <c r="DL191" i="1" s="1"/>
  <c r="DL192" i="1" s="1"/>
  <c r="DL193" i="1" s="1"/>
  <c r="DL194" i="1" s="1"/>
  <c r="DL195" i="1" s="1"/>
  <c r="DL196" i="1" s="1"/>
  <c r="DL197" i="1" s="1"/>
  <c r="DL198" i="1" s="1"/>
  <c r="DL199" i="1" s="1"/>
  <c r="DL200" i="1" s="1"/>
  <c r="DL201" i="1" s="1"/>
  <c r="DL202" i="1" s="1"/>
  <c r="DL203" i="1" s="1"/>
  <c r="DL204" i="1" s="1"/>
  <c r="DL205" i="1" s="1"/>
  <c r="DL206" i="1" s="1"/>
  <c r="DL207" i="1" s="1"/>
  <c r="DL208" i="1" s="1"/>
  <c r="DL209" i="1" s="1"/>
  <c r="DL210" i="1" s="1"/>
  <c r="DL211" i="1" s="1"/>
  <c r="DL212" i="1" s="1"/>
  <c r="DL213" i="1" s="1"/>
  <c r="DL214" i="1" s="1"/>
  <c r="DL215" i="1" s="1"/>
  <c r="DL216" i="1" s="1"/>
  <c r="DL217" i="1" s="1"/>
  <c r="DL218" i="1" s="1"/>
  <c r="DL219" i="1" s="1"/>
  <c r="DL220" i="1" s="1"/>
  <c r="DL221" i="1" s="1"/>
  <c r="DL222" i="1" s="1"/>
  <c r="DL223" i="1" s="1"/>
  <c r="DL224" i="1" s="1"/>
  <c r="DL225" i="1" s="1"/>
  <c r="DL226" i="1" s="1"/>
  <c r="DL227" i="1" s="1"/>
  <c r="DL228" i="1" s="1"/>
  <c r="DL229" i="1" s="1"/>
  <c r="DL230" i="1" s="1"/>
  <c r="DL231" i="1" s="1"/>
  <c r="DL232" i="1" s="1"/>
  <c r="DL233" i="1" s="1"/>
  <c r="DL234" i="1" s="1"/>
  <c r="DL235" i="1" s="1"/>
  <c r="DL236" i="1" s="1"/>
  <c r="DL237" i="1" s="1"/>
  <c r="DL238" i="1" s="1"/>
  <c r="DL239" i="1" s="1"/>
  <c r="DL240" i="1" s="1"/>
  <c r="DL241" i="1" s="1"/>
  <c r="DL242" i="1" s="1"/>
  <c r="DL243" i="1" s="1"/>
  <c r="DL244" i="1" s="1"/>
  <c r="DL245" i="1" s="1"/>
  <c r="DL246" i="1" s="1"/>
  <c r="DL247" i="1" s="1"/>
  <c r="DL248" i="1" s="1"/>
  <c r="DL249" i="1" s="1"/>
  <c r="DL250" i="1" s="1"/>
  <c r="DL251" i="1" s="1"/>
  <c r="DL252" i="1" s="1"/>
  <c r="DL253" i="1" s="1"/>
  <c r="DL254" i="1" s="1"/>
  <c r="DL255" i="1" s="1"/>
  <c r="DL256" i="1" s="1"/>
  <c r="DL257" i="1" s="1"/>
  <c r="DL258" i="1" s="1"/>
  <c r="DL259" i="1" s="1"/>
  <c r="DL260" i="1" s="1"/>
  <c r="DL261" i="1" s="1"/>
  <c r="DL262" i="1" s="1"/>
  <c r="DL263" i="1" s="1"/>
  <c r="DL264" i="1" s="1"/>
  <c r="DL265" i="1" s="1"/>
  <c r="DL266" i="1" s="1"/>
  <c r="DL267" i="1" s="1"/>
  <c r="DE28" i="1"/>
  <c r="DE29" i="1" s="1"/>
  <c r="DE30" i="1" s="1"/>
  <c r="DE31" i="1" s="1"/>
  <c r="DE32" i="1" s="1"/>
  <c r="DE33" i="1" s="1"/>
  <c r="DE34" i="1" s="1"/>
  <c r="DE35" i="1" s="1"/>
  <c r="DE36" i="1" s="1"/>
  <c r="DE37" i="1" s="1"/>
  <c r="DE38" i="1" s="1"/>
  <c r="DE39" i="1" s="1"/>
  <c r="DE40" i="1" s="1"/>
  <c r="DE41" i="1" s="1"/>
  <c r="DE42" i="1" s="1"/>
  <c r="DE43" i="1" s="1"/>
  <c r="DE44" i="1" s="1"/>
  <c r="DE45" i="1" s="1"/>
  <c r="DE46" i="1" s="1"/>
  <c r="DE47" i="1" s="1"/>
  <c r="DE48" i="1" s="1"/>
  <c r="DE49" i="1" s="1"/>
  <c r="DE50" i="1" s="1"/>
  <c r="DE51" i="1" s="1"/>
  <c r="DE52" i="1" s="1"/>
  <c r="DE53" i="1" s="1"/>
  <c r="DE54" i="1" s="1"/>
  <c r="DE55" i="1" s="1"/>
  <c r="DE56" i="1" s="1"/>
  <c r="DE57" i="1" s="1"/>
  <c r="DE58" i="1" s="1"/>
  <c r="DE59" i="1" s="1"/>
  <c r="DE60" i="1" s="1"/>
  <c r="DE61" i="1" s="1"/>
  <c r="DE62" i="1" s="1"/>
  <c r="DE63" i="1" s="1"/>
  <c r="DE64" i="1" s="1"/>
  <c r="DE65" i="1" s="1"/>
  <c r="DE66" i="1" s="1"/>
  <c r="DE67" i="1" s="1"/>
  <c r="DE68" i="1" s="1"/>
  <c r="DE69" i="1" s="1"/>
  <c r="DE70" i="1" s="1"/>
  <c r="DE71" i="1" s="1"/>
  <c r="DE72" i="1" s="1"/>
  <c r="DE73" i="1" s="1"/>
  <c r="DE74" i="1" s="1"/>
  <c r="DE75" i="1" s="1"/>
  <c r="DE76" i="1" s="1"/>
  <c r="DE77" i="1" s="1"/>
  <c r="DE78" i="1" s="1"/>
  <c r="DE79" i="1" s="1"/>
  <c r="DE80" i="1" s="1"/>
  <c r="DE81" i="1" s="1"/>
  <c r="DE82" i="1" s="1"/>
  <c r="DE83" i="1" s="1"/>
  <c r="DE84" i="1" s="1"/>
  <c r="DE85" i="1" s="1"/>
  <c r="DE86" i="1" s="1"/>
  <c r="DE87" i="1" s="1"/>
  <c r="DE88" i="1" s="1"/>
  <c r="DE89" i="1" s="1"/>
  <c r="DE90" i="1" s="1"/>
  <c r="DE91" i="1" s="1"/>
  <c r="DE92" i="1" s="1"/>
  <c r="DE93" i="1" s="1"/>
  <c r="DE94" i="1" s="1"/>
  <c r="DE95" i="1" s="1"/>
  <c r="DE96" i="1" s="1"/>
  <c r="DE97" i="1" s="1"/>
  <c r="DE98" i="1" s="1"/>
  <c r="DE99" i="1" s="1"/>
  <c r="DE100" i="1" s="1"/>
  <c r="DE101" i="1" s="1"/>
  <c r="DE102" i="1" s="1"/>
  <c r="DE103" i="1" s="1"/>
  <c r="DE104" i="1" s="1"/>
  <c r="DE105" i="1" s="1"/>
  <c r="DE106" i="1" s="1"/>
  <c r="DE107" i="1" s="1"/>
  <c r="DE108" i="1" s="1"/>
  <c r="DE109" i="1" s="1"/>
  <c r="DE110" i="1" s="1"/>
  <c r="DE111" i="1" s="1"/>
  <c r="DE112" i="1" s="1"/>
  <c r="DE113" i="1" s="1"/>
  <c r="DE114" i="1" s="1"/>
  <c r="DE115" i="1" s="1"/>
  <c r="DE116" i="1" s="1"/>
  <c r="DE117" i="1" s="1"/>
  <c r="DE118" i="1" s="1"/>
  <c r="DE119" i="1" s="1"/>
  <c r="DE120" i="1" s="1"/>
  <c r="DE121" i="1" s="1"/>
  <c r="DE122" i="1" s="1"/>
  <c r="DE123" i="1" s="1"/>
  <c r="DE124" i="1" s="1"/>
  <c r="DE125" i="1" s="1"/>
  <c r="DE126" i="1" s="1"/>
  <c r="DE127" i="1" s="1"/>
  <c r="DE128" i="1" s="1"/>
  <c r="DE129" i="1" s="1"/>
  <c r="DE130" i="1" s="1"/>
  <c r="DE131" i="1" s="1"/>
  <c r="DE132" i="1" s="1"/>
  <c r="DE133" i="1" s="1"/>
  <c r="DE134" i="1" s="1"/>
  <c r="DE135" i="1" s="1"/>
  <c r="DE136" i="1" s="1"/>
  <c r="DE137" i="1" s="1"/>
  <c r="DE138" i="1" s="1"/>
  <c r="DE139" i="1" s="1"/>
  <c r="DE140" i="1" s="1"/>
  <c r="DE141" i="1" s="1"/>
  <c r="DE142" i="1" s="1"/>
  <c r="DE143" i="1" s="1"/>
  <c r="DE144" i="1" s="1"/>
  <c r="DE145" i="1" s="1"/>
  <c r="DE146" i="1" s="1"/>
  <c r="DE147" i="1" s="1"/>
  <c r="DE148" i="1" s="1"/>
  <c r="DE149" i="1" s="1"/>
  <c r="DE150" i="1" s="1"/>
  <c r="DE151" i="1" s="1"/>
  <c r="DE152" i="1" s="1"/>
  <c r="DE153" i="1" s="1"/>
  <c r="DE154" i="1" s="1"/>
  <c r="DE155" i="1" s="1"/>
  <c r="DE156" i="1" s="1"/>
  <c r="DE157" i="1" s="1"/>
  <c r="DE158" i="1" s="1"/>
  <c r="DE159" i="1" s="1"/>
  <c r="DE160" i="1" s="1"/>
  <c r="DE161" i="1" s="1"/>
  <c r="DE162" i="1" s="1"/>
  <c r="DE163" i="1" s="1"/>
  <c r="DE164" i="1" s="1"/>
  <c r="DE165" i="1" s="1"/>
  <c r="DE166" i="1" s="1"/>
  <c r="DE167" i="1" s="1"/>
  <c r="DE168" i="1" s="1"/>
  <c r="DE169" i="1" s="1"/>
  <c r="DE170" i="1" s="1"/>
  <c r="DE171" i="1" s="1"/>
  <c r="DE172" i="1" s="1"/>
  <c r="DE173" i="1" s="1"/>
  <c r="DE174" i="1" s="1"/>
  <c r="DE175" i="1" s="1"/>
  <c r="DE176" i="1" s="1"/>
  <c r="DE177" i="1" s="1"/>
  <c r="DE178" i="1" s="1"/>
  <c r="DE179" i="1" s="1"/>
  <c r="DE180" i="1" s="1"/>
  <c r="DE181" i="1" s="1"/>
  <c r="DE182" i="1" s="1"/>
  <c r="DE183" i="1" s="1"/>
  <c r="DE184" i="1" s="1"/>
  <c r="DE185" i="1" s="1"/>
  <c r="DE186" i="1" s="1"/>
  <c r="DE187" i="1" s="1"/>
  <c r="DE188" i="1" s="1"/>
  <c r="DE189" i="1" s="1"/>
  <c r="DE190" i="1" s="1"/>
  <c r="DE191" i="1" s="1"/>
  <c r="DE192" i="1" s="1"/>
  <c r="DE193" i="1" s="1"/>
  <c r="DE194" i="1" s="1"/>
  <c r="DE195" i="1" s="1"/>
  <c r="DE196" i="1" s="1"/>
  <c r="DE197" i="1" s="1"/>
  <c r="DE198" i="1" s="1"/>
  <c r="DE199" i="1" s="1"/>
  <c r="DE200" i="1" s="1"/>
  <c r="DE201" i="1" s="1"/>
  <c r="DE202" i="1" s="1"/>
  <c r="DE203" i="1" s="1"/>
  <c r="DE204" i="1" s="1"/>
  <c r="DE205" i="1" s="1"/>
  <c r="DE206" i="1" s="1"/>
  <c r="DE207" i="1" s="1"/>
  <c r="DE208" i="1" s="1"/>
  <c r="DE209" i="1" s="1"/>
  <c r="DE210" i="1" s="1"/>
  <c r="DE211" i="1" s="1"/>
  <c r="DE212" i="1" s="1"/>
  <c r="DE213" i="1" s="1"/>
  <c r="DE214" i="1" s="1"/>
  <c r="DE215" i="1" s="1"/>
  <c r="DE216" i="1" s="1"/>
  <c r="DE217" i="1" s="1"/>
  <c r="DE218" i="1" s="1"/>
  <c r="DE219" i="1" s="1"/>
  <c r="DE220" i="1" s="1"/>
  <c r="DE221" i="1" s="1"/>
  <c r="DE222" i="1" s="1"/>
  <c r="DE223" i="1" s="1"/>
  <c r="DE224" i="1" s="1"/>
  <c r="DE225" i="1" s="1"/>
  <c r="DE226" i="1" s="1"/>
  <c r="DE227" i="1" s="1"/>
  <c r="DE228" i="1" s="1"/>
  <c r="DE229" i="1" s="1"/>
  <c r="DE230" i="1" s="1"/>
  <c r="DE231" i="1" s="1"/>
  <c r="DE232" i="1" s="1"/>
  <c r="DE233" i="1" s="1"/>
  <c r="DE234" i="1" s="1"/>
  <c r="DE235" i="1" s="1"/>
  <c r="DE236" i="1" s="1"/>
  <c r="DE237" i="1" s="1"/>
  <c r="DE238" i="1" s="1"/>
  <c r="DE239" i="1" s="1"/>
  <c r="DE240" i="1" s="1"/>
  <c r="DE241" i="1" s="1"/>
  <c r="DE242" i="1" s="1"/>
  <c r="DE243" i="1" s="1"/>
  <c r="DE244" i="1" s="1"/>
  <c r="DE245" i="1" s="1"/>
  <c r="DE246" i="1" s="1"/>
  <c r="DE247" i="1" s="1"/>
  <c r="DE248" i="1" s="1"/>
  <c r="DE249" i="1" s="1"/>
  <c r="DE250" i="1" s="1"/>
  <c r="DE251" i="1" s="1"/>
  <c r="DE252" i="1" s="1"/>
  <c r="DE253" i="1" s="1"/>
  <c r="DE254" i="1" s="1"/>
  <c r="DE255" i="1" s="1"/>
  <c r="DE256" i="1" s="1"/>
  <c r="DE257" i="1" s="1"/>
  <c r="DE258" i="1" s="1"/>
  <c r="DE259" i="1" s="1"/>
  <c r="DE260" i="1" s="1"/>
  <c r="DE261" i="1" s="1"/>
  <c r="DE262" i="1" s="1"/>
  <c r="DE263" i="1" s="1"/>
  <c r="DE264" i="1" s="1"/>
  <c r="DE265" i="1" s="1"/>
  <c r="DE266" i="1" s="1"/>
  <c r="DE267" i="1" s="1"/>
  <c r="CX28" i="1"/>
  <c r="CX29" i="1" s="1"/>
  <c r="CX30" i="1" s="1"/>
  <c r="CX31" i="1" s="1"/>
  <c r="CX32" i="1" s="1"/>
  <c r="CX33" i="1" s="1"/>
  <c r="CX34" i="1" s="1"/>
  <c r="CX35" i="1" s="1"/>
  <c r="CX36" i="1" s="1"/>
  <c r="CX37" i="1" s="1"/>
  <c r="CX38" i="1" s="1"/>
  <c r="CX39" i="1" s="1"/>
  <c r="CX40" i="1" s="1"/>
  <c r="CX41" i="1" s="1"/>
  <c r="CX42" i="1" s="1"/>
  <c r="CX43" i="1" s="1"/>
  <c r="CX44" i="1" s="1"/>
  <c r="CX45" i="1" s="1"/>
  <c r="CX46" i="1" s="1"/>
  <c r="CX47" i="1" s="1"/>
  <c r="CX48" i="1" s="1"/>
  <c r="CX49" i="1" s="1"/>
  <c r="CX50" i="1" s="1"/>
  <c r="CX51" i="1" s="1"/>
  <c r="CX52" i="1" s="1"/>
  <c r="CX53" i="1" s="1"/>
  <c r="CX54" i="1" s="1"/>
  <c r="CX55" i="1" s="1"/>
  <c r="CX56" i="1" s="1"/>
  <c r="CX57" i="1" s="1"/>
  <c r="CX58" i="1" s="1"/>
  <c r="CX59" i="1" s="1"/>
  <c r="CX60" i="1" s="1"/>
  <c r="CX61" i="1" s="1"/>
  <c r="CX62" i="1" s="1"/>
  <c r="CX63" i="1" s="1"/>
  <c r="CX64" i="1" s="1"/>
  <c r="CX65" i="1" s="1"/>
  <c r="CX66" i="1" s="1"/>
  <c r="CX67" i="1" s="1"/>
  <c r="CX68" i="1" s="1"/>
  <c r="CX69" i="1" s="1"/>
  <c r="CX70" i="1" s="1"/>
  <c r="CX71" i="1" s="1"/>
  <c r="CX72" i="1" s="1"/>
  <c r="CX73" i="1" s="1"/>
  <c r="CX74" i="1" s="1"/>
  <c r="CX75" i="1" s="1"/>
  <c r="CX76" i="1" s="1"/>
  <c r="CX77" i="1" s="1"/>
  <c r="CX78" i="1" s="1"/>
  <c r="CX79" i="1" s="1"/>
  <c r="CX80" i="1" s="1"/>
  <c r="CX81" i="1" s="1"/>
  <c r="CX82" i="1" s="1"/>
  <c r="CX83" i="1" s="1"/>
  <c r="CX84" i="1" s="1"/>
  <c r="CX85" i="1" s="1"/>
  <c r="CX86" i="1" s="1"/>
  <c r="CX87" i="1" s="1"/>
  <c r="CX88" i="1" s="1"/>
  <c r="CX89" i="1" s="1"/>
  <c r="CX90" i="1" s="1"/>
  <c r="CX91" i="1" s="1"/>
  <c r="CX92" i="1" s="1"/>
  <c r="CX93" i="1" s="1"/>
  <c r="CX94" i="1" s="1"/>
  <c r="CX95" i="1" s="1"/>
  <c r="CX96" i="1" s="1"/>
  <c r="CX97" i="1" s="1"/>
  <c r="CX98" i="1" s="1"/>
  <c r="CX99" i="1" s="1"/>
  <c r="CX100" i="1" s="1"/>
  <c r="CX101" i="1" s="1"/>
  <c r="CX102" i="1" s="1"/>
  <c r="CX103" i="1" s="1"/>
  <c r="CX104" i="1" s="1"/>
  <c r="CX105" i="1" s="1"/>
  <c r="CX106" i="1" s="1"/>
  <c r="CX107" i="1" s="1"/>
  <c r="CX108" i="1" s="1"/>
  <c r="CX109" i="1" s="1"/>
  <c r="CX110" i="1" s="1"/>
  <c r="CX111" i="1" s="1"/>
  <c r="CX112" i="1" s="1"/>
  <c r="CX113" i="1" s="1"/>
  <c r="CX114" i="1" s="1"/>
  <c r="CX115" i="1" s="1"/>
  <c r="CX116" i="1" s="1"/>
  <c r="CX117" i="1" s="1"/>
  <c r="CX118" i="1" s="1"/>
  <c r="CX119" i="1" s="1"/>
  <c r="CX120" i="1" s="1"/>
  <c r="CX121" i="1" s="1"/>
  <c r="CX122" i="1" s="1"/>
  <c r="CX123" i="1" s="1"/>
  <c r="CX124" i="1" s="1"/>
  <c r="CX125" i="1" s="1"/>
  <c r="CX126" i="1" s="1"/>
  <c r="CX127" i="1" s="1"/>
  <c r="CX128" i="1" s="1"/>
  <c r="CX129" i="1" s="1"/>
  <c r="CX130" i="1" s="1"/>
  <c r="CX131" i="1" s="1"/>
  <c r="CX132" i="1" s="1"/>
  <c r="CX133" i="1" s="1"/>
  <c r="CX134" i="1" s="1"/>
  <c r="CX135" i="1" s="1"/>
  <c r="CX136" i="1" s="1"/>
  <c r="CX137" i="1" s="1"/>
  <c r="CX138" i="1" s="1"/>
  <c r="CX139" i="1" s="1"/>
  <c r="CX140" i="1" s="1"/>
  <c r="CX141" i="1" s="1"/>
  <c r="CX142" i="1" s="1"/>
  <c r="CX143" i="1" s="1"/>
  <c r="CX144" i="1" s="1"/>
  <c r="CX145" i="1" s="1"/>
  <c r="CX146" i="1" s="1"/>
  <c r="CX147" i="1" s="1"/>
  <c r="CX148" i="1" s="1"/>
  <c r="CX149" i="1" s="1"/>
  <c r="CX150" i="1" s="1"/>
  <c r="CX151" i="1" s="1"/>
  <c r="CX152" i="1" s="1"/>
  <c r="CX153" i="1" s="1"/>
  <c r="CX154" i="1" s="1"/>
  <c r="CX155" i="1" s="1"/>
  <c r="CX156" i="1" s="1"/>
  <c r="CX157" i="1" s="1"/>
  <c r="CX158" i="1" s="1"/>
  <c r="CX159" i="1" s="1"/>
  <c r="CX160" i="1" s="1"/>
  <c r="CX161" i="1" s="1"/>
  <c r="CX162" i="1" s="1"/>
  <c r="CX163" i="1" s="1"/>
  <c r="CX164" i="1" s="1"/>
  <c r="CX165" i="1" s="1"/>
  <c r="CX166" i="1" s="1"/>
  <c r="CX167" i="1" s="1"/>
  <c r="CX168" i="1" s="1"/>
  <c r="CX169" i="1" s="1"/>
  <c r="CX170" i="1" s="1"/>
  <c r="CX171" i="1" s="1"/>
  <c r="CX172" i="1" s="1"/>
  <c r="CX173" i="1" s="1"/>
  <c r="CX174" i="1" s="1"/>
  <c r="CX175" i="1" s="1"/>
  <c r="CX176" i="1" s="1"/>
  <c r="CX177" i="1" s="1"/>
  <c r="CX178" i="1" s="1"/>
  <c r="CX179" i="1" s="1"/>
  <c r="CX180" i="1" s="1"/>
  <c r="CX181" i="1" s="1"/>
  <c r="CX182" i="1" s="1"/>
  <c r="CX183" i="1" s="1"/>
  <c r="CX184" i="1" s="1"/>
  <c r="CX185" i="1" s="1"/>
  <c r="CX186" i="1" s="1"/>
  <c r="CX187" i="1" s="1"/>
  <c r="CX188" i="1" s="1"/>
  <c r="CX189" i="1" s="1"/>
  <c r="CX190" i="1" s="1"/>
  <c r="CX191" i="1" s="1"/>
  <c r="CX192" i="1" s="1"/>
  <c r="CX193" i="1" s="1"/>
  <c r="CX194" i="1" s="1"/>
  <c r="CX195" i="1" s="1"/>
  <c r="CX196" i="1" s="1"/>
  <c r="CX197" i="1" s="1"/>
  <c r="CX198" i="1" s="1"/>
  <c r="CX199" i="1" s="1"/>
  <c r="CX200" i="1" s="1"/>
  <c r="CX201" i="1" s="1"/>
  <c r="CX202" i="1" s="1"/>
  <c r="CX203" i="1" s="1"/>
  <c r="CX204" i="1" s="1"/>
  <c r="CX205" i="1" s="1"/>
  <c r="CX206" i="1" s="1"/>
  <c r="CX207" i="1" s="1"/>
  <c r="CX208" i="1" s="1"/>
  <c r="CX209" i="1" s="1"/>
  <c r="CX210" i="1" s="1"/>
  <c r="CX211" i="1" s="1"/>
  <c r="CX212" i="1" s="1"/>
  <c r="CX213" i="1" s="1"/>
  <c r="CX214" i="1" s="1"/>
  <c r="CX215" i="1" s="1"/>
  <c r="CX216" i="1" s="1"/>
  <c r="CX217" i="1" s="1"/>
  <c r="CX218" i="1" s="1"/>
  <c r="CX219" i="1" s="1"/>
  <c r="CX220" i="1" s="1"/>
  <c r="CX221" i="1" s="1"/>
  <c r="CX222" i="1" s="1"/>
  <c r="CX223" i="1" s="1"/>
  <c r="CX224" i="1" s="1"/>
  <c r="CX225" i="1" s="1"/>
  <c r="CX226" i="1" s="1"/>
  <c r="CX227" i="1" s="1"/>
  <c r="CX228" i="1" s="1"/>
  <c r="CX229" i="1" s="1"/>
  <c r="CX230" i="1" s="1"/>
  <c r="CX231" i="1" s="1"/>
  <c r="CX232" i="1" s="1"/>
  <c r="CX233" i="1" s="1"/>
  <c r="CX234" i="1" s="1"/>
  <c r="CX235" i="1" s="1"/>
  <c r="CX236" i="1" s="1"/>
  <c r="CX237" i="1" s="1"/>
  <c r="CX238" i="1" s="1"/>
  <c r="CX239" i="1" s="1"/>
  <c r="CX240" i="1" s="1"/>
  <c r="CX241" i="1" s="1"/>
  <c r="CX242" i="1" s="1"/>
  <c r="CX243" i="1" s="1"/>
  <c r="CX244" i="1" s="1"/>
  <c r="CX245" i="1" s="1"/>
  <c r="CX246" i="1" s="1"/>
  <c r="CX247" i="1" s="1"/>
  <c r="CX248" i="1" s="1"/>
  <c r="CX249" i="1" s="1"/>
  <c r="CX250" i="1" s="1"/>
  <c r="CX251" i="1" s="1"/>
  <c r="CX252" i="1" s="1"/>
  <c r="CX253" i="1" s="1"/>
  <c r="CX254" i="1" s="1"/>
  <c r="CX255" i="1" s="1"/>
  <c r="CX256" i="1" s="1"/>
  <c r="CX257" i="1" s="1"/>
  <c r="CX258" i="1" s="1"/>
  <c r="CX259" i="1" s="1"/>
  <c r="CX260" i="1" s="1"/>
  <c r="CX261" i="1" s="1"/>
  <c r="CX262" i="1" s="1"/>
  <c r="CX263" i="1" s="1"/>
  <c r="CX264" i="1" s="1"/>
  <c r="CX265" i="1" s="1"/>
  <c r="CX266" i="1" s="1"/>
  <c r="CX267" i="1" s="1"/>
  <c r="CT28" i="1"/>
  <c r="CT29" i="1" s="1"/>
  <c r="CT30" i="1" s="1"/>
  <c r="CT31" i="1" s="1"/>
  <c r="CT32" i="1" s="1"/>
  <c r="CT33" i="1" s="1"/>
  <c r="CT34" i="1" s="1"/>
  <c r="CT35" i="1" s="1"/>
  <c r="CT36" i="1" s="1"/>
  <c r="CT37" i="1" s="1"/>
  <c r="CT38" i="1" s="1"/>
  <c r="CT39" i="1" s="1"/>
  <c r="CT40" i="1" s="1"/>
  <c r="CT41" i="1" s="1"/>
  <c r="CT42" i="1" s="1"/>
  <c r="CT43" i="1" s="1"/>
  <c r="CT44" i="1" s="1"/>
  <c r="CT45" i="1" s="1"/>
  <c r="CT46" i="1" s="1"/>
  <c r="CT47" i="1" s="1"/>
  <c r="CT48" i="1" s="1"/>
  <c r="CT49" i="1" s="1"/>
  <c r="CT50" i="1" s="1"/>
  <c r="CT51" i="1" s="1"/>
  <c r="CT52" i="1" s="1"/>
  <c r="CT53" i="1" s="1"/>
  <c r="CT54" i="1" s="1"/>
  <c r="CT55" i="1" s="1"/>
  <c r="CT56" i="1" s="1"/>
  <c r="CT57" i="1" s="1"/>
  <c r="CT58" i="1" s="1"/>
  <c r="CT59" i="1" s="1"/>
  <c r="CT60" i="1" s="1"/>
  <c r="CT61" i="1" s="1"/>
  <c r="CT62" i="1" s="1"/>
  <c r="CT63" i="1" s="1"/>
  <c r="CT64" i="1" s="1"/>
  <c r="CT65" i="1" s="1"/>
  <c r="CT66" i="1" s="1"/>
  <c r="CT67" i="1" s="1"/>
  <c r="CT68" i="1" s="1"/>
  <c r="CT69" i="1" s="1"/>
  <c r="CT70" i="1" s="1"/>
  <c r="CT71" i="1" s="1"/>
  <c r="CT72" i="1" s="1"/>
  <c r="CT73" i="1" s="1"/>
  <c r="CT74" i="1" s="1"/>
  <c r="CT75" i="1" s="1"/>
  <c r="CT76" i="1" s="1"/>
  <c r="CT77" i="1" s="1"/>
  <c r="CT78" i="1" s="1"/>
  <c r="CT79" i="1" s="1"/>
  <c r="CT80" i="1" s="1"/>
  <c r="CT81" i="1" s="1"/>
  <c r="CT82" i="1" s="1"/>
  <c r="CT83" i="1" s="1"/>
  <c r="CT84" i="1" s="1"/>
  <c r="CT85" i="1" s="1"/>
  <c r="CT86" i="1" s="1"/>
  <c r="CT87" i="1" s="1"/>
  <c r="CT88" i="1" s="1"/>
  <c r="CT89" i="1" s="1"/>
  <c r="CT90" i="1" s="1"/>
  <c r="CT91" i="1" s="1"/>
  <c r="CT92" i="1" s="1"/>
  <c r="CT93" i="1" s="1"/>
  <c r="CT94" i="1" s="1"/>
  <c r="CT95" i="1" s="1"/>
  <c r="CT96" i="1" s="1"/>
  <c r="CT97" i="1" s="1"/>
  <c r="CT98" i="1" s="1"/>
  <c r="CT99" i="1" s="1"/>
  <c r="CT100" i="1" s="1"/>
  <c r="CT101" i="1" s="1"/>
  <c r="CT102" i="1" s="1"/>
  <c r="CT103" i="1" s="1"/>
  <c r="CT104" i="1" s="1"/>
  <c r="CT105" i="1" s="1"/>
  <c r="CT106" i="1" s="1"/>
  <c r="CT107" i="1" s="1"/>
  <c r="CT108" i="1" s="1"/>
  <c r="CT109" i="1" s="1"/>
  <c r="CT110" i="1" s="1"/>
  <c r="CT111" i="1" s="1"/>
  <c r="CT112" i="1" s="1"/>
  <c r="CT113" i="1" s="1"/>
  <c r="CT114" i="1" s="1"/>
  <c r="CT115" i="1" s="1"/>
  <c r="CT116" i="1" s="1"/>
  <c r="CT117" i="1" s="1"/>
  <c r="CT118" i="1" s="1"/>
  <c r="CT119" i="1" s="1"/>
  <c r="CT120" i="1" s="1"/>
  <c r="CT121" i="1" s="1"/>
  <c r="CT122" i="1" s="1"/>
  <c r="CT123" i="1" s="1"/>
  <c r="CT124" i="1" s="1"/>
  <c r="CT125" i="1" s="1"/>
  <c r="CT126" i="1" s="1"/>
  <c r="CT127" i="1" s="1"/>
  <c r="CT128" i="1" s="1"/>
  <c r="CT129" i="1" s="1"/>
  <c r="CT130" i="1" s="1"/>
  <c r="CT131" i="1" s="1"/>
  <c r="CT132" i="1" s="1"/>
  <c r="CT133" i="1" s="1"/>
  <c r="CT134" i="1" s="1"/>
  <c r="CT135" i="1" s="1"/>
  <c r="CT136" i="1" s="1"/>
  <c r="CT137" i="1" s="1"/>
  <c r="CT138" i="1" s="1"/>
  <c r="CT139" i="1" s="1"/>
  <c r="CT140" i="1" s="1"/>
  <c r="CT141" i="1" s="1"/>
  <c r="CT142" i="1" s="1"/>
  <c r="CT143" i="1" s="1"/>
  <c r="CT144" i="1" s="1"/>
  <c r="CT145" i="1" s="1"/>
  <c r="CT146" i="1" s="1"/>
  <c r="CT147" i="1" s="1"/>
  <c r="CT148" i="1" s="1"/>
  <c r="CT149" i="1" s="1"/>
  <c r="CT150" i="1" s="1"/>
  <c r="CT151" i="1" s="1"/>
  <c r="CT152" i="1" s="1"/>
  <c r="CT153" i="1" s="1"/>
  <c r="CT154" i="1" s="1"/>
  <c r="CT155" i="1" s="1"/>
  <c r="CT156" i="1" s="1"/>
  <c r="CT157" i="1" s="1"/>
  <c r="CT158" i="1" s="1"/>
  <c r="CT159" i="1" s="1"/>
  <c r="CT160" i="1" s="1"/>
  <c r="CT161" i="1" s="1"/>
  <c r="CT162" i="1" s="1"/>
  <c r="CT163" i="1" s="1"/>
  <c r="CT164" i="1" s="1"/>
  <c r="CT165" i="1" s="1"/>
  <c r="CT166" i="1" s="1"/>
  <c r="CT167" i="1" s="1"/>
  <c r="CT168" i="1" s="1"/>
  <c r="CT169" i="1" s="1"/>
  <c r="CT170" i="1" s="1"/>
  <c r="CT171" i="1" s="1"/>
  <c r="CT172" i="1" s="1"/>
  <c r="CT173" i="1" s="1"/>
  <c r="CT174" i="1" s="1"/>
  <c r="CT175" i="1" s="1"/>
  <c r="CT176" i="1" s="1"/>
  <c r="CT177" i="1" s="1"/>
  <c r="CT178" i="1" s="1"/>
  <c r="CT179" i="1" s="1"/>
  <c r="CT180" i="1" s="1"/>
  <c r="CT181" i="1" s="1"/>
  <c r="CT182" i="1" s="1"/>
  <c r="CT183" i="1" s="1"/>
  <c r="CT184" i="1" s="1"/>
  <c r="CT185" i="1" s="1"/>
  <c r="CT186" i="1" s="1"/>
  <c r="CT187" i="1" s="1"/>
  <c r="CT188" i="1" s="1"/>
  <c r="CT189" i="1" s="1"/>
  <c r="CT190" i="1" s="1"/>
  <c r="CT191" i="1" s="1"/>
  <c r="CT192" i="1" s="1"/>
  <c r="CT193" i="1" s="1"/>
  <c r="CT194" i="1" s="1"/>
  <c r="CT195" i="1" s="1"/>
  <c r="CT196" i="1" s="1"/>
  <c r="CT197" i="1" s="1"/>
  <c r="CT198" i="1" s="1"/>
  <c r="CT199" i="1" s="1"/>
  <c r="CT200" i="1" s="1"/>
  <c r="CT201" i="1" s="1"/>
  <c r="CT202" i="1" s="1"/>
  <c r="CT203" i="1" s="1"/>
  <c r="CT204" i="1" s="1"/>
  <c r="CT205" i="1" s="1"/>
  <c r="CT206" i="1" s="1"/>
  <c r="CT207" i="1" s="1"/>
  <c r="CT208" i="1" s="1"/>
  <c r="CT209" i="1" s="1"/>
  <c r="CT210" i="1" s="1"/>
  <c r="CT211" i="1" s="1"/>
  <c r="CT212" i="1" s="1"/>
  <c r="CT213" i="1" s="1"/>
  <c r="CT214" i="1" s="1"/>
  <c r="CT215" i="1" s="1"/>
  <c r="CT216" i="1" s="1"/>
  <c r="CT217" i="1" s="1"/>
  <c r="CT218" i="1" s="1"/>
  <c r="CT219" i="1" s="1"/>
  <c r="CT220" i="1" s="1"/>
  <c r="CT221" i="1" s="1"/>
  <c r="CT222" i="1" s="1"/>
  <c r="CT223" i="1" s="1"/>
  <c r="CT224" i="1" s="1"/>
  <c r="CT225" i="1" s="1"/>
  <c r="CT226" i="1" s="1"/>
  <c r="CT227" i="1" s="1"/>
  <c r="CT228" i="1" s="1"/>
  <c r="CT229" i="1" s="1"/>
  <c r="CT230" i="1" s="1"/>
  <c r="CT231" i="1" s="1"/>
  <c r="CT232" i="1" s="1"/>
  <c r="CT233" i="1" s="1"/>
  <c r="CT234" i="1" s="1"/>
  <c r="CT235" i="1" s="1"/>
  <c r="CT236" i="1" s="1"/>
  <c r="CT237" i="1" s="1"/>
  <c r="CT238" i="1" s="1"/>
  <c r="CT239" i="1" s="1"/>
  <c r="CT240" i="1" s="1"/>
  <c r="CT241" i="1" s="1"/>
  <c r="CT242" i="1" s="1"/>
  <c r="CT243" i="1" s="1"/>
  <c r="CT244" i="1" s="1"/>
  <c r="CT245" i="1" s="1"/>
  <c r="CT246" i="1" s="1"/>
  <c r="CT247" i="1" s="1"/>
  <c r="CT248" i="1" s="1"/>
  <c r="CT249" i="1" s="1"/>
  <c r="CT250" i="1" s="1"/>
  <c r="CT251" i="1" s="1"/>
  <c r="CT252" i="1" s="1"/>
  <c r="CT253" i="1" s="1"/>
  <c r="CT254" i="1" s="1"/>
  <c r="CT255" i="1" s="1"/>
  <c r="CT256" i="1" s="1"/>
  <c r="CT257" i="1" s="1"/>
  <c r="CT258" i="1" s="1"/>
  <c r="CT259" i="1" s="1"/>
  <c r="CT260" i="1" s="1"/>
  <c r="CT261" i="1" s="1"/>
  <c r="CT262" i="1" s="1"/>
  <c r="CT263" i="1" s="1"/>
  <c r="CT264" i="1" s="1"/>
  <c r="CT265" i="1" s="1"/>
  <c r="CT266" i="1" s="1"/>
  <c r="CT267" i="1" s="1"/>
  <c r="BZ28" i="1"/>
  <c r="BZ29" i="1" s="1"/>
  <c r="BZ30" i="1" s="1"/>
  <c r="BZ31" i="1" s="1"/>
  <c r="BZ32" i="1" s="1"/>
  <c r="BZ33" i="1" s="1"/>
  <c r="BZ34" i="1" s="1"/>
  <c r="BZ35" i="1" s="1"/>
  <c r="BZ36" i="1" s="1"/>
  <c r="BZ37" i="1" s="1"/>
  <c r="BZ38" i="1" s="1"/>
  <c r="BZ39" i="1" s="1"/>
  <c r="BZ40" i="1" s="1"/>
  <c r="BZ41" i="1" s="1"/>
  <c r="BZ42" i="1" s="1"/>
  <c r="BZ43" i="1" s="1"/>
  <c r="BZ44" i="1" s="1"/>
  <c r="BZ45" i="1" s="1"/>
  <c r="BZ46" i="1" s="1"/>
  <c r="BZ47" i="1" s="1"/>
  <c r="BZ48" i="1" s="1"/>
  <c r="BZ49" i="1" s="1"/>
  <c r="BZ50" i="1" s="1"/>
  <c r="BZ51" i="1" s="1"/>
  <c r="BZ52" i="1" s="1"/>
  <c r="BZ53" i="1" s="1"/>
  <c r="BZ54" i="1" s="1"/>
  <c r="BZ55" i="1" s="1"/>
  <c r="BZ56" i="1" s="1"/>
  <c r="BZ57" i="1" s="1"/>
  <c r="BZ58" i="1" s="1"/>
  <c r="BZ59" i="1" s="1"/>
  <c r="BZ60" i="1" s="1"/>
  <c r="BZ61" i="1" s="1"/>
  <c r="BZ62" i="1" s="1"/>
  <c r="BZ63" i="1" s="1"/>
  <c r="BZ64" i="1" s="1"/>
  <c r="BZ65" i="1" s="1"/>
  <c r="BZ66" i="1" s="1"/>
  <c r="BZ67" i="1" s="1"/>
  <c r="BZ68" i="1" s="1"/>
  <c r="BZ69" i="1" s="1"/>
  <c r="BZ70" i="1" s="1"/>
  <c r="BZ71" i="1" s="1"/>
  <c r="BZ72" i="1" s="1"/>
  <c r="BZ73" i="1" s="1"/>
  <c r="BZ74" i="1" s="1"/>
  <c r="BZ75" i="1" s="1"/>
  <c r="BZ76" i="1" s="1"/>
  <c r="BZ77" i="1" s="1"/>
  <c r="BZ78" i="1" s="1"/>
  <c r="BZ79" i="1" s="1"/>
  <c r="BZ80" i="1" s="1"/>
  <c r="BZ81" i="1" s="1"/>
  <c r="BZ82" i="1" s="1"/>
  <c r="BZ83" i="1" s="1"/>
  <c r="BZ84" i="1" s="1"/>
  <c r="BZ85" i="1" s="1"/>
  <c r="BZ86" i="1" s="1"/>
  <c r="BZ87" i="1" s="1"/>
  <c r="BZ88" i="1" s="1"/>
  <c r="BZ89" i="1" s="1"/>
  <c r="BZ90" i="1" s="1"/>
  <c r="BZ91" i="1" s="1"/>
  <c r="BZ92" i="1" s="1"/>
  <c r="BZ93" i="1" s="1"/>
  <c r="BZ94" i="1" s="1"/>
  <c r="BZ95" i="1" s="1"/>
  <c r="BZ96" i="1" s="1"/>
  <c r="BZ97" i="1" s="1"/>
  <c r="BZ98" i="1" s="1"/>
  <c r="BZ99" i="1" s="1"/>
  <c r="BZ100" i="1" s="1"/>
  <c r="BZ101" i="1" s="1"/>
  <c r="BZ102" i="1" s="1"/>
  <c r="BZ103" i="1" s="1"/>
  <c r="BZ104" i="1" s="1"/>
  <c r="BZ105" i="1" s="1"/>
  <c r="BZ106" i="1" s="1"/>
  <c r="BZ107" i="1" s="1"/>
  <c r="BZ108" i="1" s="1"/>
  <c r="BZ109" i="1" s="1"/>
  <c r="BZ110" i="1" s="1"/>
  <c r="BZ111" i="1" s="1"/>
  <c r="BZ112" i="1" s="1"/>
  <c r="BZ113" i="1" s="1"/>
  <c r="BZ114" i="1" s="1"/>
  <c r="BZ115" i="1" s="1"/>
  <c r="BZ116" i="1" s="1"/>
  <c r="BZ117" i="1" s="1"/>
  <c r="BZ118" i="1" s="1"/>
  <c r="BZ119" i="1" s="1"/>
  <c r="BZ120" i="1" s="1"/>
  <c r="BZ121" i="1" s="1"/>
  <c r="BZ122" i="1" s="1"/>
  <c r="BZ123" i="1" s="1"/>
  <c r="BZ124" i="1" s="1"/>
  <c r="BZ125" i="1" s="1"/>
  <c r="BZ126" i="1" s="1"/>
  <c r="BZ127" i="1" s="1"/>
  <c r="BZ128" i="1" s="1"/>
  <c r="BZ129" i="1" s="1"/>
  <c r="BZ130" i="1" s="1"/>
  <c r="BZ131" i="1" s="1"/>
  <c r="BZ132" i="1" s="1"/>
  <c r="BZ133" i="1" s="1"/>
  <c r="BZ134" i="1" s="1"/>
  <c r="BZ135" i="1" s="1"/>
  <c r="BZ136" i="1" s="1"/>
  <c r="BZ137" i="1" s="1"/>
  <c r="BZ138" i="1" s="1"/>
  <c r="BZ139" i="1" s="1"/>
  <c r="BZ140" i="1" s="1"/>
  <c r="BZ141" i="1" s="1"/>
  <c r="BZ142" i="1" s="1"/>
  <c r="BZ143" i="1" s="1"/>
  <c r="BZ144" i="1" s="1"/>
  <c r="BZ145" i="1" s="1"/>
  <c r="BZ146" i="1" s="1"/>
  <c r="BZ147" i="1" s="1"/>
  <c r="BZ148" i="1" s="1"/>
  <c r="BZ149" i="1" s="1"/>
  <c r="BZ150" i="1" s="1"/>
  <c r="BZ151" i="1" s="1"/>
  <c r="BZ152" i="1" s="1"/>
  <c r="BZ153" i="1" s="1"/>
  <c r="BZ154" i="1" s="1"/>
  <c r="BZ155" i="1" s="1"/>
  <c r="BZ156" i="1" s="1"/>
  <c r="BZ157" i="1" s="1"/>
  <c r="BZ158" i="1" s="1"/>
  <c r="BZ159" i="1" s="1"/>
  <c r="BZ160" i="1" s="1"/>
  <c r="BZ161" i="1" s="1"/>
  <c r="BZ162" i="1" s="1"/>
  <c r="BZ163" i="1" s="1"/>
  <c r="BZ164" i="1" s="1"/>
  <c r="BZ165" i="1" s="1"/>
  <c r="BZ166" i="1" s="1"/>
  <c r="BZ167" i="1" s="1"/>
  <c r="BZ168" i="1" s="1"/>
  <c r="BZ169" i="1" s="1"/>
  <c r="BZ170" i="1" s="1"/>
  <c r="BZ171" i="1" s="1"/>
  <c r="BZ172" i="1" s="1"/>
  <c r="BZ173" i="1" s="1"/>
  <c r="BZ174" i="1" s="1"/>
  <c r="BZ175" i="1" s="1"/>
  <c r="BZ176" i="1" s="1"/>
  <c r="BZ177" i="1" s="1"/>
  <c r="BZ178" i="1" s="1"/>
  <c r="BZ179" i="1" s="1"/>
  <c r="BZ180" i="1" s="1"/>
  <c r="BZ181" i="1" s="1"/>
  <c r="BZ182" i="1" s="1"/>
  <c r="BZ183" i="1" s="1"/>
  <c r="BZ184" i="1" s="1"/>
  <c r="BZ185" i="1" s="1"/>
  <c r="BZ186" i="1" s="1"/>
  <c r="BZ187" i="1" s="1"/>
  <c r="BZ188" i="1" s="1"/>
  <c r="BZ189" i="1" s="1"/>
  <c r="BZ190" i="1" s="1"/>
  <c r="BZ191" i="1" s="1"/>
  <c r="BZ192" i="1" s="1"/>
  <c r="BZ193" i="1" s="1"/>
  <c r="BZ194" i="1" s="1"/>
  <c r="BZ195" i="1" s="1"/>
  <c r="BZ196" i="1" s="1"/>
  <c r="BZ197" i="1" s="1"/>
  <c r="BZ198" i="1" s="1"/>
  <c r="BZ199" i="1" s="1"/>
  <c r="BZ200" i="1" s="1"/>
  <c r="BZ201" i="1" s="1"/>
  <c r="BZ202" i="1" s="1"/>
  <c r="BZ203" i="1" s="1"/>
  <c r="BZ204" i="1" s="1"/>
  <c r="BZ205" i="1" s="1"/>
  <c r="BZ206" i="1" s="1"/>
  <c r="BZ207" i="1" s="1"/>
  <c r="BZ208" i="1" s="1"/>
  <c r="BZ209" i="1" s="1"/>
  <c r="BZ210" i="1" s="1"/>
  <c r="BZ211" i="1" s="1"/>
  <c r="BZ212" i="1" s="1"/>
  <c r="BZ213" i="1" s="1"/>
  <c r="BZ214" i="1" s="1"/>
  <c r="BZ215" i="1" s="1"/>
  <c r="BZ216" i="1" s="1"/>
  <c r="BZ217" i="1" s="1"/>
  <c r="BZ218" i="1" s="1"/>
  <c r="BZ219" i="1" s="1"/>
  <c r="BZ220" i="1" s="1"/>
  <c r="BZ221" i="1" s="1"/>
  <c r="BZ222" i="1" s="1"/>
  <c r="BZ223" i="1" s="1"/>
  <c r="BZ224" i="1" s="1"/>
  <c r="BZ225" i="1" s="1"/>
  <c r="BZ226" i="1" s="1"/>
  <c r="BZ227" i="1" s="1"/>
  <c r="BZ228" i="1" s="1"/>
  <c r="BZ229" i="1" s="1"/>
  <c r="BZ230" i="1" s="1"/>
  <c r="BZ231" i="1" s="1"/>
  <c r="BZ232" i="1" s="1"/>
  <c r="BZ233" i="1" s="1"/>
  <c r="BZ234" i="1" s="1"/>
  <c r="BZ235" i="1" s="1"/>
  <c r="BZ236" i="1" s="1"/>
  <c r="BZ237" i="1" s="1"/>
  <c r="BZ238" i="1" s="1"/>
  <c r="BZ239" i="1" s="1"/>
  <c r="BZ240" i="1" s="1"/>
  <c r="BZ241" i="1" s="1"/>
  <c r="BZ242" i="1" s="1"/>
  <c r="BZ243" i="1" s="1"/>
  <c r="BZ244" i="1" s="1"/>
  <c r="BZ245" i="1" s="1"/>
  <c r="BZ246" i="1" s="1"/>
  <c r="BZ247" i="1" s="1"/>
  <c r="BZ248" i="1" s="1"/>
  <c r="BZ249" i="1" s="1"/>
  <c r="BZ250" i="1" s="1"/>
  <c r="BZ251" i="1" s="1"/>
  <c r="BZ252" i="1" s="1"/>
  <c r="BZ253" i="1" s="1"/>
  <c r="BZ254" i="1" s="1"/>
  <c r="BZ255" i="1" s="1"/>
  <c r="BZ256" i="1" s="1"/>
  <c r="BZ257" i="1" s="1"/>
  <c r="BZ258" i="1" s="1"/>
  <c r="BZ259" i="1" s="1"/>
  <c r="BZ260" i="1" s="1"/>
  <c r="BZ261" i="1" s="1"/>
  <c r="BZ262" i="1" s="1"/>
  <c r="BZ263" i="1" s="1"/>
  <c r="BZ264" i="1" s="1"/>
  <c r="BZ265" i="1" s="1"/>
  <c r="BZ266" i="1" s="1"/>
  <c r="BZ267" i="1" s="1"/>
  <c r="BQ28" i="1"/>
  <c r="BQ29" i="1" s="1"/>
  <c r="BQ30" i="1" s="1"/>
  <c r="BQ31" i="1" s="1"/>
  <c r="BQ32" i="1" s="1"/>
  <c r="BQ33" i="1" s="1"/>
  <c r="BQ34" i="1" s="1"/>
  <c r="BQ35" i="1" s="1"/>
  <c r="BQ36" i="1" s="1"/>
  <c r="BQ37" i="1" s="1"/>
  <c r="BQ38" i="1" s="1"/>
  <c r="BQ39" i="1" s="1"/>
  <c r="BQ40" i="1" s="1"/>
  <c r="BQ41" i="1" s="1"/>
  <c r="BQ42" i="1" s="1"/>
  <c r="BQ43" i="1" s="1"/>
  <c r="BQ44" i="1" s="1"/>
  <c r="BQ45" i="1" s="1"/>
  <c r="BQ46" i="1" s="1"/>
  <c r="BQ47" i="1" s="1"/>
  <c r="BQ48" i="1" s="1"/>
  <c r="BQ49" i="1" s="1"/>
  <c r="BQ50" i="1" s="1"/>
  <c r="BQ51" i="1" s="1"/>
  <c r="BQ52" i="1" s="1"/>
  <c r="BQ53" i="1" s="1"/>
  <c r="BQ54" i="1" s="1"/>
  <c r="BQ55" i="1" s="1"/>
  <c r="BQ56" i="1" s="1"/>
  <c r="BQ57" i="1" s="1"/>
  <c r="BQ58" i="1" s="1"/>
  <c r="BQ59" i="1" s="1"/>
  <c r="BQ60" i="1" s="1"/>
  <c r="BQ61" i="1" s="1"/>
  <c r="BQ62" i="1" s="1"/>
  <c r="BQ63" i="1" s="1"/>
  <c r="BQ64" i="1" s="1"/>
  <c r="BQ65" i="1" s="1"/>
  <c r="BQ66" i="1" s="1"/>
  <c r="BQ67" i="1" s="1"/>
  <c r="BQ68" i="1" s="1"/>
  <c r="BQ69" i="1" s="1"/>
  <c r="BQ70" i="1" s="1"/>
  <c r="BQ71" i="1" s="1"/>
  <c r="BQ72" i="1" s="1"/>
  <c r="BQ73" i="1" s="1"/>
  <c r="BQ74" i="1" s="1"/>
  <c r="BQ75" i="1" s="1"/>
  <c r="BQ76" i="1" s="1"/>
  <c r="BQ77" i="1" s="1"/>
  <c r="BQ78" i="1" s="1"/>
  <c r="BQ79" i="1" s="1"/>
  <c r="BQ80" i="1" s="1"/>
  <c r="BQ81" i="1" s="1"/>
  <c r="BQ82" i="1" s="1"/>
  <c r="BQ83" i="1" s="1"/>
  <c r="BQ84" i="1" s="1"/>
  <c r="BQ85" i="1" s="1"/>
  <c r="BQ86" i="1" s="1"/>
  <c r="BQ87" i="1" s="1"/>
  <c r="BQ88" i="1" s="1"/>
  <c r="BQ89" i="1" s="1"/>
  <c r="BQ90" i="1" s="1"/>
  <c r="BQ91" i="1" s="1"/>
  <c r="BQ92" i="1" s="1"/>
  <c r="BQ93" i="1" s="1"/>
  <c r="BQ94" i="1" s="1"/>
  <c r="BQ95" i="1" s="1"/>
  <c r="BQ96" i="1" s="1"/>
  <c r="BQ97" i="1" s="1"/>
  <c r="BQ98" i="1" s="1"/>
  <c r="BQ99" i="1" s="1"/>
  <c r="BQ100" i="1" s="1"/>
  <c r="BQ101" i="1" s="1"/>
  <c r="BQ102" i="1" s="1"/>
  <c r="BQ103" i="1" s="1"/>
  <c r="BQ104" i="1" s="1"/>
  <c r="BQ105" i="1" s="1"/>
  <c r="BQ106" i="1" s="1"/>
  <c r="BQ107" i="1" s="1"/>
  <c r="BQ108" i="1" s="1"/>
  <c r="BQ109" i="1" s="1"/>
  <c r="BQ110" i="1" s="1"/>
  <c r="BQ111" i="1" s="1"/>
  <c r="BQ112" i="1" s="1"/>
  <c r="BQ113" i="1" s="1"/>
  <c r="BQ114" i="1" s="1"/>
  <c r="BQ115" i="1" s="1"/>
  <c r="BQ116" i="1" s="1"/>
  <c r="BQ117" i="1" s="1"/>
  <c r="BQ118" i="1" s="1"/>
  <c r="BQ119" i="1" s="1"/>
  <c r="BQ120" i="1" s="1"/>
  <c r="BQ121" i="1" s="1"/>
  <c r="BQ122" i="1" s="1"/>
  <c r="BQ123" i="1" s="1"/>
  <c r="BQ124" i="1" s="1"/>
  <c r="BQ125" i="1" s="1"/>
  <c r="BQ126" i="1" s="1"/>
  <c r="BQ127" i="1" s="1"/>
  <c r="BQ128" i="1" s="1"/>
  <c r="BQ129" i="1" s="1"/>
  <c r="BQ130" i="1" s="1"/>
  <c r="BQ131" i="1" s="1"/>
  <c r="BQ132" i="1" s="1"/>
  <c r="BQ133" i="1" s="1"/>
  <c r="BQ134" i="1" s="1"/>
  <c r="BQ135" i="1" s="1"/>
  <c r="BQ136" i="1" s="1"/>
  <c r="BQ137" i="1" s="1"/>
  <c r="BQ138" i="1" s="1"/>
  <c r="BQ139" i="1" s="1"/>
  <c r="BQ140" i="1" s="1"/>
  <c r="BQ141" i="1" s="1"/>
  <c r="BQ142" i="1" s="1"/>
  <c r="BQ143" i="1" s="1"/>
  <c r="BQ144" i="1" s="1"/>
  <c r="BQ145" i="1" s="1"/>
  <c r="BQ146" i="1" s="1"/>
  <c r="BQ147" i="1" s="1"/>
  <c r="BQ148" i="1" s="1"/>
  <c r="BQ149" i="1" s="1"/>
  <c r="BQ150" i="1" s="1"/>
  <c r="BQ151" i="1" s="1"/>
  <c r="BQ152" i="1" s="1"/>
  <c r="BQ153" i="1" s="1"/>
  <c r="BQ154" i="1" s="1"/>
  <c r="BQ155" i="1" s="1"/>
  <c r="BQ156" i="1" s="1"/>
  <c r="BQ157" i="1" s="1"/>
  <c r="BQ158" i="1" s="1"/>
  <c r="BQ159" i="1" s="1"/>
  <c r="BQ160" i="1" s="1"/>
  <c r="BQ161" i="1" s="1"/>
  <c r="BQ162" i="1" s="1"/>
  <c r="BQ163" i="1" s="1"/>
  <c r="BQ164" i="1" s="1"/>
  <c r="BQ165" i="1" s="1"/>
  <c r="BQ166" i="1" s="1"/>
  <c r="BQ167" i="1" s="1"/>
  <c r="BQ168" i="1" s="1"/>
  <c r="BQ169" i="1" s="1"/>
  <c r="BQ170" i="1" s="1"/>
  <c r="BQ171" i="1" s="1"/>
  <c r="BQ172" i="1" s="1"/>
  <c r="BQ173" i="1" s="1"/>
  <c r="BQ174" i="1" s="1"/>
  <c r="BQ175" i="1" s="1"/>
  <c r="BQ176" i="1" s="1"/>
  <c r="BQ177" i="1" s="1"/>
  <c r="BQ178" i="1" s="1"/>
  <c r="BQ179" i="1" s="1"/>
  <c r="BQ180" i="1" s="1"/>
  <c r="BQ181" i="1" s="1"/>
  <c r="BQ182" i="1" s="1"/>
  <c r="BQ183" i="1" s="1"/>
  <c r="BQ184" i="1" s="1"/>
  <c r="BQ185" i="1" s="1"/>
  <c r="BQ186" i="1" s="1"/>
  <c r="BQ187" i="1" s="1"/>
  <c r="BQ188" i="1" s="1"/>
  <c r="BQ189" i="1" s="1"/>
  <c r="BQ190" i="1" s="1"/>
  <c r="BQ191" i="1" s="1"/>
  <c r="BQ192" i="1" s="1"/>
  <c r="BQ193" i="1" s="1"/>
  <c r="BQ194" i="1" s="1"/>
  <c r="BQ195" i="1" s="1"/>
  <c r="BQ196" i="1" s="1"/>
  <c r="BQ197" i="1" s="1"/>
  <c r="BQ198" i="1" s="1"/>
  <c r="BQ199" i="1" s="1"/>
  <c r="BQ200" i="1" s="1"/>
  <c r="BQ201" i="1" s="1"/>
  <c r="BQ202" i="1" s="1"/>
  <c r="BQ203" i="1" s="1"/>
  <c r="BQ204" i="1" s="1"/>
  <c r="BQ205" i="1" s="1"/>
  <c r="BQ206" i="1" s="1"/>
  <c r="BQ207" i="1" s="1"/>
  <c r="BQ208" i="1" s="1"/>
  <c r="BQ209" i="1" s="1"/>
  <c r="BQ210" i="1" s="1"/>
  <c r="BQ211" i="1" s="1"/>
  <c r="BQ212" i="1" s="1"/>
  <c r="BQ213" i="1" s="1"/>
  <c r="BQ214" i="1" s="1"/>
  <c r="BQ215" i="1" s="1"/>
  <c r="BQ216" i="1" s="1"/>
  <c r="BQ217" i="1" s="1"/>
  <c r="BQ218" i="1" s="1"/>
  <c r="BQ219" i="1" s="1"/>
  <c r="BQ220" i="1" s="1"/>
  <c r="BQ221" i="1" s="1"/>
  <c r="BQ222" i="1" s="1"/>
  <c r="BQ223" i="1" s="1"/>
  <c r="BQ224" i="1" s="1"/>
  <c r="BQ225" i="1" s="1"/>
  <c r="BQ226" i="1" s="1"/>
  <c r="BQ227" i="1" s="1"/>
  <c r="BQ228" i="1" s="1"/>
  <c r="BQ229" i="1" s="1"/>
  <c r="BQ230" i="1" s="1"/>
  <c r="BQ231" i="1" s="1"/>
  <c r="BQ232" i="1" s="1"/>
  <c r="BQ233" i="1" s="1"/>
  <c r="BQ234" i="1" s="1"/>
  <c r="BQ235" i="1" s="1"/>
  <c r="BQ236" i="1" s="1"/>
  <c r="BQ237" i="1" s="1"/>
  <c r="BQ238" i="1" s="1"/>
  <c r="BQ239" i="1" s="1"/>
  <c r="BQ240" i="1" s="1"/>
  <c r="BQ241" i="1" s="1"/>
  <c r="BQ242" i="1" s="1"/>
  <c r="BQ243" i="1" s="1"/>
  <c r="BQ244" i="1" s="1"/>
  <c r="BQ245" i="1" s="1"/>
  <c r="BQ246" i="1" s="1"/>
  <c r="BQ247" i="1" s="1"/>
  <c r="BQ248" i="1" s="1"/>
  <c r="BQ249" i="1" s="1"/>
  <c r="BQ250" i="1" s="1"/>
  <c r="BQ251" i="1" s="1"/>
  <c r="BQ252" i="1" s="1"/>
  <c r="BQ253" i="1" s="1"/>
  <c r="BQ254" i="1" s="1"/>
  <c r="BQ255" i="1" s="1"/>
  <c r="BQ256" i="1" s="1"/>
  <c r="BQ257" i="1" s="1"/>
  <c r="BQ258" i="1" s="1"/>
  <c r="BQ259" i="1" s="1"/>
  <c r="BQ260" i="1" s="1"/>
  <c r="BQ261" i="1" s="1"/>
  <c r="BQ262" i="1" s="1"/>
  <c r="BQ263" i="1" s="1"/>
  <c r="BQ264" i="1" s="1"/>
  <c r="BQ265" i="1" s="1"/>
  <c r="BQ266" i="1" s="1"/>
  <c r="BQ267" i="1" s="1"/>
  <c r="BJ28" i="1"/>
  <c r="BC28" i="1"/>
  <c r="BC29" i="1" s="1"/>
  <c r="BC30" i="1" s="1"/>
  <c r="BC31" i="1" s="1"/>
  <c r="BC32" i="1" s="1"/>
  <c r="BC33" i="1" s="1"/>
  <c r="BC34" i="1" s="1"/>
  <c r="BC35" i="1" s="1"/>
  <c r="BC36" i="1" s="1"/>
  <c r="BC37" i="1" s="1"/>
  <c r="BC38" i="1" s="1"/>
  <c r="BC39" i="1" s="1"/>
  <c r="BC40" i="1" s="1"/>
  <c r="BC41" i="1" s="1"/>
  <c r="BC42" i="1" s="1"/>
  <c r="BC43" i="1" s="1"/>
  <c r="BC44" i="1" s="1"/>
  <c r="BC45" i="1" s="1"/>
  <c r="BC46" i="1" s="1"/>
  <c r="BC47" i="1" s="1"/>
  <c r="BC48" i="1" s="1"/>
  <c r="BC49" i="1" s="1"/>
  <c r="BC50" i="1" s="1"/>
  <c r="BC51" i="1" s="1"/>
  <c r="BC52" i="1" s="1"/>
  <c r="BC53" i="1" s="1"/>
  <c r="BC54" i="1" s="1"/>
  <c r="BC55" i="1" s="1"/>
  <c r="BC56" i="1" s="1"/>
  <c r="BC57" i="1" s="1"/>
  <c r="BC58" i="1" s="1"/>
  <c r="BC59" i="1" s="1"/>
  <c r="BC60" i="1" s="1"/>
  <c r="BC61" i="1" s="1"/>
  <c r="BC62" i="1" s="1"/>
  <c r="BC63" i="1" s="1"/>
  <c r="BC64" i="1" s="1"/>
  <c r="BC65" i="1" s="1"/>
  <c r="BC66" i="1" s="1"/>
  <c r="BC67" i="1" s="1"/>
  <c r="BC68" i="1" s="1"/>
  <c r="BC69" i="1" s="1"/>
  <c r="BC70" i="1" s="1"/>
  <c r="BC71" i="1" s="1"/>
  <c r="BC72" i="1" s="1"/>
  <c r="BC73" i="1" s="1"/>
  <c r="BC74" i="1" s="1"/>
  <c r="BC75" i="1" s="1"/>
  <c r="BC76" i="1" s="1"/>
  <c r="BC77" i="1" s="1"/>
  <c r="BC78" i="1" s="1"/>
  <c r="BC79" i="1" s="1"/>
  <c r="BC80" i="1" s="1"/>
  <c r="BC81" i="1" s="1"/>
  <c r="BC82" i="1" s="1"/>
  <c r="BC83" i="1" s="1"/>
  <c r="BC84" i="1" s="1"/>
  <c r="BC85" i="1" s="1"/>
  <c r="BC86" i="1" s="1"/>
  <c r="BC87" i="1" s="1"/>
  <c r="BC88" i="1" s="1"/>
  <c r="BC89" i="1" s="1"/>
  <c r="BC90" i="1" s="1"/>
  <c r="BC91" i="1" s="1"/>
  <c r="BC92" i="1" s="1"/>
  <c r="BC93" i="1" s="1"/>
  <c r="BC94" i="1" s="1"/>
  <c r="BC95" i="1" s="1"/>
  <c r="BC96" i="1" s="1"/>
  <c r="BC97" i="1" s="1"/>
  <c r="BC98" i="1" s="1"/>
  <c r="BC99" i="1" s="1"/>
  <c r="BC100" i="1" s="1"/>
  <c r="BC101" i="1" s="1"/>
  <c r="BC102" i="1" s="1"/>
  <c r="BC103" i="1" s="1"/>
  <c r="BC104" i="1" s="1"/>
  <c r="BC105" i="1" s="1"/>
  <c r="BC106" i="1" s="1"/>
  <c r="BC107" i="1" s="1"/>
  <c r="BC108" i="1" s="1"/>
  <c r="BC109" i="1" s="1"/>
  <c r="BC110" i="1" s="1"/>
  <c r="BC111" i="1" s="1"/>
  <c r="BC112" i="1" s="1"/>
  <c r="BC113" i="1" s="1"/>
  <c r="BC114" i="1" s="1"/>
  <c r="BC115" i="1" s="1"/>
  <c r="BC116" i="1" s="1"/>
  <c r="BC117" i="1" s="1"/>
  <c r="BC118" i="1" s="1"/>
  <c r="BC119" i="1" s="1"/>
  <c r="BC120" i="1" s="1"/>
  <c r="BC121" i="1" s="1"/>
  <c r="BC122" i="1" s="1"/>
  <c r="BC123" i="1" s="1"/>
  <c r="BC124" i="1" s="1"/>
  <c r="BC125" i="1" s="1"/>
  <c r="BC126" i="1" s="1"/>
  <c r="BC127" i="1" s="1"/>
  <c r="BC128" i="1" s="1"/>
  <c r="BC129" i="1" s="1"/>
  <c r="BC130" i="1" s="1"/>
  <c r="BC131" i="1" s="1"/>
  <c r="BC132" i="1" s="1"/>
  <c r="BC133" i="1" s="1"/>
  <c r="BC134" i="1" s="1"/>
  <c r="BC135" i="1" s="1"/>
  <c r="BC136" i="1" s="1"/>
  <c r="BC137" i="1" s="1"/>
  <c r="BC138" i="1" s="1"/>
  <c r="BC139" i="1" s="1"/>
  <c r="BC140" i="1" s="1"/>
  <c r="BC141" i="1" s="1"/>
  <c r="BC142" i="1" s="1"/>
  <c r="BC143" i="1" s="1"/>
  <c r="BC144" i="1" s="1"/>
  <c r="BC145" i="1" s="1"/>
  <c r="BC146" i="1" s="1"/>
  <c r="BC147" i="1" s="1"/>
  <c r="BC148" i="1" s="1"/>
  <c r="BC149" i="1" s="1"/>
  <c r="BC150" i="1" s="1"/>
  <c r="BC151" i="1" s="1"/>
  <c r="BC152" i="1" s="1"/>
  <c r="BC153" i="1" s="1"/>
  <c r="BC154" i="1" s="1"/>
  <c r="BC155" i="1" s="1"/>
  <c r="BC156" i="1" s="1"/>
  <c r="BC157" i="1" s="1"/>
  <c r="BC158" i="1" s="1"/>
  <c r="BC159" i="1" s="1"/>
  <c r="BC160" i="1" s="1"/>
  <c r="BC161" i="1" s="1"/>
  <c r="BC162" i="1" s="1"/>
  <c r="BC163" i="1" s="1"/>
  <c r="BC164" i="1" s="1"/>
  <c r="BC165" i="1" s="1"/>
  <c r="BC166" i="1" s="1"/>
  <c r="BC167" i="1" s="1"/>
  <c r="BC168" i="1" s="1"/>
  <c r="BC169" i="1" s="1"/>
  <c r="BC170" i="1" s="1"/>
  <c r="BC171" i="1" s="1"/>
  <c r="BC172" i="1" s="1"/>
  <c r="BC173" i="1" s="1"/>
  <c r="BC174" i="1" s="1"/>
  <c r="BC175" i="1" s="1"/>
  <c r="BC176" i="1" s="1"/>
  <c r="BC177" i="1" s="1"/>
  <c r="BC178" i="1" s="1"/>
  <c r="BC179" i="1" s="1"/>
  <c r="BC180" i="1" s="1"/>
  <c r="BC181" i="1" s="1"/>
  <c r="BC182" i="1" s="1"/>
  <c r="BC183" i="1" s="1"/>
  <c r="BC184" i="1" s="1"/>
  <c r="BC185" i="1" s="1"/>
  <c r="BC186" i="1" s="1"/>
  <c r="BC187" i="1" s="1"/>
  <c r="BC188" i="1" s="1"/>
  <c r="BC189" i="1" s="1"/>
  <c r="BC190" i="1" s="1"/>
  <c r="BC191" i="1" s="1"/>
  <c r="BC192" i="1" s="1"/>
  <c r="BC193" i="1" s="1"/>
  <c r="BC194" i="1" s="1"/>
  <c r="BC195" i="1" s="1"/>
  <c r="BC196" i="1" s="1"/>
  <c r="BC197" i="1" s="1"/>
  <c r="BC198" i="1" s="1"/>
  <c r="BC199" i="1" s="1"/>
  <c r="BC200" i="1" s="1"/>
  <c r="BC201" i="1" s="1"/>
  <c r="BC202" i="1" s="1"/>
  <c r="BC203" i="1" s="1"/>
  <c r="BC204" i="1" s="1"/>
  <c r="BC205" i="1" s="1"/>
  <c r="BC206" i="1" s="1"/>
  <c r="BC207" i="1" s="1"/>
  <c r="BC208" i="1" s="1"/>
  <c r="BC209" i="1" s="1"/>
  <c r="BC210" i="1" s="1"/>
  <c r="BC211" i="1" s="1"/>
  <c r="BC212" i="1" s="1"/>
  <c r="BC213" i="1" s="1"/>
  <c r="BC214" i="1" s="1"/>
  <c r="BC215" i="1" s="1"/>
  <c r="BC216" i="1" s="1"/>
  <c r="BC217" i="1" s="1"/>
  <c r="BC218" i="1" s="1"/>
  <c r="BC219" i="1" s="1"/>
  <c r="BC220" i="1" s="1"/>
  <c r="BC221" i="1" s="1"/>
  <c r="BC222" i="1" s="1"/>
  <c r="BC223" i="1" s="1"/>
  <c r="BC224" i="1" s="1"/>
  <c r="BC225" i="1" s="1"/>
  <c r="BC226" i="1" s="1"/>
  <c r="BC227" i="1" s="1"/>
  <c r="BC228" i="1" s="1"/>
  <c r="BC229" i="1" s="1"/>
  <c r="BC230" i="1" s="1"/>
  <c r="BC231" i="1" s="1"/>
  <c r="BC232" i="1" s="1"/>
  <c r="BC233" i="1" s="1"/>
  <c r="BC234" i="1" s="1"/>
  <c r="BC235" i="1" s="1"/>
  <c r="BC236" i="1" s="1"/>
  <c r="BC237" i="1" s="1"/>
  <c r="BC238" i="1" s="1"/>
  <c r="BC239" i="1" s="1"/>
  <c r="BC240" i="1" s="1"/>
  <c r="BC241" i="1" s="1"/>
  <c r="BC242" i="1" s="1"/>
  <c r="BC243" i="1" s="1"/>
  <c r="BC244" i="1" s="1"/>
  <c r="BC245" i="1" s="1"/>
  <c r="BC246" i="1" s="1"/>
  <c r="BC247" i="1" s="1"/>
  <c r="BC248" i="1" s="1"/>
  <c r="BC249" i="1" s="1"/>
  <c r="BC250" i="1" s="1"/>
  <c r="BC251" i="1" s="1"/>
  <c r="BC252" i="1" s="1"/>
  <c r="BC253" i="1" s="1"/>
  <c r="BC254" i="1" s="1"/>
  <c r="BC255" i="1" s="1"/>
  <c r="BC256" i="1" s="1"/>
  <c r="BC257" i="1" s="1"/>
  <c r="BC258" i="1" s="1"/>
  <c r="BC259" i="1" s="1"/>
  <c r="BC260" i="1" s="1"/>
  <c r="BC261" i="1" s="1"/>
  <c r="BC262" i="1" s="1"/>
  <c r="BC263" i="1" s="1"/>
  <c r="BC264" i="1" s="1"/>
  <c r="BC265" i="1" s="1"/>
  <c r="BC266" i="1" s="1"/>
  <c r="BC267" i="1" s="1"/>
  <c r="AT28" i="1"/>
  <c r="AT29" i="1" s="1"/>
  <c r="AT30" i="1" s="1"/>
  <c r="AT31" i="1" s="1"/>
  <c r="AT32" i="1" s="1"/>
  <c r="AT33" i="1" s="1"/>
  <c r="AT34" i="1" s="1"/>
  <c r="AT35" i="1" s="1"/>
  <c r="AT36" i="1" s="1"/>
  <c r="AT37" i="1" s="1"/>
  <c r="AT38" i="1" s="1"/>
  <c r="AT39" i="1" s="1"/>
  <c r="AT40" i="1" s="1"/>
  <c r="AT41" i="1" s="1"/>
  <c r="AT42" i="1" s="1"/>
  <c r="AT43" i="1" s="1"/>
  <c r="AT44" i="1" s="1"/>
  <c r="AT45" i="1" s="1"/>
  <c r="AT46" i="1" s="1"/>
  <c r="AT47" i="1" s="1"/>
  <c r="AT48" i="1" s="1"/>
  <c r="AT49" i="1" s="1"/>
  <c r="AT50" i="1" s="1"/>
  <c r="AT51" i="1" s="1"/>
  <c r="AT52" i="1" s="1"/>
  <c r="AT53" i="1" s="1"/>
  <c r="AT54" i="1" s="1"/>
  <c r="AT55" i="1" s="1"/>
  <c r="AT56" i="1" s="1"/>
  <c r="AT57" i="1" s="1"/>
  <c r="AT58" i="1" s="1"/>
  <c r="AT59" i="1" s="1"/>
  <c r="AT60" i="1" s="1"/>
  <c r="AT61" i="1" s="1"/>
  <c r="AT62" i="1" s="1"/>
  <c r="AT63" i="1" s="1"/>
  <c r="AT64" i="1" s="1"/>
  <c r="AT65" i="1" s="1"/>
  <c r="AT66" i="1" s="1"/>
  <c r="AT67" i="1" s="1"/>
  <c r="AT68" i="1" s="1"/>
  <c r="AT69" i="1" s="1"/>
  <c r="AT70" i="1" s="1"/>
  <c r="AT71" i="1" s="1"/>
  <c r="AT72" i="1" s="1"/>
  <c r="AT73" i="1" s="1"/>
  <c r="AT74" i="1" s="1"/>
  <c r="AT75" i="1" s="1"/>
  <c r="AT76" i="1" s="1"/>
  <c r="AT77" i="1" s="1"/>
  <c r="AT78" i="1" s="1"/>
  <c r="AT79" i="1" s="1"/>
  <c r="AT80" i="1" s="1"/>
  <c r="AT81" i="1" s="1"/>
  <c r="AT82" i="1" s="1"/>
  <c r="AT83" i="1" s="1"/>
  <c r="AT84" i="1" s="1"/>
  <c r="AT85" i="1" s="1"/>
  <c r="AT86" i="1" s="1"/>
  <c r="AT87" i="1" s="1"/>
  <c r="AT88" i="1" s="1"/>
  <c r="AT89" i="1" s="1"/>
  <c r="AT90" i="1" s="1"/>
  <c r="AT91" i="1" s="1"/>
  <c r="AT92" i="1" s="1"/>
  <c r="AT93" i="1" s="1"/>
  <c r="AT94" i="1" s="1"/>
  <c r="AT95" i="1" s="1"/>
  <c r="AT96" i="1" s="1"/>
  <c r="AT97" i="1" s="1"/>
  <c r="AT98" i="1" s="1"/>
  <c r="AT99" i="1" s="1"/>
  <c r="AT100" i="1" s="1"/>
  <c r="AT101" i="1" s="1"/>
  <c r="AT102" i="1" s="1"/>
  <c r="AT103" i="1" s="1"/>
  <c r="AT104" i="1" s="1"/>
  <c r="AT105" i="1" s="1"/>
  <c r="AT106" i="1" s="1"/>
  <c r="AT107" i="1" s="1"/>
  <c r="AT108" i="1" s="1"/>
  <c r="AT109" i="1" s="1"/>
  <c r="AT110" i="1" s="1"/>
  <c r="AT111" i="1" s="1"/>
  <c r="AT112" i="1" s="1"/>
  <c r="AT113" i="1" s="1"/>
  <c r="AT114" i="1" s="1"/>
  <c r="AT115" i="1" s="1"/>
  <c r="AT116" i="1" s="1"/>
  <c r="AT117" i="1" s="1"/>
  <c r="AT118" i="1" s="1"/>
  <c r="AT119" i="1" s="1"/>
  <c r="AT120" i="1" s="1"/>
  <c r="AT121" i="1" s="1"/>
  <c r="AT122" i="1" s="1"/>
  <c r="AT123" i="1" s="1"/>
  <c r="AT124" i="1" s="1"/>
  <c r="AT125" i="1" s="1"/>
  <c r="AT126" i="1" s="1"/>
  <c r="AT127" i="1" s="1"/>
  <c r="AT128" i="1" s="1"/>
  <c r="AT129" i="1" s="1"/>
  <c r="AT130" i="1" s="1"/>
  <c r="AT131" i="1" s="1"/>
  <c r="AT132" i="1" s="1"/>
  <c r="AT133" i="1" s="1"/>
  <c r="AT134" i="1" s="1"/>
  <c r="AT135" i="1" s="1"/>
  <c r="AT136" i="1" s="1"/>
  <c r="AT137" i="1" s="1"/>
  <c r="AT138" i="1" s="1"/>
  <c r="AT139" i="1" s="1"/>
  <c r="AT140" i="1" s="1"/>
  <c r="AT141" i="1" s="1"/>
  <c r="AT142" i="1" s="1"/>
  <c r="AT143" i="1" s="1"/>
  <c r="AT144" i="1" s="1"/>
  <c r="AT145" i="1" s="1"/>
  <c r="AT146" i="1" s="1"/>
  <c r="AT147" i="1" s="1"/>
  <c r="AT148" i="1" s="1"/>
  <c r="AT149" i="1" s="1"/>
  <c r="AT150" i="1" s="1"/>
  <c r="AT151" i="1" s="1"/>
  <c r="AT152" i="1" s="1"/>
  <c r="AT153" i="1" s="1"/>
  <c r="AT154" i="1" s="1"/>
  <c r="AT155" i="1" s="1"/>
  <c r="AT156" i="1" s="1"/>
  <c r="AT157" i="1" s="1"/>
  <c r="AT158" i="1" s="1"/>
  <c r="AT159" i="1" s="1"/>
  <c r="AT160" i="1" s="1"/>
  <c r="AT161" i="1" s="1"/>
  <c r="AT162" i="1" s="1"/>
  <c r="AT163" i="1" s="1"/>
  <c r="AT164" i="1" s="1"/>
  <c r="AT165" i="1" s="1"/>
  <c r="AT166" i="1" s="1"/>
  <c r="AT167" i="1" s="1"/>
  <c r="AT168" i="1" s="1"/>
  <c r="AT169" i="1" s="1"/>
  <c r="AT170" i="1" s="1"/>
  <c r="AT171" i="1" s="1"/>
  <c r="AT172" i="1" s="1"/>
  <c r="AT173" i="1" s="1"/>
  <c r="AT174" i="1" s="1"/>
  <c r="AT175" i="1" s="1"/>
  <c r="AT176" i="1" s="1"/>
  <c r="AT177" i="1" s="1"/>
  <c r="AT178" i="1" s="1"/>
  <c r="AT179" i="1" s="1"/>
  <c r="AT180" i="1" s="1"/>
  <c r="AT181" i="1" s="1"/>
  <c r="AT182" i="1" s="1"/>
  <c r="AT183" i="1" s="1"/>
  <c r="AT184" i="1" s="1"/>
  <c r="AT185" i="1" s="1"/>
  <c r="AT186" i="1" s="1"/>
  <c r="AT187" i="1" s="1"/>
  <c r="AT188" i="1" s="1"/>
  <c r="AT189" i="1" s="1"/>
  <c r="AT190" i="1" s="1"/>
  <c r="AT191" i="1" s="1"/>
  <c r="AT192" i="1" s="1"/>
  <c r="AT193" i="1" s="1"/>
  <c r="AT194" i="1" s="1"/>
  <c r="AT195" i="1" s="1"/>
  <c r="AT196" i="1" s="1"/>
  <c r="AT197" i="1" s="1"/>
  <c r="AT198" i="1" s="1"/>
  <c r="AT199" i="1" s="1"/>
  <c r="AT200" i="1" s="1"/>
  <c r="AT201" i="1" s="1"/>
  <c r="AT202" i="1" s="1"/>
  <c r="AT203" i="1" s="1"/>
  <c r="AT204" i="1" s="1"/>
  <c r="AT205" i="1" s="1"/>
  <c r="AT206" i="1" s="1"/>
  <c r="AT207" i="1" s="1"/>
  <c r="AT208" i="1" s="1"/>
  <c r="AT209" i="1" s="1"/>
  <c r="AT210" i="1" s="1"/>
  <c r="AT211" i="1" s="1"/>
  <c r="AT212" i="1" s="1"/>
  <c r="AT213" i="1" s="1"/>
  <c r="AT214" i="1" s="1"/>
  <c r="AT215" i="1" s="1"/>
  <c r="AT216" i="1" s="1"/>
  <c r="AT217" i="1" s="1"/>
  <c r="AT218" i="1" s="1"/>
  <c r="AT219" i="1" s="1"/>
  <c r="AT220" i="1" s="1"/>
  <c r="AT221" i="1" s="1"/>
  <c r="AT222" i="1" s="1"/>
  <c r="AT223" i="1" s="1"/>
  <c r="AT224" i="1" s="1"/>
  <c r="AT225" i="1" s="1"/>
  <c r="AT226" i="1" s="1"/>
  <c r="AT227" i="1" s="1"/>
  <c r="AT228" i="1" s="1"/>
  <c r="AT229" i="1" s="1"/>
  <c r="AT230" i="1" s="1"/>
  <c r="AT231" i="1" s="1"/>
  <c r="AT232" i="1" s="1"/>
  <c r="AT233" i="1" s="1"/>
  <c r="AT234" i="1" s="1"/>
  <c r="AT235" i="1" s="1"/>
  <c r="AT236" i="1" s="1"/>
  <c r="AT237" i="1" s="1"/>
  <c r="AT238" i="1" s="1"/>
  <c r="AT239" i="1" s="1"/>
  <c r="AT240" i="1" s="1"/>
  <c r="AT241" i="1" s="1"/>
  <c r="AT242" i="1" s="1"/>
  <c r="AT243" i="1" s="1"/>
  <c r="AT244" i="1" s="1"/>
  <c r="AT245" i="1" s="1"/>
  <c r="AT246" i="1" s="1"/>
  <c r="AT247" i="1" s="1"/>
  <c r="AT248" i="1" s="1"/>
  <c r="AT249" i="1" s="1"/>
  <c r="AT250" i="1" s="1"/>
  <c r="AT251" i="1" s="1"/>
  <c r="AT252" i="1" s="1"/>
  <c r="AT253" i="1" s="1"/>
  <c r="AT254" i="1" s="1"/>
  <c r="AT255" i="1" s="1"/>
  <c r="AT256" i="1" s="1"/>
  <c r="AT257" i="1" s="1"/>
  <c r="AT258" i="1" s="1"/>
  <c r="AT259" i="1" s="1"/>
  <c r="AT260" i="1" s="1"/>
  <c r="AT261" i="1" s="1"/>
  <c r="AT262" i="1" s="1"/>
  <c r="AT263" i="1" s="1"/>
  <c r="AT264" i="1" s="1"/>
  <c r="AT265" i="1" s="1"/>
  <c r="AT266" i="1" s="1"/>
  <c r="AT267" i="1" s="1"/>
  <c r="AH28" i="1"/>
  <c r="AH29" i="1" s="1"/>
  <c r="AH30" i="1" s="1"/>
  <c r="AH31" i="1" s="1"/>
  <c r="AH32" i="1" s="1"/>
  <c r="AH33" i="1" s="1"/>
  <c r="AH34" i="1" s="1"/>
  <c r="AH35" i="1" s="1"/>
  <c r="AH36" i="1" s="1"/>
  <c r="AH37" i="1" s="1"/>
  <c r="AH38" i="1" s="1"/>
  <c r="AH39" i="1" s="1"/>
  <c r="AH40" i="1" s="1"/>
  <c r="AH41" i="1" s="1"/>
  <c r="AH42" i="1" s="1"/>
  <c r="AH43" i="1" s="1"/>
  <c r="AH44" i="1" s="1"/>
  <c r="AH45" i="1" s="1"/>
  <c r="AH46" i="1" s="1"/>
  <c r="AH47" i="1" s="1"/>
  <c r="AH48" i="1" s="1"/>
  <c r="AH49" i="1" s="1"/>
  <c r="AH50" i="1" s="1"/>
  <c r="AH51" i="1" s="1"/>
  <c r="AH52" i="1" s="1"/>
  <c r="AH53" i="1" s="1"/>
  <c r="AH54" i="1" s="1"/>
  <c r="AH55" i="1" s="1"/>
  <c r="AH56" i="1" s="1"/>
  <c r="AH57" i="1" s="1"/>
  <c r="AH58" i="1" s="1"/>
  <c r="AH59" i="1" s="1"/>
  <c r="AH60" i="1" s="1"/>
  <c r="AH61" i="1" s="1"/>
  <c r="AH62" i="1" s="1"/>
  <c r="AH63" i="1" s="1"/>
  <c r="AH64" i="1" s="1"/>
  <c r="AH65" i="1" s="1"/>
  <c r="AH66" i="1" s="1"/>
  <c r="AH67" i="1" s="1"/>
  <c r="AH68" i="1" s="1"/>
  <c r="AH69" i="1" s="1"/>
  <c r="AH70" i="1" s="1"/>
  <c r="AH71" i="1" s="1"/>
  <c r="AH72" i="1" s="1"/>
  <c r="AH73" i="1" s="1"/>
  <c r="AH74" i="1" s="1"/>
  <c r="AH75" i="1" s="1"/>
  <c r="AH76" i="1" s="1"/>
  <c r="AH77" i="1" s="1"/>
  <c r="AH78" i="1" s="1"/>
  <c r="AH79" i="1" s="1"/>
  <c r="AH80" i="1" s="1"/>
  <c r="AH81" i="1" s="1"/>
  <c r="AH82" i="1" s="1"/>
  <c r="AH83" i="1" s="1"/>
  <c r="AH84" i="1" s="1"/>
  <c r="AH85" i="1" s="1"/>
  <c r="AH86" i="1" s="1"/>
  <c r="AH87" i="1" s="1"/>
  <c r="AH88" i="1" s="1"/>
  <c r="AH89" i="1" s="1"/>
  <c r="AH90" i="1" s="1"/>
  <c r="AH91" i="1" s="1"/>
  <c r="AH92" i="1" s="1"/>
  <c r="AH93" i="1" s="1"/>
  <c r="AH94" i="1" s="1"/>
  <c r="AH95" i="1" s="1"/>
  <c r="AH96" i="1" s="1"/>
  <c r="AH97" i="1" s="1"/>
  <c r="AH98" i="1" s="1"/>
  <c r="AH99" i="1" s="1"/>
  <c r="AH100" i="1" s="1"/>
  <c r="AH101" i="1" s="1"/>
  <c r="AH102" i="1" s="1"/>
  <c r="AH103" i="1" s="1"/>
  <c r="AH104" i="1" s="1"/>
  <c r="AH105" i="1" s="1"/>
  <c r="AH106" i="1" s="1"/>
  <c r="AH107" i="1" s="1"/>
  <c r="AH108" i="1" s="1"/>
  <c r="AH109" i="1" s="1"/>
  <c r="AH110" i="1" s="1"/>
  <c r="AH111" i="1" s="1"/>
  <c r="AH112" i="1" s="1"/>
  <c r="AH113" i="1" s="1"/>
  <c r="AH114" i="1" s="1"/>
  <c r="AH115" i="1" s="1"/>
  <c r="AH116" i="1" s="1"/>
  <c r="AH117" i="1" s="1"/>
  <c r="AH118" i="1" s="1"/>
  <c r="AH119" i="1" s="1"/>
  <c r="AH120" i="1" s="1"/>
  <c r="AH121" i="1" s="1"/>
  <c r="AH122" i="1" s="1"/>
  <c r="AH123" i="1" s="1"/>
  <c r="AH124" i="1" s="1"/>
  <c r="AH125" i="1" s="1"/>
  <c r="AH126" i="1" s="1"/>
  <c r="AH127" i="1" s="1"/>
  <c r="AH128" i="1" s="1"/>
  <c r="AH129" i="1" s="1"/>
  <c r="AH130" i="1" s="1"/>
  <c r="AH131" i="1" s="1"/>
  <c r="AH132" i="1" s="1"/>
  <c r="AH133" i="1" s="1"/>
  <c r="AH134" i="1" s="1"/>
  <c r="AH135" i="1" s="1"/>
  <c r="AH136" i="1" s="1"/>
  <c r="AH137" i="1" s="1"/>
  <c r="AH138" i="1" s="1"/>
  <c r="AH139" i="1" s="1"/>
  <c r="AH140" i="1" s="1"/>
  <c r="AH141" i="1" s="1"/>
  <c r="AH142" i="1" s="1"/>
  <c r="AH143" i="1" s="1"/>
  <c r="AH144" i="1" s="1"/>
  <c r="AH145" i="1" s="1"/>
  <c r="AH146" i="1" s="1"/>
  <c r="AH147" i="1" s="1"/>
  <c r="AH148" i="1" s="1"/>
  <c r="AH149" i="1" s="1"/>
  <c r="AH150" i="1" s="1"/>
  <c r="AH151" i="1" s="1"/>
  <c r="AH152" i="1" s="1"/>
  <c r="AH153" i="1" s="1"/>
  <c r="AH154" i="1" s="1"/>
  <c r="AH155" i="1" s="1"/>
  <c r="AH156" i="1" s="1"/>
  <c r="AH157" i="1" s="1"/>
  <c r="AH158" i="1" s="1"/>
  <c r="AH159" i="1" s="1"/>
  <c r="AH160" i="1" s="1"/>
  <c r="AH161" i="1" s="1"/>
  <c r="AH162" i="1" s="1"/>
  <c r="AH163" i="1" s="1"/>
  <c r="AH164" i="1" s="1"/>
  <c r="AH165" i="1" s="1"/>
  <c r="AH166" i="1" s="1"/>
  <c r="AH167" i="1" s="1"/>
  <c r="AH168" i="1" s="1"/>
  <c r="AH169" i="1" s="1"/>
  <c r="AH170" i="1" s="1"/>
  <c r="AH171" i="1" s="1"/>
  <c r="AH172" i="1" s="1"/>
  <c r="AH173" i="1" s="1"/>
  <c r="AH174" i="1" s="1"/>
  <c r="AH175" i="1" s="1"/>
  <c r="AH176" i="1" s="1"/>
  <c r="AH177" i="1" s="1"/>
  <c r="AH178" i="1" s="1"/>
  <c r="AH179" i="1" s="1"/>
  <c r="AH180" i="1" s="1"/>
  <c r="AH181" i="1" s="1"/>
  <c r="AH182" i="1" s="1"/>
  <c r="AH183" i="1" s="1"/>
  <c r="AH184" i="1" s="1"/>
  <c r="AH185" i="1" s="1"/>
  <c r="AH186" i="1" s="1"/>
  <c r="AH187" i="1" s="1"/>
  <c r="AH188" i="1" s="1"/>
  <c r="AH189" i="1" s="1"/>
  <c r="AH190" i="1" s="1"/>
  <c r="AH191" i="1" s="1"/>
  <c r="AH192" i="1" s="1"/>
  <c r="AH193" i="1" s="1"/>
  <c r="AH194" i="1" s="1"/>
  <c r="AH195" i="1" s="1"/>
  <c r="AH196" i="1" s="1"/>
  <c r="AH197" i="1" s="1"/>
  <c r="AH198" i="1" s="1"/>
  <c r="AH199" i="1" s="1"/>
  <c r="AH200" i="1" s="1"/>
  <c r="AH201" i="1" s="1"/>
  <c r="AH202" i="1" s="1"/>
  <c r="AH203" i="1" s="1"/>
  <c r="AH204" i="1" s="1"/>
  <c r="AH205" i="1" s="1"/>
  <c r="AH206" i="1" s="1"/>
  <c r="AH207" i="1" s="1"/>
  <c r="AH208" i="1" s="1"/>
  <c r="AH209" i="1" s="1"/>
  <c r="AH210" i="1" s="1"/>
  <c r="AH211" i="1" s="1"/>
  <c r="AH212" i="1" s="1"/>
  <c r="AH213" i="1" s="1"/>
  <c r="AH214" i="1" s="1"/>
  <c r="AH215" i="1" s="1"/>
  <c r="AH216" i="1" s="1"/>
  <c r="AH217" i="1" s="1"/>
  <c r="AH218" i="1" s="1"/>
  <c r="AH219" i="1" s="1"/>
  <c r="AH220" i="1" s="1"/>
  <c r="AH221" i="1" s="1"/>
  <c r="AH222" i="1" s="1"/>
  <c r="AH223" i="1" s="1"/>
  <c r="AH224" i="1" s="1"/>
  <c r="AH225" i="1" s="1"/>
  <c r="AH226" i="1" s="1"/>
  <c r="AH227" i="1" s="1"/>
  <c r="AH228" i="1" s="1"/>
  <c r="AH229" i="1" s="1"/>
  <c r="AH230" i="1" s="1"/>
  <c r="AH231" i="1" s="1"/>
  <c r="AH232" i="1" s="1"/>
  <c r="AH233" i="1" s="1"/>
  <c r="AH234" i="1" s="1"/>
  <c r="AH235" i="1" s="1"/>
  <c r="AH236" i="1" s="1"/>
  <c r="AH237" i="1" s="1"/>
  <c r="AH238" i="1" s="1"/>
  <c r="AH239" i="1" s="1"/>
  <c r="AH240" i="1" s="1"/>
  <c r="AH241" i="1" s="1"/>
  <c r="AH242" i="1" s="1"/>
  <c r="AH243" i="1" s="1"/>
  <c r="AH244" i="1" s="1"/>
  <c r="AH245" i="1" s="1"/>
  <c r="AH246" i="1" s="1"/>
  <c r="AH247" i="1" s="1"/>
  <c r="AH248" i="1" s="1"/>
  <c r="AH249" i="1" s="1"/>
  <c r="AH250" i="1" s="1"/>
  <c r="AH251" i="1" s="1"/>
  <c r="AH252" i="1" s="1"/>
  <c r="AH253" i="1" s="1"/>
  <c r="AH254" i="1" s="1"/>
  <c r="AH255" i="1" s="1"/>
  <c r="AH256" i="1" s="1"/>
  <c r="AH257" i="1" s="1"/>
  <c r="AH258" i="1" s="1"/>
  <c r="AH259" i="1" s="1"/>
  <c r="AH260" i="1" s="1"/>
  <c r="AH261" i="1" s="1"/>
  <c r="AH262" i="1" s="1"/>
  <c r="AH263" i="1" s="1"/>
  <c r="AH264" i="1" s="1"/>
  <c r="AH265" i="1" s="1"/>
  <c r="AH266" i="1" s="1"/>
  <c r="AH267" i="1" s="1"/>
  <c r="U28" i="1"/>
  <c r="U29" i="1" s="1"/>
  <c r="U30" i="1" s="1"/>
  <c r="U31" i="1" s="1"/>
  <c r="U32" i="1" s="1"/>
  <c r="U33" i="1" s="1"/>
  <c r="U34" i="1" s="1"/>
  <c r="U35" i="1" s="1"/>
  <c r="U36" i="1" s="1"/>
  <c r="U37" i="1" s="1"/>
  <c r="U38" i="1" s="1"/>
  <c r="U39" i="1" s="1"/>
  <c r="U40" i="1" s="1"/>
  <c r="U41" i="1" s="1"/>
  <c r="U42" i="1" s="1"/>
  <c r="U43" i="1" s="1"/>
  <c r="U44" i="1" s="1"/>
  <c r="U45" i="1" s="1"/>
  <c r="U46" i="1" s="1"/>
  <c r="U47" i="1" s="1"/>
  <c r="U48" i="1" s="1"/>
  <c r="U49" i="1" s="1"/>
  <c r="U50" i="1" s="1"/>
  <c r="U51" i="1" s="1"/>
  <c r="U52" i="1" s="1"/>
  <c r="U53" i="1" s="1"/>
  <c r="U54" i="1" s="1"/>
  <c r="U55" i="1" s="1"/>
  <c r="U56" i="1" s="1"/>
  <c r="U57" i="1" s="1"/>
  <c r="U58" i="1" s="1"/>
  <c r="U59" i="1" s="1"/>
  <c r="U60" i="1" s="1"/>
  <c r="U61" i="1" s="1"/>
  <c r="U62" i="1" s="1"/>
  <c r="U63" i="1" s="1"/>
  <c r="U64" i="1" s="1"/>
  <c r="U65" i="1" s="1"/>
  <c r="U66" i="1" s="1"/>
  <c r="U67" i="1" s="1"/>
  <c r="U68" i="1" s="1"/>
  <c r="U69" i="1" s="1"/>
  <c r="U70" i="1" s="1"/>
  <c r="U71" i="1" s="1"/>
  <c r="U72" i="1" s="1"/>
  <c r="U73" i="1" s="1"/>
  <c r="U74" i="1" s="1"/>
  <c r="U75" i="1" s="1"/>
  <c r="U76" i="1" s="1"/>
  <c r="U77" i="1" s="1"/>
  <c r="U78" i="1" s="1"/>
  <c r="U79" i="1" s="1"/>
  <c r="U80" i="1" s="1"/>
  <c r="U81" i="1" s="1"/>
  <c r="U82" i="1" s="1"/>
  <c r="U83" i="1" s="1"/>
  <c r="U84" i="1" s="1"/>
  <c r="U85" i="1" s="1"/>
  <c r="U86" i="1" s="1"/>
  <c r="U87" i="1" s="1"/>
  <c r="U88" i="1" s="1"/>
  <c r="U89" i="1" s="1"/>
  <c r="U90" i="1" s="1"/>
  <c r="U91" i="1" s="1"/>
  <c r="U92" i="1" s="1"/>
  <c r="U93" i="1" s="1"/>
  <c r="U94" i="1" s="1"/>
  <c r="U95" i="1" s="1"/>
  <c r="U96" i="1" s="1"/>
  <c r="U97" i="1" s="1"/>
  <c r="U98" i="1" s="1"/>
  <c r="U99" i="1" s="1"/>
  <c r="U100" i="1" s="1"/>
  <c r="U101" i="1" s="1"/>
  <c r="U102" i="1" s="1"/>
  <c r="U103" i="1" s="1"/>
  <c r="U104" i="1" s="1"/>
  <c r="U105" i="1" s="1"/>
  <c r="U106" i="1" s="1"/>
  <c r="U107" i="1" s="1"/>
  <c r="U108" i="1" s="1"/>
  <c r="U109" i="1" s="1"/>
  <c r="U110" i="1" s="1"/>
  <c r="U111" i="1" s="1"/>
  <c r="U112" i="1" s="1"/>
  <c r="U113" i="1" s="1"/>
  <c r="U114" i="1" s="1"/>
  <c r="U115" i="1" s="1"/>
  <c r="U116" i="1" s="1"/>
  <c r="U117" i="1" s="1"/>
  <c r="U118" i="1" s="1"/>
  <c r="U119" i="1" s="1"/>
  <c r="U120" i="1" s="1"/>
  <c r="U121" i="1" s="1"/>
  <c r="U122" i="1" s="1"/>
  <c r="U123" i="1" s="1"/>
  <c r="U124" i="1" s="1"/>
  <c r="U125" i="1" s="1"/>
  <c r="U126" i="1" s="1"/>
  <c r="U127" i="1" s="1"/>
  <c r="U128" i="1" s="1"/>
  <c r="U129" i="1" s="1"/>
  <c r="U130" i="1" s="1"/>
  <c r="U131" i="1" s="1"/>
  <c r="U132" i="1" s="1"/>
  <c r="U133" i="1" s="1"/>
  <c r="U134" i="1" s="1"/>
  <c r="U135" i="1" s="1"/>
  <c r="U136" i="1" s="1"/>
  <c r="U137" i="1" s="1"/>
  <c r="U138" i="1" s="1"/>
  <c r="U139" i="1" s="1"/>
  <c r="U140" i="1" s="1"/>
  <c r="U141" i="1" s="1"/>
  <c r="U142" i="1" s="1"/>
  <c r="U143" i="1" s="1"/>
  <c r="U144" i="1" s="1"/>
  <c r="U145" i="1" s="1"/>
  <c r="U146" i="1" s="1"/>
  <c r="U147" i="1" s="1"/>
  <c r="U148" i="1" s="1"/>
  <c r="U149" i="1" s="1"/>
  <c r="U150" i="1" s="1"/>
  <c r="U151" i="1" s="1"/>
  <c r="U152" i="1" s="1"/>
  <c r="U153" i="1" s="1"/>
  <c r="U154" i="1" s="1"/>
  <c r="U155" i="1" s="1"/>
  <c r="U156" i="1" s="1"/>
  <c r="U157" i="1" s="1"/>
  <c r="U158" i="1" s="1"/>
  <c r="U159" i="1" s="1"/>
  <c r="U160" i="1" s="1"/>
  <c r="U161" i="1" s="1"/>
  <c r="U162" i="1" s="1"/>
  <c r="U163" i="1" s="1"/>
  <c r="U164" i="1" s="1"/>
  <c r="U165" i="1" s="1"/>
  <c r="U166" i="1" s="1"/>
  <c r="U167" i="1" s="1"/>
  <c r="U168" i="1" s="1"/>
  <c r="U169" i="1" s="1"/>
  <c r="U170" i="1" s="1"/>
  <c r="U171" i="1" s="1"/>
  <c r="U172" i="1" s="1"/>
  <c r="U173" i="1" s="1"/>
  <c r="U174" i="1" s="1"/>
  <c r="U175" i="1" s="1"/>
  <c r="U176" i="1" s="1"/>
  <c r="U177" i="1" s="1"/>
  <c r="U178" i="1" s="1"/>
  <c r="U179" i="1" s="1"/>
  <c r="U180" i="1" s="1"/>
  <c r="U181" i="1" s="1"/>
  <c r="U182" i="1" s="1"/>
  <c r="U183" i="1" s="1"/>
  <c r="U184" i="1" s="1"/>
  <c r="U185" i="1" s="1"/>
  <c r="U186" i="1" s="1"/>
  <c r="U187" i="1" s="1"/>
  <c r="U188" i="1" s="1"/>
  <c r="U189" i="1" s="1"/>
  <c r="U190" i="1" s="1"/>
  <c r="U191" i="1" s="1"/>
  <c r="U192" i="1" s="1"/>
  <c r="U193" i="1" s="1"/>
  <c r="U194" i="1" s="1"/>
  <c r="U195" i="1" s="1"/>
  <c r="U196" i="1" s="1"/>
  <c r="U197" i="1" s="1"/>
  <c r="U198" i="1" s="1"/>
  <c r="U199" i="1" s="1"/>
  <c r="U200" i="1" s="1"/>
  <c r="U201" i="1" s="1"/>
  <c r="U202" i="1" s="1"/>
  <c r="U203" i="1" s="1"/>
  <c r="U204" i="1" s="1"/>
  <c r="U205" i="1" s="1"/>
  <c r="U206" i="1" s="1"/>
  <c r="U207" i="1" s="1"/>
  <c r="U208" i="1" s="1"/>
  <c r="U209" i="1" s="1"/>
  <c r="U210" i="1" s="1"/>
  <c r="U211" i="1" s="1"/>
  <c r="U212" i="1" s="1"/>
  <c r="U213" i="1" s="1"/>
  <c r="U214" i="1" s="1"/>
  <c r="U215" i="1" s="1"/>
  <c r="U216" i="1" s="1"/>
  <c r="U217" i="1" s="1"/>
  <c r="U218" i="1" s="1"/>
  <c r="U219" i="1" s="1"/>
  <c r="U220" i="1" s="1"/>
  <c r="U221" i="1" s="1"/>
  <c r="U222" i="1" s="1"/>
  <c r="U223" i="1" s="1"/>
  <c r="U224" i="1" s="1"/>
  <c r="U225" i="1" s="1"/>
  <c r="U226" i="1" s="1"/>
  <c r="U227" i="1" s="1"/>
  <c r="U228" i="1" s="1"/>
  <c r="U229" i="1" s="1"/>
  <c r="U230" i="1" s="1"/>
  <c r="U231" i="1" s="1"/>
  <c r="U232" i="1" s="1"/>
  <c r="U233" i="1" s="1"/>
  <c r="U234" i="1" s="1"/>
  <c r="U235" i="1" s="1"/>
  <c r="U236" i="1" s="1"/>
  <c r="U237" i="1" s="1"/>
  <c r="U238" i="1" s="1"/>
  <c r="U239" i="1" s="1"/>
  <c r="U240" i="1" s="1"/>
  <c r="U241" i="1" s="1"/>
  <c r="U242" i="1" s="1"/>
  <c r="U243" i="1" s="1"/>
  <c r="U244" i="1" s="1"/>
  <c r="U245" i="1" s="1"/>
  <c r="U246" i="1" s="1"/>
  <c r="U247" i="1" s="1"/>
  <c r="U248" i="1" s="1"/>
  <c r="U249" i="1" s="1"/>
  <c r="U250" i="1" s="1"/>
  <c r="U251" i="1" s="1"/>
  <c r="U252" i="1" s="1"/>
  <c r="U253" i="1" s="1"/>
  <c r="U254" i="1" s="1"/>
  <c r="U255" i="1" s="1"/>
  <c r="U256" i="1" s="1"/>
  <c r="U257" i="1" s="1"/>
  <c r="U258" i="1" s="1"/>
  <c r="U259" i="1" s="1"/>
  <c r="U260" i="1" s="1"/>
  <c r="U261" i="1" s="1"/>
  <c r="U262" i="1" s="1"/>
  <c r="U263" i="1" s="1"/>
  <c r="U264" i="1" s="1"/>
  <c r="U265" i="1" s="1"/>
  <c r="U266" i="1" s="1"/>
  <c r="U267" i="1" s="1"/>
  <c r="K28" i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C28" i="1"/>
  <c r="HX50" i="1"/>
  <c r="HX51" i="1" s="1"/>
  <c r="HX52" i="1" s="1"/>
  <c r="HX53" i="1" s="1"/>
  <c r="HX54" i="1" s="1"/>
  <c r="HX55" i="1" s="1"/>
  <c r="HX56" i="1" s="1"/>
  <c r="HX57" i="1" s="1"/>
  <c r="HX58" i="1" s="1"/>
  <c r="HX59" i="1" s="1"/>
  <c r="HX60" i="1" s="1"/>
  <c r="HX61" i="1" s="1"/>
  <c r="HX62" i="1" s="1"/>
  <c r="HX63" i="1" s="1"/>
  <c r="HX64" i="1" s="1"/>
  <c r="HX65" i="1" s="1"/>
  <c r="HX66" i="1" s="1"/>
  <c r="HX67" i="1" s="1"/>
  <c r="HX68" i="1" s="1"/>
  <c r="HX69" i="1" s="1"/>
  <c r="HX70" i="1" s="1"/>
  <c r="HX71" i="1" s="1"/>
  <c r="HX72" i="1" s="1"/>
  <c r="HX73" i="1" s="1"/>
  <c r="HX74" i="1" s="1"/>
  <c r="HX75" i="1" s="1"/>
  <c r="HX76" i="1" s="1"/>
  <c r="HX77" i="1" s="1"/>
  <c r="HX78" i="1" s="1"/>
  <c r="HX79" i="1" s="1"/>
  <c r="HX80" i="1" s="1"/>
  <c r="HX81" i="1" s="1"/>
  <c r="HX82" i="1" s="1"/>
  <c r="HX83" i="1" s="1"/>
  <c r="HX84" i="1" s="1"/>
  <c r="HX85" i="1" s="1"/>
  <c r="HX86" i="1" s="1"/>
  <c r="HX87" i="1" s="1"/>
  <c r="HX88" i="1" s="1"/>
  <c r="HX89" i="1" s="1"/>
  <c r="HX90" i="1" s="1"/>
  <c r="HX91" i="1" s="1"/>
  <c r="HX92" i="1" s="1"/>
  <c r="HX93" i="1" s="1"/>
  <c r="HX94" i="1" s="1"/>
  <c r="HX95" i="1" s="1"/>
  <c r="HX96" i="1" s="1"/>
  <c r="HX97" i="1" s="1"/>
  <c r="HX98" i="1" s="1"/>
  <c r="HX99" i="1" s="1"/>
  <c r="HX100" i="1" s="1"/>
  <c r="HX101" i="1" s="1"/>
  <c r="HX102" i="1" s="1"/>
  <c r="HX103" i="1" s="1"/>
  <c r="HX104" i="1" s="1"/>
  <c r="HX105" i="1" s="1"/>
  <c r="HX106" i="1" s="1"/>
  <c r="HX107" i="1" s="1"/>
  <c r="HX108" i="1" s="1"/>
  <c r="HX109" i="1" s="1"/>
  <c r="HX110" i="1" s="1"/>
  <c r="HX111" i="1" s="1"/>
  <c r="HX112" i="1" s="1"/>
  <c r="HX113" i="1" s="1"/>
  <c r="HX114" i="1" s="1"/>
  <c r="HX115" i="1" s="1"/>
  <c r="HX116" i="1" s="1"/>
  <c r="HX117" i="1" s="1"/>
  <c r="HX118" i="1" s="1"/>
  <c r="HX119" i="1" s="1"/>
  <c r="HX120" i="1" s="1"/>
  <c r="HX121" i="1" s="1"/>
  <c r="HX122" i="1" s="1"/>
  <c r="HX123" i="1" s="1"/>
  <c r="HX124" i="1" s="1"/>
  <c r="HX125" i="1" s="1"/>
  <c r="HX126" i="1" s="1"/>
  <c r="HX127" i="1" s="1"/>
  <c r="HX128" i="1" s="1"/>
  <c r="HX129" i="1" s="1"/>
  <c r="HX130" i="1" s="1"/>
  <c r="HX131" i="1" s="1"/>
  <c r="HX132" i="1" s="1"/>
  <c r="HX133" i="1" s="1"/>
  <c r="HX134" i="1" s="1"/>
  <c r="HX135" i="1" s="1"/>
  <c r="HX136" i="1" s="1"/>
  <c r="HX137" i="1" s="1"/>
  <c r="HX138" i="1" s="1"/>
  <c r="HX139" i="1" s="1"/>
  <c r="HX140" i="1" s="1"/>
  <c r="HX141" i="1" s="1"/>
  <c r="HX142" i="1" s="1"/>
  <c r="HX143" i="1" s="1"/>
  <c r="HX144" i="1" s="1"/>
  <c r="HX145" i="1" s="1"/>
  <c r="HX146" i="1" s="1"/>
  <c r="HX147" i="1" s="1"/>
  <c r="HX148" i="1" s="1"/>
  <c r="HX149" i="1" s="1"/>
  <c r="HX150" i="1" s="1"/>
  <c r="HX151" i="1" s="1"/>
  <c r="HX152" i="1" s="1"/>
  <c r="HX153" i="1" s="1"/>
  <c r="HX154" i="1" s="1"/>
  <c r="HX155" i="1" s="1"/>
  <c r="HX156" i="1" s="1"/>
  <c r="HX157" i="1" s="1"/>
  <c r="HX158" i="1" s="1"/>
  <c r="HX159" i="1" s="1"/>
  <c r="LU547" i="1"/>
  <c r="LO547" i="1" s="1"/>
  <c r="LU517" i="1"/>
  <c r="LU488" i="1"/>
  <c r="LO488" i="1" s="1"/>
  <c r="LU457" i="1"/>
  <c r="LO457" i="1" s="1"/>
  <c r="LU413" i="1"/>
  <c r="LP413" i="1"/>
  <c r="LP457" i="1"/>
  <c r="LP488" i="1"/>
  <c r="LP517" i="1"/>
  <c r="LP547" i="1"/>
  <c r="LJ547" i="1"/>
  <c r="LJ517" i="1"/>
  <c r="LJ488" i="1"/>
  <c r="LJ457" i="1"/>
  <c r="LJ413" i="1"/>
  <c r="LG413" i="1"/>
  <c r="LG457" i="1"/>
  <c r="LG488" i="1"/>
  <c r="LG517" i="1"/>
  <c r="LG547" i="1"/>
  <c r="KV547" i="1"/>
  <c r="KV517" i="1"/>
  <c r="KV488" i="1"/>
  <c r="KV457" i="1"/>
  <c r="KV413" i="1"/>
  <c r="KP413" i="1"/>
  <c r="KP457" i="1"/>
  <c r="KP488" i="1"/>
  <c r="KP517" i="1"/>
  <c r="KP547" i="1"/>
  <c r="KK547" i="1"/>
  <c r="KK517" i="1"/>
  <c r="KK488" i="1"/>
  <c r="KK457" i="1"/>
  <c r="KK413" i="1"/>
  <c r="JZ413" i="1"/>
  <c r="JZ457" i="1"/>
  <c r="JZ488" i="1"/>
  <c r="JZ517" i="1"/>
  <c r="JZ547" i="1"/>
  <c r="JS547" i="1"/>
  <c r="JS517" i="1"/>
  <c r="JS488" i="1"/>
  <c r="JS457" i="1"/>
  <c r="JS413" i="1"/>
  <c r="JM413" i="1"/>
  <c r="JM457" i="1"/>
  <c r="JM488" i="1"/>
  <c r="JM517" i="1"/>
  <c r="JM547" i="1"/>
  <c r="JE547" i="1"/>
  <c r="JE517" i="1"/>
  <c r="JE488" i="1"/>
  <c r="JE457" i="1"/>
  <c r="JE413" i="1"/>
  <c r="IW413" i="1"/>
  <c r="IW457" i="1"/>
  <c r="IW488" i="1"/>
  <c r="IW517" i="1"/>
  <c r="IW547" i="1"/>
  <c r="IR547" i="1"/>
  <c r="IR517" i="1"/>
  <c r="IR488" i="1"/>
  <c r="IR457" i="1"/>
  <c r="IR413" i="1"/>
  <c r="IL413" i="1"/>
  <c r="IL457" i="1"/>
  <c r="IL488" i="1"/>
  <c r="IL517" i="1"/>
  <c r="IL547" i="1"/>
  <c r="IH547" i="1"/>
  <c r="IH517" i="1"/>
  <c r="IH488" i="1"/>
  <c r="IH457" i="1"/>
  <c r="IH413" i="1"/>
  <c r="HX413" i="1"/>
  <c r="HX457" i="1"/>
  <c r="HX488" i="1"/>
  <c r="HW488" i="1" s="1"/>
  <c r="HX517" i="1"/>
  <c r="HX547" i="1"/>
  <c r="HO547" i="1"/>
  <c r="HO517" i="1"/>
  <c r="HO488" i="1"/>
  <c r="HO457" i="1"/>
  <c r="HO413" i="1"/>
  <c r="HD413" i="1"/>
  <c r="HD457" i="1"/>
  <c r="HD488" i="1"/>
  <c r="HD517" i="1"/>
  <c r="HD547" i="1"/>
  <c r="GX547" i="1"/>
  <c r="GX517" i="1"/>
  <c r="GX488" i="1"/>
  <c r="GX457" i="1"/>
  <c r="GX413" i="1"/>
  <c r="GO547" i="1"/>
  <c r="GO517" i="1"/>
  <c r="GO488" i="1"/>
  <c r="GO457" i="1"/>
  <c r="GO413" i="1"/>
  <c r="GH547" i="1"/>
  <c r="GH517" i="1"/>
  <c r="GH488" i="1"/>
  <c r="GH457" i="1"/>
  <c r="GH413" i="1"/>
  <c r="FZ547" i="1"/>
  <c r="FZ517" i="1"/>
  <c r="FZ488" i="1"/>
  <c r="FZ457" i="1"/>
  <c r="FZ413" i="1"/>
  <c r="FQ547" i="1"/>
  <c r="FQ517" i="1"/>
  <c r="FQ488" i="1"/>
  <c r="FQ457" i="1"/>
  <c r="FQ413" i="1"/>
  <c r="FI547" i="1"/>
  <c r="FI517" i="1"/>
  <c r="FI488" i="1"/>
  <c r="FI457" i="1"/>
  <c r="FI413" i="1"/>
  <c r="FA547" i="1"/>
  <c r="FA517" i="1"/>
  <c r="FA488" i="1"/>
  <c r="FA457" i="1"/>
  <c r="FA413" i="1"/>
  <c r="ET547" i="1"/>
  <c r="ET517" i="1"/>
  <c r="ET488" i="1"/>
  <c r="ET457" i="1"/>
  <c r="ET413" i="1"/>
  <c r="EJ547" i="1"/>
  <c r="EJ517" i="1"/>
  <c r="EJ488" i="1"/>
  <c r="EJ457" i="1"/>
  <c r="EI457" i="1" s="1"/>
  <c r="EJ413" i="1"/>
  <c r="EG547" i="1"/>
  <c r="EG517" i="1"/>
  <c r="EG488" i="1"/>
  <c r="EG457" i="1"/>
  <c r="EG413" i="1"/>
  <c r="EE547" i="1"/>
  <c r="EE517" i="1"/>
  <c r="EE488" i="1"/>
  <c r="EE457" i="1"/>
  <c r="EE413" i="1"/>
  <c r="EB547" i="1"/>
  <c r="EB517" i="1"/>
  <c r="EB488" i="1"/>
  <c r="EB457" i="1"/>
  <c r="EB413" i="1"/>
  <c r="EB414" i="1" s="1"/>
  <c r="EB415" i="1" s="1"/>
  <c r="EB416" i="1" s="1"/>
  <c r="EB417" i="1" s="1"/>
  <c r="EB418" i="1" s="1"/>
  <c r="EB419" i="1" s="1"/>
  <c r="EB420" i="1" s="1"/>
  <c r="EB421" i="1" s="1"/>
  <c r="EB422" i="1" s="1"/>
  <c r="EB423" i="1" s="1"/>
  <c r="EB424" i="1" s="1"/>
  <c r="EB425" i="1" s="1"/>
  <c r="EB426" i="1" s="1"/>
  <c r="EB427" i="1" s="1"/>
  <c r="EB428" i="1" s="1"/>
  <c r="EB429" i="1" s="1"/>
  <c r="EB430" i="1" s="1"/>
  <c r="EB431" i="1" s="1"/>
  <c r="EB432" i="1" s="1"/>
  <c r="EB433" i="1" s="1"/>
  <c r="EB434" i="1" s="1"/>
  <c r="EB435" i="1" s="1"/>
  <c r="EB436" i="1" s="1"/>
  <c r="EB437" i="1" s="1"/>
  <c r="EB438" i="1" s="1"/>
  <c r="EB439" i="1" s="1"/>
  <c r="EB440" i="1" s="1"/>
  <c r="EB441" i="1" s="1"/>
  <c r="EB442" i="1" s="1"/>
  <c r="EB443" i="1" s="1"/>
  <c r="EB444" i="1" s="1"/>
  <c r="EB445" i="1" s="1"/>
  <c r="EB446" i="1" s="1"/>
  <c r="EB447" i="1" s="1"/>
  <c r="EB448" i="1" s="1"/>
  <c r="EB449" i="1" s="1"/>
  <c r="EB450" i="1" s="1"/>
  <c r="EB451" i="1" s="1"/>
  <c r="EB452" i="1" s="1"/>
  <c r="EB453" i="1" s="1"/>
  <c r="EB454" i="1" s="1"/>
  <c r="EB455" i="1" s="1"/>
  <c r="EB456" i="1" s="1"/>
  <c r="DS547" i="1"/>
  <c r="DS517" i="1"/>
  <c r="DS488" i="1"/>
  <c r="DS457" i="1"/>
  <c r="DS413" i="1"/>
  <c r="DS414" i="1" s="1"/>
  <c r="DS415" i="1" s="1"/>
  <c r="DS416" i="1" s="1"/>
  <c r="DS417" i="1" s="1"/>
  <c r="DS418" i="1" s="1"/>
  <c r="DS419" i="1" s="1"/>
  <c r="DS420" i="1" s="1"/>
  <c r="DS421" i="1" s="1"/>
  <c r="DS422" i="1" s="1"/>
  <c r="DS423" i="1" s="1"/>
  <c r="DS424" i="1" s="1"/>
  <c r="DS425" i="1" s="1"/>
  <c r="DS426" i="1" s="1"/>
  <c r="DS427" i="1" s="1"/>
  <c r="DS428" i="1" s="1"/>
  <c r="DS429" i="1" s="1"/>
  <c r="DS430" i="1" s="1"/>
  <c r="DS431" i="1" s="1"/>
  <c r="DS432" i="1" s="1"/>
  <c r="DS433" i="1" s="1"/>
  <c r="DS434" i="1" s="1"/>
  <c r="DS435" i="1" s="1"/>
  <c r="DS436" i="1" s="1"/>
  <c r="DS437" i="1" s="1"/>
  <c r="DS438" i="1" s="1"/>
  <c r="DS439" i="1" s="1"/>
  <c r="DS440" i="1" s="1"/>
  <c r="DS441" i="1" s="1"/>
  <c r="DS442" i="1" s="1"/>
  <c r="DS443" i="1" s="1"/>
  <c r="DS444" i="1" s="1"/>
  <c r="DS445" i="1" s="1"/>
  <c r="DS446" i="1" s="1"/>
  <c r="DS447" i="1" s="1"/>
  <c r="DS448" i="1" s="1"/>
  <c r="DS449" i="1" s="1"/>
  <c r="DS450" i="1" s="1"/>
  <c r="DS451" i="1" s="1"/>
  <c r="DS452" i="1" s="1"/>
  <c r="DS453" i="1" s="1"/>
  <c r="DS454" i="1" s="1"/>
  <c r="DS455" i="1" s="1"/>
  <c r="DS456" i="1" s="1"/>
  <c r="DL547" i="1"/>
  <c r="DL517" i="1"/>
  <c r="DL488" i="1"/>
  <c r="DL457" i="1"/>
  <c r="DL413" i="1"/>
  <c r="DE547" i="1"/>
  <c r="DE517" i="1"/>
  <c r="DE488" i="1"/>
  <c r="DE457" i="1"/>
  <c r="DE413" i="1"/>
  <c r="CX547" i="1"/>
  <c r="CX517" i="1"/>
  <c r="CX488" i="1"/>
  <c r="CX457" i="1"/>
  <c r="CX413" i="1"/>
  <c r="CT547" i="1"/>
  <c r="CT517" i="1"/>
  <c r="CT488" i="1"/>
  <c r="CT457" i="1"/>
  <c r="CT413" i="1"/>
  <c r="CL547" i="1"/>
  <c r="CL517" i="1"/>
  <c r="CL488" i="1"/>
  <c r="CL457" i="1"/>
  <c r="CL413" i="1"/>
  <c r="CH547" i="1"/>
  <c r="CH517" i="1"/>
  <c r="CH488" i="1"/>
  <c r="CH457" i="1"/>
  <c r="CH413" i="1"/>
  <c r="BZ547" i="1"/>
  <c r="BZ517" i="1"/>
  <c r="BZ488" i="1"/>
  <c r="BZ457" i="1"/>
  <c r="BZ413" i="1"/>
  <c r="BW547" i="1"/>
  <c r="BW517" i="1"/>
  <c r="BW488" i="1"/>
  <c r="BW457" i="1"/>
  <c r="BW413" i="1"/>
  <c r="BQ547" i="1"/>
  <c r="BQ517" i="1"/>
  <c r="BQ488" i="1"/>
  <c r="BQ457" i="1"/>
  <c r="BJ547" i="1"/>
  <c r="BJ517" i="1"/>
  <c r="BJ488" i="1"/>
  <c r="BJ457" i="1"/>
  <c r="BJ413" i="1"/>
  <c r="BI413" i="1" s="1"/>
  <c r="BC547" i="1"/>
  <c r="BC517" i="1"/>
  <c r="BC488" i="1"/>
  <c r="BC457" i="1"/>
  <c r="BC413" i="1"/>
  <c r="AT547" i="1"/>
  <c r="AT517" i="1"/>
  <c r="AT488" i="1"/>
  <c r="AT457" i="1"/>
  <c r="AT456" i="1" s="1"/>
  <c r="AT455" i="1" s="1"/>
  <c r="AT454" i="1" s="1"/>
  <c r="AT453" i="1" s="1"/>
  <c r="AT452" i="1" s="1"/>
  <c r="AT451" i="1" s="1"/>
  <c r="AT450" i="1" s="1"/>
  <c r="AT449" i="1" s="1"/>
  <c r="AT448" i="1" s="1"/>
  <c r="AT447" i="1" s="1"/>
  <c r="AT446" i="1" s="1"/>
  <c r="AT445" i="1" s="1"/>
  <c r="AT444" i="1" s="1"/>
  <c r="AT443" i="1" s="1"/>
  <c r="AT442" i="1" s="1"/>
  <c r="AT441" i="1" s="1"/>
  <c r="AT440" i="1" s="1"/>
  <c r="AT439" i="1" s="1"/>
  <c r="AT438" i="1" s="1"/>
  <c r="AT437" i="1" s="1"/>
  <c r="AT436" i="1" s="1"/>
  <c r="AT435" i="1" s="1"/>
  <c r="AT434" i="1" s="1"/>
  <c r="AT433" i="1" s="1"/>
  <c r="AT432" i="1" s="1"/>
  <c r="AT431" i="1" s="1"/>
  <c r="AT430" i="1" s="1"/>
  <c r="AT429" i="1" s="1"/>
  <c r="AT428" i="1" s="1"/>
  <c r="AT427" i="1" s="1"/>
  <c r="AT426" i="1" s="1"/>
  <c r="AT425" i="1" s="1"/>
  <c r="AT424" i="1" s="1"/>
  <c r="AT423" i="1" s="1"/>
  <c r="AT422" i="1" s="1"/>
  <c r="AT421" i="1" s="1"/>
  <c r="AT420" i="1" s="1"/>
  <c r="AT419" i="1" s="1"/>
  <c r="AT418" i="1" s="1"/>
  <c r="AT417" i="1" s="1"/>
  <c r="AT416" i="1" s="1"/>
  <c r="AT415" i="1" s="1"/>
  <c r="AT414" i="1" s="1"/>
  <c r="AT413" i="1"/>
  <c r="AH547" i="1"/>
  <c r="AH517" i="1"/>
  <c r="AH488" i="1"/>
  <c r="AH457" i="1"/>
  <c r="AH413" i="1"/>
  <c r="AG547" i="1"/>
  <c r="AG517" i="1"/>
  <c r="AG488" i="1"/>
  <c r="AG457" i="1"/>
  <c r="AG413" i="1"/>
  <c r="AD547" i="1"/>
  <c r="AD517" i="1"/>
  <c r="AD488" i="1"/>
  <c r="AD457" i="1"/>
  <c r="AD413" i="1"/>
  <c r="U547" i="1"/>
  <c r="U517" i="1"/>
  <c r="U488" i="1"/>
  <c r="U457" i="1"/>
  <c r="U413" i="1"/>
  <c r="R547" i="1"/>
  <c r="R517" i="1"/>
  <c r="R488" i="1"/>
  <c r="R457" i="1"/>
  <c r="R413" i="1"/>
  <c r="K547" i="1"/>
  <c r="K517" i="1"/>
  <c r="K488" i="1"/>
  <c r="K457" i="1"/>
  <c r="K413" i="1"/>
  <c r="C547" i="1"/>
  <c r="C517" i="1"/>
  <c r="C488" i="1"/>
  <c r="C457" i="1"/>
  <c r="C413" i="1"/>
  <c r="IJ458" i="1"/>
  <c r="IH458" i="1" s="1"/>
  <c r="IJ419" i="1"/>
  <c r="IH419" i="1" s="1"/>
  <c r="IP458" i="1"/>
  <c r="IS458" i="1"/>
  <c r="IT458" i="1"/>
  <c r="IU458" i="1"/>
  <c r="IV458" i="1"/>
  <c r="IR458" i="1"/>
  <c r="IB420" i="1"/>
  <c r="IB421" i="1" s="1"/>
  <c r="IB422" i="1" s="1"/>
  <c r="IB423" i="1" s="1"/>
  <c r="IB424" i="1" s="1"/>
  <c r="IB425" i="1" s="1"/>
  <c r="IB426" i="1" s="1"/>
  <c r="IB427" i="1" s="1"/>
  <c r="IB428" i="1" s="1"/>
  <c r="IB429" i="1" s="1"/>
  <c r="IB430" i="1" s="1"/>
  <c r="IB431" i="1" s="1"/>
  <c r="IB432" i="1" s="1"/>
  <c r="IB433" i="1" s="1"/>
  <c r="IB434" i="1" s="1"/>
  <c r="IB435" i="1" s="1"/>
  <c r="IB436" i="1" s="1"/>
  <c r="IB437" i="1" s="1"/>
  <c r="IB438" i="1" s="1"/>
  <c r="IB439" i="1" s="1"/>
  <c r="IB440" i="1" s="1"/>
  <c r="IB441" i="1" s="1"/>
  <c r="IB442" i="1" s="1"/>
  <c r="IB443" i="1" s="1"/>
  <c r="IB444" i="1" s="1"/>
  <c r="IB445" i="1" s="1"/>
  <c r="IB446" i="1" s="1"/>
  <c r="IB447" i="1" s="1"/>
  <c r="IB448" i="1" s="1"/>
  <c r="IB449" i="1" s="1"/>
  <c r="IB450" i="1" s="1"/>
  <c r="IB451" i="1" s="1"/>
  <c r="IB452" i="1" s="1"/>
  <c r="IB453" i="1" s="1"/>
  <c r="IB454" i="1" s="1"/>
  <c r="IB455" i="1" s="1"/>
  <c r="IB456" i="1" s="1"/>
  <c r="IB457" i="1" s="1"/>
  <c r="IB458" i="1" s="1"/>
  <c r="IC420" i="1"/>
  <c r="IC421" i="1" s="1"/>
  <c r="IC422" i="1" s="1"/>
  <c r="IC423" i="1" s="1"/>
  <c r="IC424" i="1" s="1"/>
  <c r="IC425" i="1" s="1"/>
  <c r="IC426" i="1" s="1"/>
  <c r="IC427" i="1" s="1"/>
  <c r="IC428" i="1" s="1"/>
  <c r="IC429" i="1" s="1"/>
  <c r="IC430" i="1" s="1"/>
  <c r="IC431" i="1" s="1"/>
  <c r="IC432" i="1" s="1"/>
  <c r="IC433" i="1" s="1"/>
  <c r="IC434" i="1" s="1"/>
  <c r="IC435" i="1" s="1"/>
  <c r="IC436" i="1" s="1"/>
  <c r="IC437" i="1" s="1"/>
  <c r="IC438" i="1" s="1"/>
  <c r="IC439" i="1" s="1"/>
  <c r="IC440" i="1" s="1"/>
  <c r="IC441" i="1" s="1"/>
  <c r="IC442" i="1" s="1"/>
  <c r="IC443" i="1" s="1"/>
  <c r="IC444" i="1" s="1"/>
  <c r="IC445" i="1" s="1"/>
  <c r="IC446" i="1" s="1"/>
  <c r="IC447" i="1" s="1"/>
  <c r="IC448" i="1" s="1"/>
  <c r="IC449" i="1" s="1"/>
  <c r="IC450" i="1" s="1"/>
  <c r="IC451" i="1" s="1"/>
  <c r="IC452" i="1" s="1"/>
  <c r="IC453" i="1" s="1"/>
  <c r="IC454" i="1" s="1"/>
  <c r="IC455" i="1" s="1"/>
  <c r="IC456" i="1" s="1"/>
  <c r="IC457" i="1" s="1"/>
  <c r="IC458" i="1" s="1"/>
  <c r="ID420" i="1"/>
  <c r="ID421" i="1" s="1"/>
  <c r="ID422" i="1" s="1"/>
  <c r="ID423" i="1" s="1"/>
  <c r="ID424" i="1" s="1"/>
  <c r="ID425" i="1" s="1"/>
  <c r="ID426" i="1" s="1"/>
  <c r="ID427" i="1" s="1"/>
  <c r="ID428" i="1" s="1"/>
  <c r="ID429" i="1" s="1"/>
  <c r="ID430" i="1" s="1"/>
  <c r="ID431" i="1" s="1"/>
  <c r="ID432" i="1" s="1"/>
  <c r="ID433" i="1" s="1"/>
  <c r="ID434" i="1" s="1"/>
  <c r="ID435" i="1" s="1"/>
  <c r="ID436" i="1" s="1"/>
  <c r="ID437" i="1" s="1"/>
  <c r="ID438" i="1" s="1"/>
  <c r="ID439" i="1" s="1"/>
  <c r="ID440" i="1" s="1"/>
  <c r="ID441" i="1" s="1"/>
  <c r="ID442" i="1" s="1"/>
  <c r="ID443" i="1" s="1"/>
  <c r="ID444" i="1" s="1"/>
  <c r="ID445" i="1" s="1"/>
  <c r="ID446" i="1" s="1"/>
  <c r="ID447" i="1" s="1"/>
  <c r="ID448" i="1" s="1"/>
  <c r="ID449" i="1" s="1"/>
  <c r="ID450" i="1" s="1"/>
  <c r="ID451" i="1" s="1"/>
  <c r="ID452" i="1" s="1"/>
  <c r="ID453" i="1" s="1"/>
  <c r="ID454" i="1" s="1"/>
  <c r="ID455" i="1" s="1"/>
  <c r="ID456" i="1" s="1"/>
  <c r="ID457" i="1" s="1"/>
  <c r="ID458" i="1" s="1"/>
  <c r="IE420" i="1"/>
  <c r="IE421" i="1" s="1"/>
  <c r="IE422" i="1" s="1"/>
  <c r="IE423" i="1" s="1"/>
  <c r="IE424" i="1" s="1"/>
  <c r="IE425" i="1" s="1"/>
  <c r="IE426" i="1" s="1"/>
  <c r="IE427" i="1" s="1"/>
  <c r="IE428" i="1" s="1"/>
  <c r="IE429" i="1" s="1"/>
  <c r="IE430" i="1" s="1"/>
  <c r="IE431" i="1" s="1"/>
  <c r="IE432" i="1" s="1"/>
  <c r="IE433" i="1" s="1"/>
  <c r="IE434" i="1" s="1"/>
  <c r="IE435" i="1" s="1"/>
  <c r="IE436" i="1" s="1"/>
  <c r="IE437" i="1" s="1"/>
  <c r="IE438" i="1" s="1"/>
  <c r="IE439" i="1" s="1"/>
  <c r="IE440" i="1" s="1"/>
  <c r="IE441" i="1" s="1"/>
  <c r="IE442" i="1" s="1"/>
  <c r="IE443" i="1" s="1"/>
  <c r="IE444" i="1" s="1"/>
  <c r="IE445" i="1" s="1"/>
  <c r="IE446" i="1" s="1"/>
  <c r="IE447" i="1" s="1"/>
  <c r="IE448" i="1" s="1"/>
  <c r="IE449" i="1" s="1"/>
  <c r="IE450" i="1" s="1"/>
  <c r="IE451" i="1" s="1"/>
  <c r="IE452" i="1" s="1"/>
  <c r="IE453" i="1" s="1"/>
  <c r="IE454" i="1" s="1"/>
  <c r="IE455" i="1" s="1"/>
  <c r="IE456" i="1" s="1"/>
  <c r="IE457" i="1" s="1"/>
  <c r="IE458" i="1" s="1"/>
  <c r="IF420" i="1"/>
  <c r="IF421" i="1" s="1"/>
  <c r="IF422" i="1" s="1"/>
  <c r="IF423" i="1" s="1"/>
  <c r="IF424" i="1" s="1"/>
  <c r="IF425" i="1" s="1"/>
  <c r="IF426" i="1" s="1"/>
  <c r="IF427" i="1" s="1"/>
  <c r="IF428" i="1" s="1"/>
  <c r="IF429" i="1" s="1"/>
  <c r="IF430" i="1" s="1"/>
  <c r="IF431" i="1" s="1"/>
  <c r="IF432" i="1" s="1"/>
  <c r="IF433" i="1" s="1"/>
  <c r="IF434" i="1" s="1"/>
  <c r="IF435" i="1" s="1"/>
  <c r="IF436" i="1" s="1"/>
  <c r="IF437" i="1" s="1"/>
  <c r="IF438" i="1" s="1"/>
  <c r="IF439" i="1" s="1"/>
  <c r="IF440" i="1" s="1"/>
  <c r="IF441" i="1" s="1"/>
  <c r="IF442" i="1" s="1"/>
  <c r="IF443" i="1" s="1"/>
  <c r="IF444" i="1" s="1"/>
  <c r="IF445" i="1" s="1"/>
  <c r="IF446" i="1" s="1"/>
  <c r="IF447" i="1" s="1"/>
  <c r="IF448" i="1" s="1"/>
  <c r="IF449" i="1" s="1"/>
  <c r="IF450" i="1" s="1"/>
  <c r="IF451" i="1" s="1"/>
  <c r="IF452" i="1" s="1"/>
  <c r="IF453" i="1" s="1"/>
  <c r="IF454" i="1" s="1"/>
  <c r="IF455" i="1" s="1"/>
  <c r="IF456" i="1" s="1"/>
  <c r="IF457" i="1" s="1"/>
  <c r="IF458" i="1" s="1"/>
  <c r="IA420" i="1"/>
  <c r="IA421" i="1" s="1"/>
  <c r="IA422" i="1" s="1"/>
  <c r="IA423" i="1" s="1"/>
  <c r="IA424" i="1" s="1"/>
  <c r="IA425" i="1" s="1"/>
  <c r="IA426" i="1" s="1"/>
  <c r="IA427" i="1" s="1"/>
  <c r="IA428" i="1" s="1"/>
  <c r="IA429" i="1" s="1"/>
  <c r="IA430" i="1" s="1"/>
  <c r="IA431" i="1" s="1"/>
  <c r="IA432" i="1" s="1"/>
  <c r="IA433" i="1" s="1"/>
  <c r="IA434" i="1" s="1"/>
  <c r="IA435" i="1" s="1"/>
  <c r="IA436" i="1" s="1"/>
  <c r="IA437" i="1" s="1"/>
  <c r="IA438" i="1" s="1"/>
  <c r="IA439" i="1" s="1"/>
  <c r="IA440" i="1" s="1"/>
  <c r="IA441" i="1" s="1"/>
  <c r="IA442" i="1" s="1"/>
  <c r="IA443" i="1" s="1"/>
  <c r="IA444" i="1" s="1"/>
  <c r="IA445" i="1" s="1"/>
  <c r="IA446" i="1" s="1"/>
  <c r="IA447" i="1" s="1"/>
  <c r="IA448" i="1" s="1"/>
  <c r="IA449" i="1" s="1"/>
  <c r="IA450" i="1" s="1"/>
  <c r="IA451" i="1" s="1"/>
  <c r="IA452" i="1" s="1"/>
  <c r="IA453" i="1" s="1"/>
  <c r="IA454" i="1" s="1"/>
  <c r="IA455" i="1" s="1"/>
  <c r="IA456" i="1" s="1"/>
  <c r="IA457" i="1" s="1"/>
  <c r="IA458" i="1" s="1"/>
  <c r="HC413" i="1"/>
  <c r="HN414" i="1"/>
  <c r="HN415" i="1" s="1"/>
  <c r="HN416" i="1" s="1"/>
  <c r="HN417" i="1" s="1"/>
  <c r="HN418" i="1" s="1"/>
  <c r="HN419" i="1" s="1"/>
  <c r="HN420" i="1" s="1"/>
  <c r="HN421" i="1" s="1"/>
  <c r="HN422" i="1" s="1"/>
  <c r="HN423" i="1" s="1"/>
  <c r="HN424" i="1" s="1"/>
  <c r="HN425" i="1" s="1"/>
  <c r="HN426" i="1" s="1"/>
  <c r="HN427" i="1" s="1"/>
  <c r="HN428" i="1" s="1"/>
  <c r="HN429" i="1" s="1"/>
  <c r="HN430" i="1" s="1"/>
  <c r="HN431" i="1" s="1"/>
  <c r="HF414" i="1"/>
  <c r="HF415" i="1" s="1"/>
  <c r="HF416" i="1" s="1"/>
  <c r="HF417" i="1" s="1"/>
  <c r="HF418" i="1" s="1"/>
  <c r="HF419" i="1" s="1"/>
  <c r="HF420" i="1" s="1"/>
  <c r="HF421" i="1" s="1"/>
  <c r="HF422" i="1" s="1"/>
  <c r="HF423" i="1" s="1"/>
  <c r="HF424" i="1" s="1"/>
  <c r="HF425" i="1" s="1"/>
  <c r="HF426" i="1" s="1"/>
  <c r="HF427" i="1" s="1"/>
  <c r="HF428" i="1" s="1"/>
  <c r="HF429" i="1" s="1"/>
  <c r="HF430" i="1" s="1"/>
  <c r="HF431" i="1" s="1"/>
  <c r="HF432" i="1" s="1"/>
  <c r="FS428" i="1"/>
  <c r="FQ428" i="1" s="1"/>
  <c r="AM447" i="1"/>
  <c r="AK447" i="1"/>
  <c r="AN447" i="1"/>
  <c r="AQ447" i="1"/>
  <c r="AL447" i="1"/>
  <c r="AJ447" i="1"/>
  <c r="AP447" i="1"/>
  <c r="AO447" i="1"/>
  <c r="AI447" i="1"/>
  <c r="EE414" i="1"/>
  <c r="EE415" i="1" s="1"/>
  <c r="EE416" i="1" s="1"/>
  <c r="EE417" i="1" s="1"/>
  <c r="EE418" i="1" s="1"/>
  <c r="EE419" i="1" s="1"/>
  <c r="EE420" i="1" s="1"/>
  <c r="EE421" i="1" s="1"/>
  <c r="EE422" i="1" s="1"/>
  <c r="EE423" i="1" s="1"/>
  <c r="EE424" i="1" s="1"/>
  <c r="EE425" i="1" s="1"/>
  <c r="EE426" i="1" s="1"/>
  <c r="EE427" i="1" s="1"/>
  <c r="EE428" i="1" s="1"/>
  <c r="EE429" i="1" s="1"/>
  <c r="EE430" i="1" s="1"/>
  <c r="EE431" i="1" s="1"/>
  <c r="EE432" i="1" s="1"/>
  <c r="EE433" i="1" s="1"/>
  <c r="EE434" i="1" s="1"/>
  <c r="EE435" i="1" s="1"/>
  <c r="EE436" i="1" s="1"/>
  <c r="EE437" i="1" s="1"/>
  <c r="EE438" i="1" s="1"/>
  <c r="EE439" i="1" s="1"/>
  <c r="EE440" i="1" s="1"/>
  <c r="EE441" i="1" s="1"/>
  <c r="EE442" i="1" s="1"/>
  <c r="EE443" i="1" s="1"/>
  <c r="EE444" i="1" s="1"/>
  <c r="EE445" i="1" s="1"/>
  <c r="EE446" i="1" s="1"/>
  <c r="EE447" i="1" s="1"/>
  <c r="EE448" i="1" s="1"/>
  <c r="EE449" i="1" s="1"/>
  <c r="EE450" i="1" s="1"/>
  <c r="EE451" i="1" s="1"/>
  <c r="EE452" i="1" s="1"/>
  <c r="EE453" i="1" s="1"/>
  <c r="EE454" i="1" s="1"/>
  <c r="EE455" i="1" s="1"/>
  <c r="EE456" i="1" s="1"/>
  <c r="CX414" i="1"/>
  <c r="CX415" i="1" s="1"/>
  <c r="CX416" i="1" s="1"/>
  <c r="CX417" i="1" s="1"/>
  <c r="CX418" i="1" s="1"/>
  <c r="CX419" i="1" s="1"/>
  <c r="CX420" i="1" s="1"/>
  <c r="CX421" i="1" s="1"/>
  <c r="CX422" i="1" s="1"/>
  <c r="CX423" i="1" s="1"/>
  <c r="CX424" i="1" s="1"/>
  <c r="CX425" i="1" s="1"/>
  <c r="CX426" i="1" s="1"/>
  <c r="CX427" i="1" s="1"/>
  <c r="CX428" i="1" s="1"/>
  <c r="CX429" i="1" s="1"/>
  <c r="CX430" i="1" s="1"/>
  <c r="CX431" i="1" s="1"/>
  <c r="CX432" i="1" s="1"/>
  <c r="CX433" i="1" s="1"/>
  <c r="CX434" i="1" s="1"/>
  <c r="CX435" i="1" s="1"/>
  <c r="CX436" i="1" s="1"/>
  <c r="CX437" i="1" s="1"/>
  <c r="CX438" i="1" s="1"/>
  <c r="CX439" i="1" s="1"/>
  <c r="CX440" i="1" s="1"/>
  <c r="CX441" i="1" s="1"/>
  <c r="CX442" i="1" s="1"/>
  <c r="CX443" i="1" s="1"/>
  <c r="CX444" i="1" s="1"/>
  <c r="CX445" i="1" s="1"/>
  <c r="CX446" i="1" s="1"/>
  <c r="CX447" i="1" s="1"/>
  <c r="CX448" i="1" s="1"/>
  <c r="CX449" i="1" s="1"/>
  <c r="CX450" i="1" s="1"/>
  <c r="CX451" i="1" s="1"/>
  <c r="CX452" i="1" s="1"/>
  <c r="CX453" i="1" s="1"/>
  <c r="CX454" i="1" s="1"/>
  <c r="CX455" i="1" s="1"/>
  <c r="CX456" i="1" s="1"/>
  <c r="CT432" i="1"/>
  <c r="CT433" i="1" s="1"/>
  <c r="CT434" i="1" s="1"/>
  <c r="CT435" i="1" s="1"/>
  <c r="CT436" i="1" s="1"/>
  <c r="CT437" i="1" s="1"/>
  <c r="CT438" i="1" s="1"/>
  <c r="CT439" i="1" s="1"/>
  <c r="CT440" i="1" s="1"/>
  <c r="CT441" i="1" s="1"/>
  <c r="CT442" i="1" s="1"/>
  <c r="CT443" i="1" s="1"/>
  <c r="CT444" i="1" s="1"/>
  <c r="CT445" i="1" s="1"/>
  <c r="CT446" i="1" s="1"/>
  <c r="CT447" i="1" s="1"/>
  <c r="CT448" i="1" s="1"/>
  <c r="CT449" i="1" s="1"/>
  <c r="CT450" i="1" s="1"/>
  <c r="CT451" i="1" s="1"/>
  <c r="CT452" i="1" s="1"/>
  <c r="CT453" i="1" s="1"/>
  <c r="CT454" i="1" s="1"/>
  <c r="CT455" i="1" s="1"/>
  <c r="CT456" i="1" s="1"/>
  <c r="CT414" i="1"/>
  <c r="CT415" i="1" s="1"/>
  <c r="CT416" i="1" s="1"/>
  <c r="CT417" i="1" s="1"/>
  <c r="CT418" i="1" s="1"/>
  <c r="CT419" i="1" s="1"/>
  <c r="CT420" i="1" s="1"/>
  <c r="CT421" i="1" s="1"/>
  <c r="CT422" i="1" s="1"/>
  <c r="CT423" i="1" s="1"/>
  <c r="CT424" i="1" s="1"/>
  <c r="CT425" i="1" s="1"/>
  <c r="CT426" i="1" s="1"/>
  <c r="CT427" i="1" s="1"/>
  <c r="CT428" i="1" s="1"/>
  <c r="CT429" i="1" s="1"/>
  <c r="CT430" i="1" s="1"/>
  <c r="CT431" i="1" s="1"/>
  <c r="EG426" i="1"/>
  <c r="EG425" i="1" s="1"/>
  <c r="EG424" i="1" s="1"/>
  <c r="EG423" i="1" s="1"/>
  <c r="EG422" i="1" s="1"/>
  <c r="EG421" i="1" s="1"/>
  <c r="EG420" i="1" s="1"/>
  <c r="EG419" i="1" s="1"/>
  <c r="EG418" i="1" s="1"/>
  <c r="EG417" i="1" s="1"/>
  <c r="EG416" i="1" s="1"/>
  <c r="EG415" i="1" s="1"/>
  <c r="EG414" i="1" s="1"/>
  <c r="EG428" i="1"/>
  <c r="EG429" i="1" s="1"/>
  <c r="EG430" i="1" s="1"/>
  <c r="EG431" i="1" s="1"/>
  <c r="EG432" i="1" s="1"/>
  <c r="EG433" i="1" s="1"/>
  <c r="EG434" i="1" s="1"/>
  <c r="EG435" i="1" s="1"/>
  <c r="EG436" i="1" s="1"/>
  <c r="EG437" i="1" s="1"/>
  <c r="EG438" i="1" s="1"/>
  <c r="EG439" i="1" s="1"/>
  <c r="EG440" i="1" s="1"/>
  <c r="EG441" i="1" s="1"/>
  <c r="EG442" i="1" s="1"/>
  <c r="EG443" i="1" s="1"/>
  <c r="EG444" i="1" s="1"/>
  <c r="EG445" i="1" s="1"/>
  <c r="EG446" i="1" s="1"/>
  <c r="EG447" i="1" s="1"/>
  <c r="EG448" i="1" s="1"/>
  <c r="EG449" i="1" s="1"/>
  <c r="EG450" i="1" s="1"/>
  <c r="EG451" i="1" s="1"/>
  <c r="EG452" i="1" s="1"/>
  <c r="EG453" i="1" s="1"/>
  <c r="EG454" i="1" s="1"/>
  <c r="EG455" i="1" s="1"/>
  <c r="EG456" i="1" s="1"/>
  <c r="EH427" i="1"/>
  <c r="BC414" i="1"/>
  <c r="BC415" i="1" s="1"/>
  <c r="BC416" i="1" s="1"/>
  <c r="BC417" i="1" s="1"/>
  <c r="BC418" i="1" s="1"/>
  <c r="BC419" i="1" s="1"/>
  <c r="BC420" i="1" s="1"/>
  <c r="BC421" i="1" s="1"/>
  <c r="BC422" i="1" s="1"/>
  <c r="BC423" i="1" s="1"/>
  <c r="BC424" i="1" s="1"/>
  <c r="BC425" i="1" s="1"/>
  <c r="BC426" i="1" s="1"/>
  <c r="BC427" i="1" s="1"/>
  <c r="BC428" i="1" s="1"/>
  <c r="BC429" i="1" s="1"/>
  <c r="BC430" i="1" s="1"/>
  <c r="BC431" i="1" s="1"/>
  <c r="BC432" i="1" s="1"/>
  <c r="BC433" i="1" s="1"/>
  <c r="BC434" i="1" s="1"/>
  <c r="BC435" i="1" s="1"/>
  <c r="BC436" i="1" s="1"/>
  <c r="BC437" i="1" s="1"/>
  <c r="BC438" i="1" s="1"/>
  <c r="BC439" i="1" s="1"/>
  <c r="BC440" i="1" s="1"/>
  <c r="BC441" i="1" s="1"/>
  <c r="BC442" i="1" s="1"/>
  <c r="BC443" i="1" s="1"/>
  <c r="BC444" i="1" s="1"/>
  <c r="BC445" i="1" s="1"/>
  <c r="BC446" i="1" s="1"/>
  <c r="BC447" i="1" s="1"/>
  <c r="BC448" i="1" s="1"/>
  <c r="BC449" i="1" s="1"/>
  <c r="BC450" i="1" s="1"/>
  <c r="BC451" i="1" s="1"/>
  <c r="BC452" i="1" s="1"/>
  <c r="BC453" i="1" s="1"/>
  <c r="BC454" i="1" s="1"/>
  <c r="BC455" i="1" s="1"/>
  <c r="BC456" i="1" s="1"/>
  <c r="AG483" i="1"/>
  <c r="AG482" i="1" s="1"/>
  <c r="AG481" i="1" s="1"/>
  <c r="AG480" i="1" s="1"/>
  <c r="AG479" i="1" s="1"/>
  <c r="AG478" i="1" s="1"/>
  <c r="AG477" i="1" s="1"/>
  <c r="AG476" i="1" s="1"/>
  <c r="AG475" i="1" s="1"/>
  <c r="AG474" i="1" s="1"/>
  <c r="AG473" i="1" s="1"/>
  <c r="AG472" i="1" s="1"/>
  <c r="AG471" i="1" s="1"/>
  <c r="AG470" i="1" s="1"/>
  <c r="AG469" i="1" s="1"/>
  <c r="AG468" i="1" s="1"/>
  <c r="AG467" i="1" s="1"/>
  <c r="AG466" i="1" s="1"/>
  <c r="AG465" i="1" s="1"/>
  <c r="AG464" i="1" s="1"/>
  <c r="AG463" i="1" s="1"/>
  <c r="AG462" i="1" s="1"/>
  <c r="AG461" i="1" s="1"/>
  <c r="AG460" i="1" s="1"/>
  <c r="AG459" i="1" s="1"/>
  <c r="AG458" i="1" s="1"/>
  <c r="AG485" i="1"/>
  <c r="AG486" i="1" s="1"/>
  <c r="AG487" i="1" s="1"/>
  <c r="AF503" i="1"/>
  <c r="AF504" i="1" s="1"/>
  <c r="AF505" i="1" s="1"/>
  <c r="AF506" i="1" s="1"/>
  <c r="AF507" i="1" s="1"/>
  <c r="AF508" i="1" s="1"/>
  <c r="AF509" i="1" s="1"/>
  <c r="AF510" i="1" s="1"/>
  <c r="AF511" i="1" s="1"/>
  <c r="AF512" i="1" s="1"/>
  <c r="AF513" i="1" s="1"/>
  <c r="AF514" i="1" s="1"/>
  <c r="AF515" i="1" s="1"/>
  <c r="AF516" i="1" s="1"/>
  <c r="AF517" i="1" s="1"/>
  <c r="AF518" i="1" s="1"/>
  <c r="AF519" i="1" s="1"/>
  <c r="AF520" i="1" s="1"/>
  <c r="AF521" i="1" s="1"/>
  <c r="AF522" i="1" s="1"/>
  <c r="AF523" i="1" s="1"/>
  <c r="AF524" i="1" s="1"/>
  <c r="AF525" i="1" s="1"/>
  <c r="AF526" i="1" s="1"/>
  <c r="AF527" i="1" s="1"/>
  <c r="AF528" i="1" s="1"/>
  <c r="AF529" i="1" s="1"/>
  <c r="AF530" i="1" s="1"/>
  <c r="AF531" i="1" s="1"/>
  <c r="AF532" i="1" s="1"/>
  <c r="AF533" i="1" s="1"/>
  <c r="AF534" i="1" s="1"/>
  <c r="AF535" i="1" s="1"/>
  <c r="AF536" i="1" s="1"/>
  <c r="AF537" i="1" s="1"/>
  <c r="AF538" i="1" s="1"/>
  <c r="AF539" i="1" s="1"/>
  <c r="AF540" i="1" s="1"/>
  <c r="AF541" i="1" s="1"/>
  <c r="AF542" i="1" s="1"/>
  <c r="AF543" i="1" s="1"/>
  <c r="AF544" i="1" s="1"/>
  <c r="AF545" i="1" s="1"/>
  <c r="AF546" i="1" s="1"/>
  <c r="AF547" i="1" s="1"/>
  <c r="U414" i="1"/>
  <c r="U415" i="1" s="1"/>
  <c r="U416" i="1" s="1"/>
  <c r="U417" i="1" s="1"/>
  <c r="U418" i="1" s="1"/>
  <c r="U419" i="1" s="1"/>
  <c r="U420" i="1" s="1"/>
  <c r="U421" i="1" s="1"/>
  <c r="U422" i="1" s="1"/>
  <c r="U423" i="1" s="1"/>
  <c r="U424" i="1" s="1"/>
  <c r="U425" i="1" s="1"/>
  <c r="U426" i="1" s="1"/>
  <c r="U427" i="1" s="1"/>
  <c r="U428" i="1" s="1"/>
  <c r="U429" i="1" s="1"/>
  <c r="U430" i="1" s="1"/>
  <c r="U431" i="1" s="1"/>
  <c r="U432" i="1" s="1"/>
  <c r="U433" i="1" s="1"/>
  <c r="U434" i="1" s="1"/>
  <c r="U435" i="1" s="1"/>
  <c r="U436" i="1" s="1"/>
  <c r="U437" i="1" s="1"/>
  <c r="U438" i="1" s="1"/>
  <c r="U439" i="1" s="1"/>
  <c r="U440" i="1" s="1"/>
  <c r="U441" i="1" s="1"/>
  <c r="U442" i="1" s="1"/>
  <c r="U443" i="1" s="1"/>
  <c r="U444" i="1" s="1"/>
  <c r="U445" i="1" s="1"/>
  <c r="U446" i="1" s="1"/>
  <c r="U447" i="1" s="1"/>
  <c r="U448" i="1" s="1"/>
  <c r="U449" i="1" s="1"/>
  <c r="U450" i="1" s="1"/>
  <c r="U451" i="1" s="1"/>
  <c r="U452" i="1" s="1"/>
  <c r="U453" i="1" s="1"/>
  <c r="U454" i="1" s="1"/>
  <c r="U455" i="1" s="1"/>
  <c r="U456" i="1" s="1"/>
  <c r="K414" i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J446" i="1"/>
  <c r="I446" i="1"/>
  <c r="H446" i="1"/>
  <c r="G446" i="1"/>
  <c r="F446" i="1"/>
  <c r="E446" i="1"/>
  <c r="D446" i="1"/>
  <c r="AC412" i="1"/>
  <c r="AB412" i="1"/>
  <c r="AA412" i="1"/>
  <c r="Z412" i="1"/>
  <c r="Y412" i="1"/>
  <c r="X412" i="1"/>
  <c r="W412" i="1"/>
  <c r="V412" i="1"/>
  <c r="F413" i="1"/>
  <c r="E413" i="1"/>
  <c r="D413" i="1"/>
  <c r="G457" i="1"/>
  <c r="H413" i="1" l="1"/>
  <c r="B413" i="1"/>
  <c r="I413" i="1"/>
  <c r="F457" i="1"/>
  <c r="BI547" i="1"/>
  <c r="HW547" i="1"/>
  <c r="EI28" i="1"/>
  <c r="BI517" i="1"/>
  <c r="BJ29" i="1"/>
  <c r="BI28" i="1"/>
  <c r="J413" i="1"/>
  <c r="EI413" i="1"/>
  <c r="HW517" i="1"/>
  <c r="C29" i="1"/>
  <c r="B28" i="1"/>
  <c r="B547" i="1"/>
  <c r="EI488" i="1"/>
  <c r="HW457" i="1"/>
  <c r="LO413" i="1"/>
  <c r="LQ413" i="1" s="1"/>
  <c r="HY28" i="1"/>
  <c r="HW28" i="1"/>
  <c r="EI517" i="1"/>
  <c r="HW413" i="1"/>
  <c r="HZ28" i="1"/>
  <c r="BI457" i="1"/>
  <c r="EI547" i="1"/>
  <c r="IA28" i="1"/>
  <c r="LO28" i="1"/>
  <c r="LO29" i="1" s="1"/>
  <c r="LO30" i="1" s="1"/>
  <c r="LO31" i="1" s="1"/>
  <c r="LO32" i="1" s="1"/>
  <c r="LO33" i="1" s="1"/>
  <c r="LO34" i="1" s="1"/>
  <c r="LO35" i="1" s="1"/>
  <c r="LO36" i="1" s="1"/>
  <c r="LO37" i="1" s="1"/>
  <c r="LO38" i="1" s="1"/>
  <c r="LO39" i="1" s="1"/>
  <c r="LO40" i="1" s="1"/>
  <c r="LO41" i="1" s="1"/>
  <c r="LO42" i="1" s="1"/>
  <c r="LO43" i="1" s="1"/>
  <c r="LO44" i="1" s="1"/>
  <c r="LO45" i="1" s="1"/>
  <c r="LO46" i="1" s="1"/>
  <c r="LO47" i="1" s="1"/>
  <c r="LO48" i="1" s="1"/>
  <c r="LO49" i="1" s="1"/>
  <c r="LO50" i="1" s="1"/>
  <c r="LO51" i="1" s="1"/>
  <c r="LO52" i="1" s="1"/>
  <c r="LO53" i="1" s="1"/>
  <c r="LO54" i="1" s="1"/>
  <c r="LO55" i="1" s="1"/>
  <c r="LO56" i="1" s="1"/>
  <c r="LO57" i="1" s="1"/>
  <c r="LO58" i="1" s="1"/>
  <c r="LO59" i="1" s="1"/>
  <c r="LO60" i="1" s="1"/>
  <c r="LO61" i="1" s="1"/>
  <c r="LO62" i="1" s="1"/>
  <c r="LO63" i="1" s="1"/>
  <c r="LO64" i="1" s="1"/>
  <c r="LO65" i="1" s="1"/>
  <c r="LO66" i="1" s="1"/>
  <c r="LO67" i="1" s="1"/>
  <c r="LO68" i="1" s="1"/>
  <c r="LO69" i="1" s="1"/>
  <c r="LO70" i="1" s="1"/>
  <c r="LO71" i="1" s="1"/>
  <c r="LO72" i="1" s="1"/>
  <c r="LO73" i="1" s="1"/>
  <c r="LO74" i="1" s="1"/>
  <c r="LO75" i="1" s="1"/>
  <c r="LO76" i="1" s="1"/>
  <c r="LO77" i="1" s="1"/>
  <c r="LO78" i="1" s="1"/>
  <c r="LO79" i="1" s="1"/>
  <c r="LO80" i="1" s="1"/>
  <c r="LO81" i="1" s="1"/>
  <c r="LO82" i="1" s="1"/>
  <c r="LO83" i="1" s="1"/>
  <c r="LO84" i="1" s="1"/>
  <c r="LO85" i="1" s="1"/>
  <c r="LO86" i="1" s="1"/>
  <c r="LO87" i="1" s="1"/>
  <c r="LO88" i="1" s="1"/>
  <c r="LO89" i="1" s="1"/>
  <c r="LO90" i="1" s="1"/>
  <c r="LO91" i="1" s="1"/>
  <c r="LO92" i="1" s="1"/>
  <c r="LO93" i="1" s="1"/>
  <c r="LO94" i="1" s="1"/>
  <c r="LO95" i="1" s="1"/>
  <c r="LO96" i="1" s="1"/>
  <c r="LO97" i="1" s="1"/>
  <c r="LO98" i="1" s="1"/>
  <c r="LO99" i="1" s="1"/>
  <c r="LO100" i="1" s="1"/>
  <c r="LO101" i="1" s="1"/>
  <c r="LO102" i="1" s="1"/>
  <c r="LO103" i="1" s="1"/>
  <c r="LO104" i="1" s="1"/>
  <c r="LO105" i="1" s="1"/>
  <c r="LO106" i="1" s="1"/>
  <c r="LO107" i="1" s="1"/>
  <c r="LO108" i="1" s="1"/>
  <c r="LO109" i="1" s="1"/>
  <c r="LO110" i="1" s="1"/>
  <c r="LO111" i="1" s="1"/>
  <c r="LO112" i="1" s="1"/>
  <c r="LO113" i="1" s="1"/>
  <c r="LO114" i="1" s="1"/>
  <c r="LO115" i="1" s="1"/>
  <c r="LO116" i="1" s="1"/>
  <c r="LO117" i="1" s="1"/>
  <c r="LO118" i="1" s="1"/>
  <c r="LO119" i="1" s="1"/>
  <c r="LO120" i="1" s="1"/>
  <c r="LO121" i="1" s="1"/>
  <c r="LO122" i="1" s="1"/>
  <c r="LO123" i="1" s="1"/>
  <c r="LO124" i="1" s="1"/>
  <c r="LO125" i="1" s="1"/>
  <c r="LO126" i="1" s="1"/>
  <c r="LO127" i="1" s="1"/>
  <c r="LO128" i="1" s="1"/>
  <c r="LO129" i="1" s="1"/>
  <c r="LO130" i="1" s="1"/>
  <c r="LO131" i="1" s="1"/>
  <c r="LO132" i="1" s="1"/>
  <c r="LO133" i="1" s="1"/>
  <c r="LO134" i="1" s="1"/>
  <c r="LO135" i="1" s="1"/>
  <c r="LO136" i="1" s="1"/>
  <c r="LO137" i="1" s="1"/>
  <c r="LO138" i="1" s="1"/>
  <c r="LO139" i="1" s="1"/>
  <c r="LO140" i="1" s="1"/>
  <c r="LO141" i="1" s="1"/>
  <c r="LO142" i="1" s="1"/>
  <c r="LO143" i="1" s="1"/>
  <c r="LO144" i="1" s="1"/>
  <c r="LO145" i="1" s="1"/>
  <c r="LO146" i="1" s="1"/>
  <c r="LO147" i="1" s="1"/>
  <c r="LO148" i="1" s="1"/>
  <c r="LO149" i="1" s="1"/>
  <c r="LO150" i="1" s="1"/>
  <c r="LO151" i="1" s="1"/>
  <c r="LO152" i="1" s="1"/>
  <c r="LO153" i="1" s="1"/>
  <c r="LO154" i="1" s="1"/>
  <c r="LO155" i="1" s="1"/>
  <c r="LO156" i="1" s="1"/>
  <c r="LO157" i="1" s="1"/>
  <c r="LO158" i="1" s="1"/>
  <c r="LO159" i="1" s="1"/>
  <c r="LO160" i="1" s="1"/>
  <c r="LO161" i="1" s="1"/>
  <c r="LO162" i="1" s="1"/>
  <c r="LO163" i="1" s="1"/>
  <c r="LO164" i="1" s="1"/>
  <c r="LO165" i="1" s="1"/>
  <c r="LO166" i="1" s="1"/>
  <c r="LO167" i="1" s="1"/>
  <c r="LO168" i="1" s="1"/>
  <c r="LO169" i="1" s="1"/>
  <c r="LO170" i="1" s="1"/>
  <c r="LO171" i="1" s="1"/>
  <c r="LO172" i="1" s="1"/>
  <c r="LO173" i="1" s="1"/>
  <c r="LO174" i="1" s="1"/>
  <c r="LO175" i="1" s="1"/>
  <c r="LO176" i="1" s="1"/>
  <c r="LO177" i="1" s="1"/>
  <c r="LO178" i="1" s="1"/>
  <c r="LO179" i="1" s="1"/>
  <c r="LO180" i="1" s="1"/>
  <c r="LO181" i="1" s="1"/>
  <c r="LO182" i="1" s="1"/>
  <c r="LO183" i="1" s="1"/>
  <c r="LO184" i="1" s="1"/>
  <c r="LO185" i="1" s="1"/>
  <c r="LO186" i="1" s="1"/>
  <c r="LO187" i="1" s="1"/>
  <c r="LO188" i="1" s="1"/>
  <c r="LO189" i="1" s="1"/>
  <c r="LO190" i="1" s="1"/>
  <c r="LO191" i="1" s="1"/>
  <c r="LO192" i="1" s="1"/>
  <c r="LO193" i="1" s="1"/>
  <c r="LO194" i="1" s="1"/>
  <c r="LO195" i="1" s="1"/>
  <c r="LO196" i="1" s="1"/>
  <c r="LO197" i="1" s="1"/>
  <c r="LO198" i="1" s="1"/>
  <c r="LO199" i="1" s="1"/>
  <c r="LO200" i="1" s="1"/>
  <c r="LO201" i="1" s="1"/>
  <c r="LO202" i="1" s="1"/>
  <c r="LO203" i="1" s="1"/>
  <c r="LO204" i="1" s="1"/>
  <c r="LO205" i="1" s="1"/>
  <c r="LO206" i="1" s="1"/>
  <c r="LO207" i="1" s="1"/>
  <c r="LO208" i="1" s="1"/>
  <c r="LO209" i="1" s="1"/>
  <c r="LO210" i="1" s="1"/>
  <c r="LO211" i="1" s="1"/>
  <c r="LO212" i="1" s="1"/>
  <c r="LO213" i="1" s="1"/>
  <c r="LO214" i="1" s="1"/>
  <c r="LO215" i="1" s="1"/>
  <c r="LO216" i="1" s="1"/>
  <c r="LO217" i="1" s="1"/>
  <c r="LO218" i="1" s="1"/>
  <c r="LO219" i="1" s="1"/>
  <c r="LO220" i="1" s="1"/>
  <c r="LO221" i="1" s="1"/>
  <c r="LO222" i="1" s="1"/>
  <c r="LO223" i="1" s="1"/>
  <c r="LO224" i="1" s="1"/>
  <c r="LO225" i="1" s="1"/>
  <c r="LO226" i="1" s="1"/>
  <c r="LO227" i="1" s="1"/>
  <c r="LO228" i="1" s="1"/>
  <c r="LO229" i="1" s="1"/>
  <c r="LO230" i="1" s="1"/>
  <c r="LO231" i="1" s="1"/>
  <c r="LO232" i="1" s="1"/>
  <c r="LO233" i="1" s="1"/>
  <c r="LO234" i="1" s="1"/>
  <c r="LO235" i="1" s="1"/>
  <c r="LO236" i="1" s="1"/>
  <c r="LO237" i="1" s="1"/>
  <c r="LO238" i="1" s="1"/>
  <c r="LO239" i="1" s="1"/>
  <c r="LO240" i="1" s="1"/>
  <c r="LO241" i="1" s="1"/>
  <c r="LO242" i="1" s="1"/>
  <c r="LO243" i="1" s="1"/>
  <c r="LO244" i="1" s="1"/>
  <c r="LO245" i="1" s="1"/>
  <c r="LO246" i="1" s="1"/>
  <c r="LO247" i="1" s="1"/>
  <c r="LO248" i="1" s="1"/>
  <c r="LO249" i="1" s="1"/>
  <c r="LO250" i="1" s="1"/>
  <c r="LO251" i="1" s="1"/>
  <c r="LO252" i="1" s="1"/>
  <c r="LO253" i="1" s="1"/>
  <c r="LO254" i="1" s="1"/>
  <c r="LO255" i="1" s="1"/>
  <c r="LO256" i="1" s="1"/>
  <c r="LO257" i="1" s="1"/>
  <c r="LO258" i="1" s="1"/>
  <c r="LO259" i="1" s="1"/>
  <c r="LO260" i="1" s="1"/>
  <c r="LO261" i="1" s="1"/>
  <c r="LO262" i="1" s="1"/>
  <c r="LO263" i="1" s="1"/>
  <c r="LO264" i="1" s="1"/>
  <c r="LO265" i="1" s="1"/>
  <c r="LO266" i="1" s="1"/>
  <c r="LO267" i="1" s="1"/>
  <c r="LU29" i="1"/>
  <c r="LU30" i="1" s="1"/>
  <c r="LU31" i="1" s="1"/>
  <c r="LU32" i="1" s="1"/>
  <c r="LU33" i="1" s="1"/>
  <c r="LU34" i="1" s="1"/>
  <c r="LU35" i="1" s="1"/>
  <c r="LU36" i="1" s="1"/>
  <c r="LU37" i="1" s="1"/>
  <c r="LU38" i="1" s="1"/>
  <c r="LU39" i="1" s="1"/>
  <c r="LU40" i="1" s="1"/>
  <c r="LU41" i="1" s="1"/>
  <c r="LU42" i="1" s="1"/>
  <c r="LU43" i="1" s="1"/>
  <c r="LU44" i="1" s="1"/>
  <c r="LU45" i="1" s="1"/>
  <c r="LU46" i="1" s="1"/>
  <c r="LU47" i="1" s="1"/>
  <c r="LU48" i="1" s="1"/>
  <c r="LU49" i="1" s="1"/>
  <c r="LU50" i="1" s="1"/>
  <c r="LU51" i="1" s="1"/>
  <c r="LU52" i="1" s="1"/>
  <c r="LU53" i="1" s="1"/>
  <c r="LU54" i="1" s="1"/>
  <c r="LU55" i="1" s="1"/>
  <c r="LU56" i="1" s="1"/>
  <c r="LU57" i="1" s="1"/>
  <c r="LU58" i="1" s="1"/>
  <c r="LU59" i="1" s="1"/>
  <c r="LU60" i="1" s="1"/>
  <c r="LU61" i="1" s="1"/>
  <c r="LU62" i="1" s="1"/>
  <c r="LU63" i="1" s="1"/>
  <c r="LU64" i="1" s="1"/>
  <c r="LU65" i="1" s="1"/>
  <c r="LU66" i="1" s="1"/>
  <c r="LU67" i="1" s="1"/>
  <c r="LU68" i="1" s="1"/>
  <c r="LU69" i="1" s="1"/>
  <c r="LU70" i="1" s="1"/>
  <c r="LU71" i="1" s="1"/>
  <c r="LU72" i="1" s="1"/>
  <c r="LU73" i="1" s="1"/>
  <c r="LU74" i="1" s="1"/>
  <c r="LU75" i="1" s="1"/>
  <c r="LU76" i="1" s="1"/>
  <c r="LU77" i="1" s="1"/>
  <c r="LU78" i="1" s="1"/>
  <c r="LU79" i="1" s="1"/>
  <c r="LU80" i="1" s="1"/>
  <c r="LU81" i="1" s="1"/>
  <c r="LU82" i="1" s="1"/>
  <c r="LU83" i="1" s="1"/>
  <c r="LU84" i="1" s="1"/>
  <c r="LU85" i="1" s="1"/>
  <c r="LU86" i="1" s="1"/>
  <c r="LU87" i="1" s="1"/>
  <c r="LU88" i="1" s="1"/>
  <c r="LU89" i="1" s="1"/>
  <c r="LU90" i="1" s="1"/>
  <c r="LU91" i="1" s="1"/>
  <c r="LU92" i="1" s="1"/>
  <c r="LU93" i="1" s="1"/>
  <c r="LU94" i="1" s="1"/>
  <c r="LU95" i="1" s="1"/>
  <c r="LU96" i="1" s="1"/>
  <c r="LU97" i="1" s="1"/>
  <c r="LU98" i="1" s="1"/>
  <c r="LU99" i="1" s="1"/>
  <c r="LU100" i="1" s="1"/>
  <c r="LU101" i="1" s="1"/>
  <c r="LU102" i="1" s="1"/>
  <c r="LU103" i="1" s="1"/>
  <c r="LU104" i="1" s="1"/>
  <c r="LU105" i="1" s="1"/>
  <c r="LU106" i="1" s="1"/>
  <c r="LU107" i="1" s="1"/>
  <c r="LU108" i="1" s="1"/>
  <c r="LU109" i="1" s="1"/>
  <c r="LU110" i="1" s="1"/>
  <c r="LU111" i="1" s="1"/>
  <c r="LU112" i="1" s="1"/>
  <c r="LU113" i="1" s="1"/>
  <c r="LU114" i="1" s="1"/>
  <c r="LU115" i="1" s="1"/>
  <c r="LU116" i="1" s="1"/>
  <c r="LU117" i="1" s="1"/>
  <c r="LU118" i="1" s="1"/>
  <c r="LU119" i="1" s="1"/>
  <c r="LU120" i="1" s="1"/>
  <c r="LU121" i="1" s="1"/>
  <c r="LU122" i="1" s="1"/>
  <c r="LU123" i="1" s="1"/>
  <c r="LU124" i="1" s="1"/>
  <c r="LU125" i="1" s="1"/>
  <c r="LU126" i="1" s="1"/>
  <c r="LU127" i="1" s="1"/>
  <c r="LU128" i="1" s="1"/>
  <c r="LU129" i="1" s="1"/>
  <c r="LU130" i="1" s="1"/>
  <c r="LU131" i="1" s="1"/>
  <c r="LU132" i="1" s="1"/>
  <c r="LU133" i="1" s="1"/>
  <c r="LU134" i="1" s="1"/>
  <c r="LU135" i="1" s="1"/>
  <c r="LU136" i="1" s="1"/>
  <c r="LU137" i="1" s="1"/>
  <c r="LU138" i="1" s="1"/>
  <c r="LU139" i="1" s="1"/>
  <c r="LU140" i="1" s="1"/>
  <c r="LU141" i="1" s="1"/>
  <c r="LU142" i="1" s="1"/>
  <c r="LU143" i="1" s="1"/>
  <c r="LU144" i="1" s="1"/>
  <c r="LU145" i="1" s="1"/>
  <c r="LU146" i="1" s="1"/>
  <c r="LU147" i="1" s="1"/>
  <c r="LU148" i="1" s="1"/>
  <c r="LU149" i="1" s="1"/>
  <c r="LU150" i="1" s="1"/>
  <c r="LU151" i="1" s="1"/>
  <c r="LU152" i="1" s="1"/>
  <c r="LU153" i="1" s="1"/>
  <c r="LU154" i="1" s="1"/>
  <c r="LU155" i="1" s="1"/>
  <c r="LU156" i="1" s="1"/>
  <c r="LU157" i="1" s="1"/>
  <c r="LU158" i="1" s="1"/>
  <c r="LU159" i="1" s="1"/>
  <c r="LU160" i="1" s="1"/>
  <c r="LU161" i="1" s="1"/>
  <c r="LU162" i="1" s="1"/>
  <c r="LU163" i="1" s="1"/>
  <c r="LU164" i="1" s="1"/>
  <c r="LU165" i="1" s="1"/>
  <c r="LU166" i="1" s="1"/>
  <c r="LU167" i="1" s="1"/>
  <c r="LU168" i="1" s="1"/>
  <c r="LU169" i="1" s="1"/>
  <c r="LU170" i="1" s="1"/>
  <c r="LU171" i="1" s="1"/>
  <c r="LU172" i="1" s="1"/>
  <c r="LU173" i="1" s="1"/>
  <c r="LU174" i="1" s="1"/>
  <c r="LU175" i="1" s="1"/>
  <c r="LU176" i="1" s="1"/>
  <c r="LU177" i="1" s="1"/>
  <c r="LU178" i="1" s="1"/>
  <c r="LU179" i="1" s="1"/>
  <c r="LU180" i="1" s="1"/>
  <c r="LU181" i="1" s="1"/>
  <c r="LU182" i="1" s="1"/>
  <c r="LU183" i="1" s="1"/>
  <c r="LU184" i="1" s="1"/>
  <c r="LU185" i="1" s="1"/>
  <c r="LU186" i="1" s="1"/>
  <c r="LU187" i="1" s="1"/>
  <c r="LU188" i="1" s="1"/>
  <c r="LU189" i="1" s="1"/>
  <c r="LU190" i="1" s="1"/>
  <c r="LU191" i="1" s="1"/>
  <c r="LU192" i="1" s="1"/>
  <c r="LU193" i="1" s="1"/>
  <c r="LU194" i="1" s="1"/>
  <c r="LU195" i="1" s="1"/>
  <c r="LU196" i="1" s="1"/>
  <c r="LU197" i="1" s="1"/>
  <c r="LU198" i="1" s="1"/>
  <c r="LU199" i="1" s="1"/>
  <c r="LU200" i="1" s="1"/>
  <c r="LU201" i="1" s="1"/>
  <c r="LU202" i="1" s="1"/>
  <c r="LU203" i="1" s="1"/>
  <c r="LU204" i="1" s="1"/>
  <c r="LU205" i="1" s="1"/>
  <c r="LU206" i="1" s="1"/>
  <c r="LU207" i="1" s="1"/>
  <c r="LU208" i="1" s="1"/>
  <c r="LU209" i="1" s="1"/>
  <c r="LU210" i="1" s="1"/>
  <c r="LU211" i="1" s="1"/>
  <c r="LU212" i="1" s="1"/>
  <c r="LU213" i="1" s="1"/>
  <c r="LU214" i="1" s="1"/>
  <c r="LU215" i="1" s="1"/>
  <c r="LU216" i="1" s="1"/>
  <c r="LU217" i="1" s="1"/>
  <c r="LU218" i="1" s="1"/>
  <c r="LU219" i="1" s="1"/>
  <c r="LU220" i="1" s="1"/>
  <c r="LU221" i="1" s="1"/>
  <c r="LU222" i="1" s="1"/>
  <c r="LU223" i="1" s="1"/>
  <c r="LU224" i="1" s="1"/>
  <c r="LU225" i="1" s="1"/>
  <c r="LU226" i="1" s="1"/>
  <c r="LU227" i="1" s="1"/>
  <c r="LU228" i="1" s="1"/>
  <c r="LU229" i="1" s="1"/>
  <c r="LU230" i="1" s="1"/>
  <c r="LU231" i="1" s="1"/>
  <c r="LU232" i="1" s="1"/>
  <c r="LU233" i="1" s="1"/>
  <c r="LU234" i="1" s="1"/>
  <c r="LU235" i="1" s="1"/>
  <c r="LU236" i="1" s="1"/>
  <c r="LU237" i="1" s="1"/>
  <c r="LU238" i="1" s="1"/>
  <c r="LU239" i="1" s="1"/>
  <c r="LU240" i="1" s="1"/>
  <c r="LU241" i="1" s="1"/>
  <c r="LU242" i="1" s="1"/>
  <c r="LU243" i="1" s="1"/>
  <c r="LU244" i="1" s="1"/>
  <c r="LU245" i="1" s="1"/>
  <c r="LU246" i="1" s="1"/>
  <c r="LU247" i="1" s="1"/>
  <c r="LU248" i="1" s="1"/>
  <c r="LU249" i="1" s="1"/>
  <c r="LU250" i="1" s="1"/>
  <c r="LU251" i="1" s="1"/>
  <c r="LU252" i="1" s="1"/>
  <c r="LU253" i="1" s="1"/>
  <c r="LU254" i="1" s="1"/>
  <c r="LU255" i="1" s="1"/>
  <c r="LU256" i="1" s="1"/>
  <c r="LU257" i="1" s="1"/>
  <c r="LU258" i="1" s="1"/>
  <c r="LU259" i="1" s="1"/>
  <c r="LU260" i="1" s="1"/>
  <c r="LU261" i="1" s="1"/>
  <c r="LU262" i="1" s="1"/>
  <c r="LU263" i="1" s="1"/>
  <c r="LU264" i="1" s="1"/>
  <c r="LU265" i="1" s="1"/>
  <c r="LU266" i="1" s="1"/>
  <c r="LU267" i="1" s="1"/>
  <c r="AG489" i="1"/>
  <c r="AG490" i="1" s="1"/>
  <c r="AG491" i="1" s="1"/>
  <c r="AG492" i="1" s="1"/>
  <c r="AG493" i="1" s="1"/>
  <c r="AG494" i="1" s="1"/>
  <c r="AG495" i="1" s="1"/>
  <c r="AG496" i="1" s="1"/>
  <c r="AG497" i="1" s="1"/>
  <c r="AG498" i="1" s="1"/>
  <c r="AG499" i="1" s="1"/>
  <c r="AG500" i="1" s="1"/>
  <c r="AG501" i="1" s="1"/>
  <c r="AG502" i="1" s="1"/>
  <c r="AG503" i="1" s="1"/>
  <c r="AG504" i="1" s="1"/>
  <c r="AG505" i="1" s="1"/>
  <c r="BI488" i="1"/>
  <c r="LO517" i="1"/>
  <c r="IB28" i="1"/>
  <c r="H457" i="1"/>
  <c r="I457" i="1"/>
  <c r="J457" i="1"/>
  <c r="ID28" i="1"/>
  <c r="IE28" i="1" s="1"/>
  <c r="D457" i="1"/>
  <c r="HN432" i="1"/>
  <c r="HD432" i="1" s="1"/>
  <c r="E457" i="1"/>
  <c r="AG456" i="1"/>
  <c r="AG455" i="1" s="1"/>
  <c r="AG454" i="1" s="1"/>
  <c r="AG453" i="1" s="1"/>
  <c r="AG452" i="1" s="1"/>
  <c r="AG451" i="1" s="1"/>
  <c r="AG450" i="1" s="1"/>
  <c r="AG449" i="1" s="1"/>
  <c r="AG448" i="1" s="1"/>
  <c r="AG447" i="1" s="1"/>
  <c r="AG446" i="1" s="1"/>
  <c r="AG445" i="1" s="1"/>
  <c r="AG444" i="1" s="1"/>
  <c r="AG443" i="1" s="1"/>
  <c r="AG442" i="1" s="1"/>
  <c r="AG441" i="1" s="1"/>
  <c r="AG440" i="1" s="1"/>
  <c r="AG439" i="1" s="1"/>
  <c r="AG438" i="1" s="1"/>
  <c r="AG437" i="1" s="1"/>
  <c r="AG436" i="1" s="1"/>
  <c r="AG435" i="1" s="1"/>
  <c r="AG434" i="1" s="1"/>
  <c r="AG433" i="1" s="1"/>
  <c r="AG432" i="1" s="1"/>
  <c r="AG431" i="1" s="1"/>
  <c r="AG430" i="1" s="1"/>
  <c r="AG429" i="1" s="1"/>
  <c r="AG428" i="1" s="1"/>
  <c r="AG427" i="1" s="1"/>
  <c r="AG426" i="1" s="1"/>
  <c r="AG425" i="1" s="1"/>
  <c r="AG424" i="1" s="1"/>
  <c r="AG423" i="1" s="1"/>
  <c r="AG422" i="1" s="1"/>
  <c r="AG421" i="1" s="1"/>
  <c r="AG420" i="1" s="1"/>
  <c r="AG419" i="1" s="1"/>
  <c r="AG418" i="1" s="1"/>
  <c r="AG417" i="1" s="1"/>
  <c r="AG416" i="1" s="1"/>
  <c r="AG415" i="1" s="1"/>
  <c r="AG414" i="1" s="1"/>
  <c r="G413" i="1"/>
  <c r="BJ30" i="1" l="1"/>
  <c r="BI29" i="1"/>
  <c r="B29" i="1"/>
  <c r="C30" i="1"/>
  <c r="C31" i="1" l="1"/>
  <c r="B30" i="1"/>
  <c r="BJ31" i="1"/>
  <c r="BI30" i="1"/>
  <c r="BJ32" i="1" l="1"/>
  <c r="BI31" i="1"/>
  <c r="C32" i="1"/>
  <c r="B31" i="1"/>
  <c r="C33" i="1" l="1"/>
  <c r="B32" i="1"/>
  <c r="BJ33" i="1"/>
  <c r="BI32" i="1"/>
  <c r="BJ34" i="1" l="1"/>
  <c r="BI33" i="1"/>
  <c r="C34" i="1"/>
  <c r="B33" i="1"/>
  <c r="C35" i="1" l="1"/>
  <c r="B34" i="1"/>
  <c r="BJ35" i="1"/>
  <c r="BI34" i="1"/>
  <c r="BJ36" i="1" l="1"/>
  <c r="BI35" i="1"/>
  <c r="C36" i="1"/>
  <c r="B35" i="1"/>
  <c r="C37" i="1" l="1"/>
  <c r="B36" i="1"/>
  <c r="BJ37" i="1"/>
  <c r="BI36" i="1"/>
  <c r="BJ38" i="1" l="1"/>
  <c r="BI37" i="1"/>
  <c r="C38" i="1"/>
  <c r="B37" i="1"/>
  <c r="C39" i="1" l="1"/>
  <c r="B38" i="1"/>
  <c r="BJ39" i="1"/>
  <c r="BI38" i="1"/>
  <c r="BJ40" i="1" l="1"/>
  <c r="BI39" i="1"/>
  <c r="C40" i="1"/>
  <c r="B39" i="1"/>
  <c r="C41" i="1" l="1"/>
  <c r="B40" i="1"/>
  <c r="BJ41" i="1"/>
  <c r="BI40" i="1"/>
  <c r="BJ42" i="1" l="1"/>
  <c r="BI41" i="1"/>
  <c r="C42" i="1"/>
  <c r="B41" i="1"/>
  <c r="C43" i="1" l="1"/>
  <c r="B42" i="1"/>
  <c r="BJ43" i="1"/>
  <c r="BI42" i="1"/>
  <c r="BJ44" i="1" l="1"/>
  <c r="BI43" i="1"/>
  <c r="C44" i="1"/>
  <c r="B43" i="1"/>
  <c r="C45" i="1" l="1"/>
  <c r="B44" i="1"/>
  <c r="BJ45" i="1"/>
  <c r="BI44" i="1"/>
  <c r="BJ46" i="1" l="1"/>
  <c r="BI45" i="1"/>
  <c r="C46" i="1"/>
  <c r="B45" i="1"/>
  <c r="C47" i="1" l="1"/>
  <c r="B46" i="1"/>
  <c r="BJ47" i="1"/>
  <c r="BI46" i="1"/>
  <c r="BJ48" i="1" l="1"/>
  <c r="BI47" i="1"/>
  <c r="C48" i="1"/>
  <c r="B47" i="1"/>
  <c r="C49" i="1" l="1"/>
  <c r="B48" i="1"/>
  <c r="BJ49" i="1"/>
  <c r="BI48" i="1"/>
  <c r="BJ50" i="1" l="1"/>
  <c r="BI49" i="1"/>
  <c r="C50" i="1"/>
  <c r="B49" i="1"/>
  <c r="C51" i="1" l="1"/>
  <c r="B50" i="1"/>
  <c r="BJ51" i="1"/>
  <c r="BI50" i="1"/>
  <c r="BJ52" i="1" l="1"/>
  <c r="BI51" i="1"/>
  <c r="C52" i="1"/>
  <c r="B51" i="1"/>
  <c r="C53" i="1" l="1"/>
  <c r="B52" i="1"/>
  <c r="BJ53" i="1"/>
  <c r="BI52" i="1"/>
  <c r="BJ54" i="1" l="1"/>
  <c r="BI53" i="1"/>
  <c r="C54" i="1"/>
  <c r="B53" i="1"/>
  <c r="C55" i="1" l="1"/>
  <c r="B54" i="1"/>
  <c r="BJ55" i="1"/>
  <c r="BI54" i="1"/>
  <c r="BJ56" i="1" l="1"/>
  <c r="BI55" i="1"/>
  <c r="C56" i="1"/>
  <c r="B55" i="1"/>
  <c r="C57" i="1" l="1"/>
  <c r="B56" i="1"/>
  <c r="BJ57" i="1"/>
  <c r="BI56" i="1"/>
  <c r="BJ58" i="1" l="1"/>
  <c r="BI57" i="1"/>
  <c r="C58" i="1"/>
  <c r="B57" i="1"/>
  <c r="C59" i="1" l="1"/>
  <c r="B58" i="1"/>
  <c r="BJ59" i="1"/>
  <c r="BI58" i="1"/>
  <c r="BJ60" i="1" l="1"/>
  <c r="BI59" i="1"/>
  <c r="C60" i="1"/>
  <c r="B59" i="1"/>
  <c r="C61" i="1" l="1"/>
  <c r="B60" i="1"/>
  <c r="BJ61" i="1"/>
  <c r="BI60" i="1"/>
  <c r="BJ62" i="1" l="1"/>
  <c r="BI61" i="1"/>
  <c r="C62" i="1"/>
  <c r="B61" i="1"/>
  <c r="C63" i="1" l="1"/>
  <c r="B62" i="1"/>
  <c r="BJ63" i="1"/>
  <c r="BI62" i="1"/>
  <c r="BJ64" i="1" l="1"/>
  <c r="BI63" i="1"/>
  <c r="C64" i="1"/>
  <c r="B63" i="1"/>
  <c r="C65" i="1" l="1"/>
  <c r="B64" i="1"/>
  <c r="BJ65" i="1"/>
  <c r="BI64" i="1"/>
  <c r="BJ66" i="1" l="1"/>
  <c r="BI65" i="1"/>
  <c r="C66" i="1"/>
  <c r="B65" i="1"/>
  <c r="C67" i="1" l="1"/>
  <c r="B66" i="1"/>
  <c r="BJ67" i="1"/>
  <c r="BI66" i="1"/>
  <c r="C68" i="1" l="1"/>
  <c r="B67" i="1"/>
  <c r="BJ68" i="1"/>
  <c r="BI67" i="1"/>
  <c r="BJ69" i="1" l="1"/>
  <c r="BI68" i="1"/>
  <c r="C69" i="1"/>
  <c r="B68" i="1"/>
  <c r="C70" i="1" l="1"/>
  <c r="B69" i="1"/>
  <c r="BJ70" i="1"/>
  <c r="BI69" i="1"/>
  <c r="BJ71" i="1" l="1"/>
  <c r="BI70" i="1"/>
  <c r="C71" i="1"/>
  <c r="B70" i="1"/>
  <c r="C72" i="1" l="1"/>
  <c r="B71" i="1"/>
  <c r="BJ72" i="1"/>
  <c r="BI71" i="1"/>
  <c r="BJ73" i="1" l="1"/>
  <c r="BI72" i="1"/>
  <c r="C73" i="1"/>
  <c r="B72" i="1"/>
  <c r="C74" i="1" l="1"/>
  <c r="B73" i="1"/>
  <c r="BJ74" i="1"/>
  <c r="BI73" i="1"/>
  <c r="BJ75" i="1" l="1"/>
  <c r="BI74" i="1"/>
  <c r="C75" i="1"/>
  <c r="B74" i="1"/>
  <c r="C76" i="1" l="1"/>
  <c r="B75" i="1"/>
  <c r="BJ76" i="1"/>
  <c r="BI75" i="1"/>
  <c r="BJ77" i="1" l="1"/>
  <c r="BI76" i="1"/>
  <c r="C77" i="1"/>
  <c r="B76" i="1"/>
  <c r="C78" i="1" l="1"/>
  <c r="B77" i="1"/>
  <c r="BJ78" i="1"/>
  <c r="BI77" i="1"/>
  <c r="BJ79" i="1" l="1"/>
  <c r="BI78" i="1"/>
  <c r="C79" i="1"/>
  <c r="B78" i="1"/>
  <c r="C80" i="1" l="1"/>
  <c r="B79" i="1"/>
  <c r="BJ80" i="1"/>
  <c r="BI79" i="1"/>
  <c r="BJ81" i="1" l="1"/>
  <c r="BI80" i="1"/>
  <c r="C81" i="1"/>
  <c r="B80" i="1"/>
  <c r="C82" i="1" l="1"/>
  <c r="B81" i="1"/>
  <c r="BJ82" i="1"/>
  <c r="BI81" i="1"/>
  <c r="BJ83" i="1" l="1"/>
  <c r="BI82" i="1"/>
  <c r="C83" i="1"/>
  <c r="B82" i="1"/>
  <c r="C84" i="1" l="1"/>
  <c r="B83" i="1"/>
  <c r="BJ84" i="1"/>
  <c r="BI83" i="1"/>
  <c r="BJ85" i="1" l="1"/>
  <c r="BI84" i="1"/>
  <c r="C85" i="1"/>
  <c r="B84" i="1"/>
  <c r="C86" i="1" l="1"/>
  <c r="B85" i="1"/>
  <c r="BJ86" i="1"/>
  <c r="BI85" i="1"/>
  <c r="BJ87" i="1" l="1"/>
  <c r="BI86" i="1"/>
  <c r="C87" i="1"/>
  <c r="B86" i="1"/>
  <c r="C88" i="1" l="1"/>
  <c r="B87" i="1"/>
  <c r="BJ88" i="1"/>
  <c r="BI87" i="1"/>
  <c r="BJ89" i="1" l="1"/>
  <c r="BI88" i="1"/>
  <c r="C89" i="1"/>
  <c r="B88" i="1"/>
  <c r="C90" i="1" l="1"/>
  <c r="B89" i="1"/>
  <c r="BJ90" i="1"/>
  <c r="BI89" i="1"/>
  <c r="BJ91" i="1" l="1"/>
  <c r="BI90" i="1"/>
  <c r="C91" i="1"/>
  <c r="B90" i="1"/>
  <c r="C92" i="1" l="1"/>
  <c r="B91" i="1"/>
  <c r="BJ92" i="1"/>
  <c r="BI91" i="1"/>
  <c r="BJ93" i="1" l="1"/>
  <c r="BI92" i="1"/>
  <c r="C93" i="1"/>
  <c r="B92" i="1"/>
  <c r="C94" i="1" l="1"/>
  <c r="B93" i="1"/>
  <c r="BJ94" i="1"/>
  <c r="BI93" i="1"/>
  <c r="BJ95" i="1" l="1"/>
  <c r="BI94" i="1"/>
  <c r="C95" i="1"/>
  <c r="B94" i="1"/>
  <c r="C96" i="1" l="1"/>
  <c r="B95" i="1"/>
  <c r="BJ96" i="1"/>
  <c r="BI95" i="1"/>
  <c r="BJ97" i="1" l="1"/>
  <c r="BI96" i="1"/>
  <c r="C97" i="1"/>
  <c r="B96" i="1"/>
  <c r="C98" i="1" l="1"/>
  <c r="B97" i="1"/>
  <c r="BJ98" i="1"/>
  <c r="BI97" i="1"/>
  <c r="BJ99" i="1" l="1"/>
  <c r="BI98" i="1"/>
  <c r="C99" i="1"/>
  <c r="B98" i="1"/>
  <c r="C100" i="1" l="1"/>
  <c r="B99" i="1"/>
  <c r="BJ100" i="1"/>
  <c r="BI99" i="1"/>
  <c r="BJ101" i="1" l="1"/>
  <c r="BI100" i="1"/>
  <c r="C101" i="1"/>
  <c r="B100" i="1"/>
  <c r="C102" i="1" l="1"/>
  <c r="B101" i="1"/>
  <c r="BJ102" i="1"/>
  <c r="BI101" i="1"/>
  <c r="BJ103" i="1" l="1"/>
  <c r="BI102" i="1"/>
  <c r="C103" i="1"/>
  <c r="B102" i="1"/>
  <c r="C104" i="1" l="1"/>
  <c r="B103" i="1"/>
  <c r="BJ104" i="1"/>
  <c r="BI103" i="1"/>
  <c r="BJ105" i="1" l="1"/>
  <c r="BI104" i="1"/>
  <c r="C105" i="1"/>
  <c r="B104" i="1"/>
  <c r="C106" i="1" l="1"/>
  <c r="B105" i="1"/>
  <c r="BJ106" i="1"/>
  <c r="BI105" i="1"/>
  <c r="BJ107" i="1" l="1"/>
  <c r="BI106" i="1"/>
  <c r="C107" i="1"/>
  <c r="B106" i="1"/>
  <c r="C108" i="1" l="1"/>
  <c r="B107" i="1"/>
  <c r="BJ108" i="1"/>
  <c r="BI107" i="1"/>
  <c r="BJ109" i="1" l="1"/>
  <c r="BI108" i="1"/>
  <c r="C109" i="1"/>
  <c r="B108" i="1"/>
  <c r="C110" i="1" l="1"/>
  <c r="B109" i="1"/>
  <c r="BJ110" i="1"/>
  <c r="BI109" i="1"/>
  <c r="BJ111" i="1" l="1"/>
  <c r="BI110" i="1"/>
  <c r="C111" i="1"/>
  <c r="B110" i="1"/>
  <c r="BJ112" i="1" l="1"/>
  <c r="BI111" i="1"/>
  <c r="C112" i="1"/>
  <c r="B111" i="1"/>
  <c r="C113" i="1" l="1"/>
  <c r="B112" i="1"/>
  <c r="BJ113" i="1"/>
  <c r="BI112" i="1"/>
  <c r="BJ114" i="1" l="1"/>
  <c r="BI113" i="1"/>
  <c r="C114" i="1"/>
  <c r="B113" i="1"/>
  <c r="C115" i="1" l="1"/>
  <c r="B114" i="1"/>
  <c r="BJ115" i="1"/>
  <c r="BI114" i="1"/>
  <c r="BJ116" i="1" l="1"/>
  <c r="BI115" i="1"/>
  <c r="C116" i="1"/>
  <c r="B115" i="1"/>
  <c r="BJ117" i="1" l="1"/>
  <c r="BI116" i="1"/>
  <c r="C117" i="1"/>
  <c r="B116" i="1"/>
  <c r="C118" i="1" l="1"/>
  <c r="B117" i="1"/>
  <c r="BJ118" i="1"/>
  <c r="BI117" i="1"/>
  <c r="BJ119" i="1" l="1"/>
  <c r="BI118" i="1"/>
  <c r="C119" i="1"/>
  <c r="B118" i="1"/>
  <c r="C120" i="1" l="1"/>
  <c r="B119" i="1"/>
  <c r="BJ120" i="1"/>
  <c r="BI119" i="1"/>
  <c r="BJ121" i="1" l="1"/>
  <c r="BI120" i="1"/>
  <c r="C121" i="1"/>
  <c r="B120" i="1"/>
  <c r="C122" i="1" l="1"/>
  <c r="B121" i="1"/>
  <c r="BJ122" i="1"/>
  <c r="BI121" i="1"/>
  <c r="BJ123" i="1" l="1"/>
  <c r="BI122" i="1"/>
  <c r="C123" i="1"/>
  <c r="B122" i="1"/>
  <c r="C124" i="1" l="1"/>
  <c r="B123" i="1"/>
  <c r="BJ124" i="1"/>
  <c r="BI123" i="1"/>
  <c r="BJ125" i="1" l="1"/>
  <c r="BI124" i="1"/>
  <c r="C125" i="1"/>
  <c r="B124" i="1"/>
  <c r="C126" i="1" l="1"/>
  <c r="B125" i="1"/>
  <c r="BJ126" i="1"/>
  <c r="BI125" i="1"/>
  <c r="BJ127" i="1" l="1"/>
  <c r="BI126" i="1"/>
  <c r="C127" i="1"/>
  <c r="B126" i="1"/>
  <c r="C128" i="1" l="1"/>
  <c r="B127" i="1"/>
  <c r="BJ128" i="1"/>
  <c r="BI127" i="1"/>
  <c r="BI128" i="1" l="1"/>
  <c r="BJ129" i="1"/>
  <c r="C129" i="1"/>
  <c r="B128" i="1"/>
  <c r="BJ130" i="1" l="1"/>
  <c r="BI129" i="1"/>
  <c r="C130" i="1"/>
  <c r="B129" i="1"/>
  <c r="C131" i="1" l="1"/>
  <c r="B130" i="1"/>
  <c r="BJ131" i="1"/>
  <c r="BI130" i="1"/>
  <c r="BJ132" i="1" l="1"/>
  <c r="BI131" i="1"/>
  <c r="C132" i="1"/>
  <c r="B131" i="1"/>
  <c r="C133" i="1" l="1"/>
  <c r="B132" i="1"/>
  <c r="BJ133" i="1"/>
  <c r="BI132" i="1"/>
  <c r="BJ134" i="1" l="1"/>
  <c r="BI133" i="1"/>
  <c r="C134" i="1"/>
  <c r="B133" i="1"/>
  <c r="C135" i="1" l="1"/>
  <c r="B134" i="1"/>
  <c r="BJ135" i="1"/>
  <c r="BI134" i="1"/>
  <c r="BJ136" i="1" l="1"/>
  <c r="BI135" i="1"/>
  <c r="C136" i="1"/>
  <c r="B135" i="1"/>
  <c r="C137" i="1" l="1"/>
  <c r="B136" i="1"/>
  <c r="BJ137" i="1"/>
  <c r="BI136" i="1"/>
  <c r="BJ138" i="1" l="1"/>
  <c r="BI137" i="1"/>
  <c r="C138" i="1"/>
  <c r="B137" i="1"/>
  <c r="C139" i="1" l="1"/>
  <c r="B138" i="1"/>
  <c r="BJ139" i="1"/>
  <c r="BI138" i="1"/>
  <c r="BJ140" i="1" l="1"/>
  <c r="BI139" i="1"/>
  <c r="C140" i="1"/>
  <c r="B139" i="1"/>
  <c r="C141" i="1" l="1"/>
  <c r="B140" i="1"/>
  <c r="BJ141" i="1"/>
  <c r="BI140" i="1"/>
  <c r="BJ142" i="1" l="1"/>
  <c r="BI141" i="1"/>
  <c r="C142" i="1"/>
  <c r="B141" i="1"/>
  <c r="C143" i="1" l="1"/>
  <c r="B142" i="1"/>
  <c r="BJ143" i="1"/>
  <c r="BI142" i="1"/>
  <c r="BJ144" i="1" l="1"/>
  <c r="BI143" i="1"/>
  <c r="C144" i="1"/>
  <c r="B143" i="1"/>
  <c r="C145" i="1" l="1"/>
  <c r="B144" i="1"/>
  <c r="BJ145" i="1"/>
  <c r="BI144" i="1"/>
  <c r="BJ146" i="1" l="1"/>
  <c r="BI145" i="1"/>
  <c r="C146" i="1"/>
  <c r="B145" i="1"/>
  <c r="C147" i="1" l="1"/>
  <c r="B146" i="1"/>
  <c r="BJ147" i="1"/>
  <c r="BI146" i="1"/>
  <c r="BJ148" i="1" l="1"/>
  <c r="BI147" i="1"/>
  <c r="C148" i="1"/>
  <c r="B147" i="1"/>
  <c r="C149" i="1" l="1"/>
  <c r="B148" i="1"/>
  <c r="BJ149" i="1"/>
  <c r="BI148" i="1"/>
  <c r="BJ150" i="1" l="1"/>
  <c r="BI149" i="1"/>
  <c r="C150" i="1"/>
  <c r="B149" i="1"/>
  <c r="C151" i="1" l="1"/>
  <c r="B150" i="1"/>
  <c r="BJ151" i="1"/>
  <c r="BI150" i="1"/>
  <c r="BJ152" i="1" l="1"/>
  <c r="BI151" i="1"/>
  <c r="C152" i="1"/>
  <c r="B151" i="1"/>
  <c r="C153" i="1" l="1"/>
  <c r="B152" i="1"/>
  <c r="BJ153" i="1"/>
  <c r="BI152" i="1"/>
  <c r="C154" i="1" l="1"/>
  <c r="B153" i="1"/>
  <c r="BJ154" i="1"/>
  <c r="BI153" i="1"/>
  <c r="BJ155" i="1" l="1"/>
  <c r="BI154" i="1"/>
  <c r="C155" i="1"/>
  <c r="B154" i="1"/>
  <c r="C156" i="1" l="1"/>
  <c r="B155" i="1"/>
  <c r="BJ156" i="1"/>
  <c r="BI155" i="1"/>
  <c r="BJ157" i="1" l="1"/>
  <c r="BI156" i="1"/>
  <c r="C157" i="1"/>
  <c r="B156" i="1"/>
  <c r="C158" i="1" l="1"/>
  <c r="B157" i="1"/>
  <c r="BJ158" i="1"/>
  <c r="BI157" i="1"/>
  <c r="BJ159" i="1" l="1"/>
  <c r="BI158" i="1"/>
  <c r="C159" i="1"/>
  <c r="B158" i="1"/>
  <c r="C160" i="1" l="1"/>
  <c r="B159" i="1"/>
  <c r="BJ160" i="1"/>
  <c r="BI159" i="1"/>
  <c r="BJ161" i="1" l="1"/>
  <c r="BI160" i="1"/>
  <c r="C161" i="1"/>
  <c r="B160" i="1"/>
  <c r="C162" i="1" l="1"/>
  <c r="B161" i="1"/>
  <c r="BJ162" i="1"/>
  <c r="BI161" i="1"/>
  <c r="BJ163" i="1" l="1"/>
  <c r="BI162" i="1"/>
  <c r="C163" i="1"/>
  <c r="B162" i="1"/>
  <c r="C164" i="1" l="1"/>
  <c r="B163" i="1"/>
  <c r="BJ164" i="1"/>
  <c r="BI163" i="1"/>
  <c r="BJ165" i="1" l="1"/>
  <c r="BI164" i="1"/>
  <c r="C165" i="1"/>
  <c r="B164" i="1"/>
  <c r="C166" i="1" l="1"/>
  <c r="B165" i="1"/>
  <c r="BJ166" i="1"/>
  <c r="BI165" i="1"/>
  <c r="BJ167" i="1" l="1"/>
  <c r="BI166" i="1"/>
  <c r="C167" i="1"/>
  <c r="B166" i="1"/>
  <c r="C168" i="1" l="1"/>
  <c r="B167" i="1"/>
  <c r="BJ168" i="1"/>
  <c r="BI167" i="1"/>
  <c r="BJ169" i="1" l="1"/>
  <c r="BI168" i="1"/>
  <c r="C169" i="1"/>
  <c r="B168" i="1"/>
  <c r="C170" i="1" l="1"/>
  <c r="B169" i="1"/>
  <c r="BJ170" i="1"/>
  <c r="BI169" i="1"/>
  <c r="BJ171" i="1" l="1"/>
  <c r="BI170" i="1"/>
  <c r="C171" i="1"/>
  <c r="B170" i="1"/>
  <c r="C172" i="1" l="1"/>
  <c r="B171" i="1"/>
  <c r="BJ172" i="1"/>
  <c r="BI171" i="1"/>
  <c r="BJ173" i="1" l="1"/>
  <c r="BI172" i="1"/>
  <c r="C173" i="1"/>
  <c r="B172" i="1"/>
  <c r="C174" i="1" l="1"/>
  <c r="B173" i="1"/>
  <c r="BJ174" i="1"/>
  <c r="BI173" i="1"/>
  <c r="BJ175" i="1" l="1"/>
  <c r="BI174" i="1"/>
  <c r="C175" i="1"/>
  <c r="B174" i="1"/>
  <c r="C176" i="1" l="1"/>
  <c r="B175" i="1"/>
  <c r="BJ176" i="1"/>
  <c r="BI175" i="1"/>
  <c r="BJ177" i="1" l="1"/>
  <c r="BI176" i="1"/>
  <c r="C177" i="1"/>
  <c r="B176" i="1"/>
  <c r="C178" i="1" l="1"/>
  <c r="B177" i="1"/>
  <c r="BJ178" i="1"/>
  <c r="BI177" i="1"/>
  <c r="C179" i="1" l="1"/>
  <c r="B178" i="1"/>
  <c r="BJ179" i="1"/>
  <c r="BI178" i="1"/>
  <c r="BJ180" i="1" l="1"/>
  <c r="BI179" i="1"/>
  <c r="C180" i="1"/>
  <c r="B179" i="1"/>
  <c r="C181" i="1" l="1"/>
  <c r="B180" i="1"/>
  <c r="BJ181" i="1"/>
  <c r="BI180" i="1"/>
  <c r="BJ182" i="1" l="1"/>
  <c r="BI181" i="1"/>
  <c r="C182" i="1"/>
  <c r="B181" i="1"/>
  <c r="C183" i="1" l="1"/>
  <c r="B182" i="1"/>
  <c r="BJ183" i="1"/>
  <c r="BI182" i="1"/>
  <c r="BJ184" i="1" l="1"/>
  <c r="BI183" i="1"/>
  <c r="C184" i="1"/>
  <c r="B183" i="1"/>
  <c r="C185" i="1" l="1"/>
  <c r="B184" i="1"/>
  <c r="BJ185" i="1"/>
  <c r="BI184" i="1"/>
  <c r="BJ186" i="1" l="1"/>
  <c r="BI185" i="1"/>
  <c r="C186" i="1"/>
  <c r="B185" i="1"/>
  <c r="BJ187" i="1" l="1"/>
  <c r="BI186" i="1"/>
  <c r="C187" i="1"/>
  <c r="B186" i="1"/>
  <c r="C188" i="1" l="1"/>
  <c r="B187" i="1"/>
  <c r="BJ188" i="1"/>
  <c r="BI187" i="1"/>
  <c r="BJ189" i="1" l="1"/>
  <c r="BI188" i="1"/>
  <c r="C189" i="1"/>
  <c r="B188" i="1"/>
  <c r="C190" i="1" l="1"/>
  <c r="B189" i="1"/>
  <c r="BJ190" i="1"/>
  <c r="BI189" i="1"/>
  <c r="C191" i="1" l="1"/>
  <c r="B190" i="1"/>
  <c r="BJ191" i="1"/>
  <c r="BI190" i="1"/>
  <c r="BJ192" i="1" l="1"/>
  <c r="BI191" i="1"/>
  <c r="C192" i="1"/>
  <c r="B191" i="1"/>
  <c r="C193" i="1" l="1"/>
  <c r="B192" i="1"/>
  <c r="BJ193" i="1"/>
  <c r="BI192" i="1"/>
  <c r="BJ194" i="1" l="1"/>
  <c r="BI193" i="1"/>
  <c r="C194" i="1"/>
  <c r="B193" i="1"/>
  <c r="C195" i="1" l="1"/>
  <c r="B194" i="1"/>
  <c r="BJ195" i="1"/>
  <c r="BI194" i="1"/>
  <c r="C196" i="1" l="1"/>
  <c r="B195" i="1"/>
  <c r="BJ196" i="1"/>
  <c r="BI195" i="1"/>
  <c r="C197" i="1" l="1"/>
  <c r="B196" i="1"/>
  <c r="BJ197" i="1"/>
  <c r="BI196" i="1"/>
  <c r="C198" i="1" l="1"/>
  <c r="B197" i="1"/>
  <c r="BJ198" i="1"/>
  <c r="BI197" i="1"/>
  <c r="C199" i="1" l="1"/>
  <c r="B198" i="1"/>
  <c r="BJ199" i="1"/>
  <c r="BI198" i="1"/>
  <c r="BJ200" i="1" l="1"/>
  <c r="BI199" i="1"/>
  <c r="C200" i="1"/>
  <c r="B199" i="1"/>
  <c r="BJ201" i="1" l="1"/>
  <c r="BI200" i="1"/>
  <c r="C201" i="1"/>
  <c r="B200" i="1"/>
  <c r="C202" i="1" l="1"/>
  <c r="B201" i="1"/>
  <c r="BJ202" i="1"/>
  <c r="BI201" i="1"/>
  <c r="BJ203" i="1" l="1"/>
  <c r="BI202" i="1"/>
  <c r="C203" i="1"/>
  <c r="B202" i="1"/>
  <c r="BJ204" i="1" l="1"/>
  <c r="BI203" i="1"/>
  <c r="C204" i="1"/>
  <c r="B203" i="1"/>
  <c r="BJ205" i="1" l="1"/>
  <c r="BI204" i="1"/>
  <c r="C205" i="1"/>
  <c r="B204" i="1"/>
  <c r="C206" i="1" l="1"/>
  <c r="B205" i="1"/>
  <c r="BJ206" i="1"/>
  <c r="BI205" i="1"/>
  <c r="BJ207" i="1" l="1"/>
  <c r="BI206" i="1"/>
  <c r="C207" i="1"/>
  <c r="B206" i="1"/>
  <c r="BJ208" i="1" l="1"/>
  <c r="BI207" i="1"/>
  <c r="C208" i="1"/>
  <c r="B207" i="1"/>
  <c r="BJ209" i="1" l="1"/>
  <c r="BI208" i="1"/>
  <c r="C209" i="1"/>
  <c r="B208" i="1"/>
  <c r="C210" i="1" l="1"/>
  <c r="B209" i="1"/>
  <c r="BJ210" i="1"/>
  <c r="BI209" i="1"/>
  <c r="BJ211" i="1" l="1"/>
  <c r="BI210" i="1"/>
  <c r="C211" i="1"/>
  <c r="B210" i="1"/>
  <c r="C212" i="1" l="1"/>
  <c r="B211" i="1"/>
  <c r="BJ212" i="1"/>
  <c r="BI211" i="1"/>
  <c r="C213" i="1" l="1"/>
  <c r="B212" i="1"/>
  <c r="BJ213" i="1"/>
  <c r="BI212" i="1"/>
  <c r="C214" i="1" l="1"/>
  <c r="B213" i="1"/>
  <c r="BJ214" i="1"/>
  <c r="BI213" i="1"/>
  <c r="C215" i="1" l="1"/>
  <c r="B214" i="1"/>
  <c r="BJ215" i="1"/>
  <c r="BI214" i="1"/>
  <c r="C216" i="1" l="1"/>
  <c r="B215" i="1"/>
  <c r="BJ216" i="1"/>
  <c r="BI215" i="1"/>
  <c r="BJ217" i="1" l="1"/>
  <c r="BI216" i="1"/>
  <c r="C217" i="1"/>
  <c r="B216" i="1"/>
  <c r="C218" i="1" l="1"/>
  <c r="B217" i="1"/>
  <c r="BJ218" i="1"/>
  <c r="BI217" i="1"/>
  <c r="C219" i="1" l="1"/>
  <c r="B218" i="1"/>
  <c r="BJ219" i="1"/>
  <c r="BI218" i="1"/>
  <c r="BJ220" i="1" l="1"/>
  <c r="BI219" i="1"/>
  <c r="C220" i="1"/>
  <c r="B219" i="1"/>
  <c r="C221" i="1" l="1"/>
  <c r="B220" i="1"/>
  <c r="BJ221" i="1"/>
  <c r="BI220" i="1"/>
  <c r="C222" i="1" l="1"/>
  <c r="B221" i="1"/>
  <c r="BJ222" i="1"/>
  <c r="BI221" i="1"/>
  <c r="BJ223" i="1" l="1"/>
  <c r="BI222" i="1"/>
  <c r="C223" i="1"/>
  <c r="B222" i="1"/>
  <c r="C224" i="1" l="1"/>
  <c r="B223" i="1"/>
  <c r="BJ224" i="1"/>
  <c r="BI223" i="1"/>
  <c r="C225" i="1" l="1"/>
  <c r="B224" i="1"/>
  <c r="BJ225" i="1"/>
  <c r="BI224" i="1"/>
  <c r="C226" i="1" l="1"/>
  <c r="B225" i="1"/>
  <c r="BJ226" i="1"/>
  <c r="BI225" i="1"/>
  <c r="C227" i="1" l="1"/>
  <c r="B226" i="1"/>
  <c r="BJ227" i="1"/>
  <c r="BI226" i="1"/>
  <c r="BJ228" i="1" l="1"/>
  <c r="BI227" i="1"/>
  <c r="C228" i="1"/>
  <c r="B227" i="1"/>
  <c r="C229" i="1" l="1"/>
  <c r="B228" i="1"/>
  <c r="BJ229" i="1"/>
  <c r="BI228" i="1"/>
  <c r="C230" i="1" l="1"/>
  <c r="B229" i="1"/>
  <c r="BJ230" i="1"/>
  <c r="BI229" i="1"/>
  <c r="BJ231" i="1" l="1"/>
  <c r="BI230" i="1"/>
  <c r="C231" i="1"/>
  <c r="B230" i="1"/>
  <c r="C232" i="1" l="1"/>
  <c r="B231" i="1"/>
  <c r="BJ232" i="1"/>
  <c r="BI231" i="1"/>
  <c r="BJ233" i="1" l="1"/>
  <c r="BI232" i="1"/>
  <c r="C233" i="1"/>
  <c r="B232" i="1"/>
  <c r="BJ234" i="1" l="1"/>
  <c r="BI233" i="1"/>
  <c r="C234" i="1"/>
  <c r="B233" i="1"/>
  <c r="BJ235" i="1" l="1"/>
  <c r="BI234" i="1"/>
  <c r="C235" i="1"/>
  <c r="B234" i="1"/>
  <c r="BJ236" i="1" l="1"/>
  <c r="BI235" i="1"/>
  <c r="C236" i="1"/>
  <c r="B235" i="1"/>
  <c r="C237" i="1" l="1"/>
  <c r="B236" i="1"/>
  <c r="BJ237" i="1"/>
  <c r="BI236" i="1"/>
  <c r="C238" i="1" l="1"/>
  <c r="B237" i="1"/>
  <c r="BJ238" i="1"/>
  <c r="BI237" i="1"/>
  <c r="C239" i="1" l="1"/>
  <c r="B238" i="1"/>
  <c r="BJ239" i="1"/>
  <c r="BI238" i="1"/>
  <c r="C240" i="1" l="1"/>
  <c r="B239" i="1"/>
  <c r="BJ240" i="1"/>
  <c r="BI239" i="1"/>
  <c r="C241" i="1" l="1"/>
  <c r="B240" i="1"/>
  <c r="BJ241" i="1"/>
  <c r="BI240" i="1"/>
  <c r="C242" i="1" l="1"/>
  <c r="B241" i="1"/>
  <c r="BJ242" i="1"/>
  <c r="BI241" i="1"/>
  <c r="BJ243" i="1" l="1"/>
  <c r="BI242" i="1"/>
  <c r="C243" i="1"/>
  <c r="B242" i="1"/>
  <c r="BJ244" i="1" l="1"/>
  <c r="BI243" i="1"/>
  <c r="C244" i="1"/>
  <c r="B243" i="1"/>
  <c r="C245" i="1" l="1"/>
  <c r="B244" i="1"/>
  <c r="BJ245" i="1"/>
  <c r="BI244" i="1"/>
  <c r="BJ246" i="1" l="1"/>
  <c r="BI245" i="1"/>
  <c r="C246" i="1"/>
  <c r="B245" i="1"/>
  <c r="C247" i="1" l="1"/>
  <c r="B246" i="1"/>
  <c r="BJ247" i="1"/>
  <c r="BI246" i="1"/>
  <c r="BJ248" i="1" l="1"/>
  <c r="BI247" i="1"/>
  <c r="C248" i="1"/>
  <c r="B247" i="1"/>
  <c r="BJ249" i="1" l="1"/>
  <c r="BI248" i="1"/>
  <c r="C249" i="1"/>
  <c r="B248" i="1"/>
  <c r="C250" i="1" l="1"/>
  <c r="B249" i="1"/>
  <c r="BJ250" i="1"/>
  <c r="BI249" i="1"/>
  <c r="BJ251" i="1" l="1"/>
  <c r="BI250" i="1"/>
  <c r="C251" i="1"/>
  <c r="B250" i="1"/>
  <c r="C252" i="1" l="1"/>
  <c r="B251" i="1"/>
  <c r="BJ252" i="1"/>
  <c r="BI251" i="1"/>
  <c r="BJ253" i="1" l="1"/>
  <c r="BI252" i="1"/>
  <c r="C253" i="1"/>
  <c r="B252" i="1"/>
  <c r="C254" i="1" l="1"/>
  <c r="B253" i="1"/>
  <c r="BJ254" i="1"/>
  <c r="BI253" i="1"/>
  <c r="BJ255" i="1" l="1"/>
  <c r="BI254" i="1"/>
  <c r="C255" i="1"/>
  <c r="B254" i="1"/>
  <c r="C256" i="1" l="1"/>
  <c r="B255" i="1"/>
  <c r="BJ256" i="1"/>
  <c r="BI255" i="1"/>
  <c r="C257" i="1" l="1"/>
  <c r="B256" i="1"/>
  <c r="BJ257" i="1"/>
  <c r="BI256" i="1"/>
  <c r="BJ258" i="1" l="1"/>
  <c r="BI257" i="1"/>
  <c r="C258" i="1"/>
  <c r="B257" i="1"/>
  <c r="BJ259" i="1" l="1"/>
  <c r="BI258" i="1"/>
  <c r="C259" i="1"/>
  <c r="B258" i="1"/>
  <c r="BJ260" i="1" l="1"/>
  <c r="BI259" i="1"/>
  <c r="C260" i="1"/>
  <c r="B259" i="1"/>
  <c r="C261" i="1" l="1"/>
  <c r="B260" i="1"/>
  <c r="BJ261" i="1"/>
  <c r="BI260" i="1"/>
  <c r="BJ262" i="1" l="1"/>
  <c r="BI261" i="1"/>
  <c r="C262" i="1"/>
  <c r="B261" i="1"/>
  <c r="C263" i="1" l="1"/>
  <c r="B262" i="1"/>
  <c r="BJ263" i="1"/>
  <c r="BI262" i="1"/>
  <c r="BJ264" i="1" l="1"/>
  <c r="BI263" i="1"/>
  <c r="C264" i="1"/>
  <c r="B263" i="1"/>
  <c r="C265" i="1" l="1"/>
  <c r="B264" i="1"/>
  <c r="BJ265" i="1"/>
  <c r="BI264" i="1"/>
  <c r="BJ266" i="1" l="1"/>
  <c r="BI265" i="1"/>
  <c r="C266" i="1"/>
  <c r="B265" i="1"/>
  <c r="C267" i="1" l="1"/>
  <c r="B267" i="1" s="1"/>
  <c r="B266" i="1"/>
  <c r="BJ267" i="1"/>
  <c r="BI267" i="1" s="1"/>
  <c r="BI266" i="1"/>
</calcChain>
</file>

<file path=xl/sharedStrings.xml><?xml version="1.0" encoding="utf-8"?>
<sst xmlns="http://schemas.openxmlformats.org/spreadsheetml/2006/main" count="2053" uniqueCount="364">
  <si>
    <t>江苏</t>
  </si>
  <si>
    <t>江宁府</t>
  </si>
  <si>
    <t>淮安府</t>
  </si>
  <si>
    <t>海州直隶州</t>
  </si>
  <si>
    <t>扬州府</t>
  </si>
  <si>
    <t>通州直隶州</t>
  </si>
  <si>
    <t>海门直隶厅</t>
  </si>
  <si>
    <t>苏州府</t>
  </si>
  <si>
    <t>常州府</t>
  </si>
  <si>
    <t>镇江府</t>
  </si>
  <si>
    <t>(应天府)</t>
  </si>
  <si>
    <t>上元县</t>
  </si>
  <si>
    <t>江宁县</t>
  </si>
  <si>
    <t>句容县</t>
  </si>
  <si>
    <t>溧水县</t>
  </si>
  <si>
    <t>高淳县</t>
  </si>
  <si>
    <t>江浦县</t>
  </si>
  <si>
    <t>六合县</t>
  </si>
  <si>
    <t>山阳县</t>
  </si>
  <si>
    <t>阜宁县</t>
  </si>
  <si>
    <t>清河县</t>
  </si>
  <si>
    <t>盐城县</t>
  </si>
  <si>
    <t>安东县</t>
  </si>
  <si>
    <t>桃源县</t>
  </si>
  <si>
    <t>赣榆县</t>
  </si>
  <si>
    <t>沭阳县</t>
  </si>
  <si>
    <t>江都县</t>
  </si>
  <si>
    <t>甘泉县</t>
  </si>
  <si>
    <t>扬子县</t>
  </si>
  <si>
    <t>高邮州</t>
  </si>
  <si>
    <t>宝应县</t>
  </si>
  <si>
    <t>兴化县</t>
  </si>
  <si>
    <t>泰州</t>
  </si>
  <si>
    <t>东台县</t>
  </si>
  <si>
    <t>泰兴县</t>
  </si>
  <si>
    <t>如皋县</t>
  </si>
  <si>
    <t>吴县</t>
  </si>
  <si>
    <t>长洲县</t>
  </si>
  <si>
    <t>吴江县</t>
  </si>
  <si>
    <t>元和县</t>
  </si>
  <si>
    <t>震泽县</t>
  </si>
  <si>
    <t>昭文县</t>
  </si>
  <si>
    <t>新阳县</t>
  </si>
  <si>
    <t>昆山县</t>
  </si>
  <si>
    <t>常熟县</t>
  </si>
  <si>
    <t>太湖厅</t>
  </si>
  <si>
    <t>靖湖厅</t>
  </si>
  <si>
    <t>武进县</t>
  </si>
  <si>
    <t>阳湖县</t>
  </si>
  <si>
    <t>金匮县</t>
  </si>
  <si>
    <t>荆溪县</t>
  </si>
  <si>
    <t>无锡县</t>
  </si>
  <si>
    <t>宜兴县</t>
  </si>
  <si>
    <t>江阴县</t>
  </si>
  <si>
    <t>靖江县</t>
  </si>
  <si>
    <t>丹徒县</t>
  </si>
  <si>
    <t>丹阳县</t>
  </si>
  <si>
    <t>金坛县</t>
  </si>
  <si>
    <t>溧阳县</t>
  </si>
  <si>
    <t>太平厅</t>
  </si>
  <si>
    <t>仪真县</t>
  </si>
  <si>
    <t>安徽</t>
  </si>
  <si>
    <t>安庆府</t>
  </si>
  <si>
    <t>庐州府</t>
  </si>
  <si>
    <t>六安(lu'an)直隶州</t>
  </si>
  <si>
    <t>凤阳府</t>
  </si>
  <si>
    <t>泗州直隶州</t>
  </si>
  <si>
    <t>颍州府</t>
  </si>
  <si>
    <t>太平府</t>
  </si>
  <si>
    <t>池州府</t>
  </si>
  <si>
    <t>宁国府</t>
  </si>
  <si>
    <t>徽州府</t>
  </si>
  <si>
    <t>徐州直隶州</t>
  </si>
  <si>
    <t>滁(chu)州直隶州</t>
  </si>
  <si>
    <t>和州直隶州</t>
  </si>
  <si>
    <t>广德直隶州</t>
  </si>
  <si>
    <t>怀宁县</t>
  </si>
  <si>
    <t>桐城县</t>
  </si>
  <si>
    <t>潜山县</t>
  </si>
  <si>
    <t>太湖县</t>
  </si>
  <si>
    <t>宿松县</t>
  </si>
  <si>
    <t>望江县</t>
  </si>
  <si>
    <t>合肥县</t>
  </si>
  <si>
    <t>舒城县</t>
  </si>
  <si>
    <t>庐江县</t>
  </si>
  <si>
    <t>无为州</t>
  </si>
  <si>
    <t>巢县</t>
  </si>
  <si>
    <t>六安直隶州</t>
  </si>
  <si>
    <t>英山县</t>
  </si>
  <si>
    <t>霍山县</t>
  </si>
  <si>
    <t>凤阳县</t>
  </si>
  <si>
    <t>怀远县</t>
  </si>
  <si>
    <t>定远县</t>
  </si>
  <si>
    <t>寿州</t>
  </si>
  <si>
    <t>凤台县</t>
  </si>
  <si>
    <t>宿州</t>
  </si>
  <si>
    <t>灵璧县</t>
  </si>
  <si>
    <t>泗县</t>
  </si>
  <si>
    <t>盱眙(xu yi)县</t>
  </si>
  <si>
    <t>天长县</t>
  </si>
  <si>
    <t>五河县</t>
  </si>
  <si>
    <t>阜阳县</t>
  </si>
  <si>
    <t>颍上县</t>
  </si>
  <si>
    <t>霍丘县</t>
  </si>
  <si>
    <t>亳(bo)州</t>
  </si>
  <si>
    <t>太和县</t>
  </si>
  <si>
    <t>蒙城县</t>
  </si>
  <si>
    <t>涡阳县</t>
  </si>
  <si>
    <t>当涂县</t>
  </si>
  <si>
    <t>芜湖县</t>
  </si>
  <si>
    <t>繁昌县</t>
  </si>
  <si>
    <t>贵池县</t>
  </si>
  <si>
    <t>青阳县</t>
  </si>
  <si>
    <t>铜陵县</t>
  </si>
  <si>
    <t>石埭(dai)县</t>
  </si>
  <si>
    <t>建德县</t>
  </si>
  <si>
    <t>东流县</t>
  </si>
  <si>
    <t>宣城县</t>
  </si>
  <si>
    <t>南陵县</t>
  </si>
  <si>
    <t>泾县</t>
  </si>
  <si>
    <t>宁国县</t>
  </si>
  <si>
    <t>旌德县</t>
  </si>
  <si>
    <t>太平县</t>
  </si>
  <si>
    <t>歙(she)县</t>
  </si>
  <si>
    <t>休宁县</t>
  </si>
  <si>
    <t>祁门县</t>
  </si>
  <si>
    <t>黟(yi)县</t>
  </si>
  <si>
    <t>绩溪县</t>
  </si>
  <si>
    <t>婺源县</t>
  </si>
  <si>
    <t>铜山县</t>
  </si>
  <si>
    <t>萧县</t>
  </si>
  <si>
    <t>沛县</t>
  </si>
  <si>
    <t>丰县</t>
  </si>
  <si>
    <t>砀山县</t>
  </si>
  <si>
    <t>邳州</t>
  </si>
  <si>
    <t>宿迁县</t>
  </si>
  <si>
    <t>睢宁县</t>
  </si>
  <si>
    <t>全椒县</t>
  </si>
  <si>
    <t>米安县</t>
  </si>
  <si>
    <t>含山县</t>
  </si>
  <si>
    <t>广德</t>
  </si>
  <si>
    <t>建平县</t>
  </si>
  <si>
    <t>盱眙县</t>
  </si>
  <si>
    <t>亳州</t>
  </si>
  <si>
    <t>石埭县</t>
  </si>
  <si>
    <t>歙县</t>
  </si>
  <si>
    <t>黟县</t>
  </si>
  <si>
    <t>滁州直隶州</t>
  </si>
  <si>
    <t>浙江</t>
  </si>
  <si>
    <t>杭州府</t>
  </si>
  <si>
    <t>严州府</t>
  </si>
  <si>
    <t>嘉兴府</t>
  </si>
  <si>
    <t>湖州府</t>
  </si>
  <si>
    <t>绍兴府</t>
  </si>
  <si>
    <t>宁波府</t>
  </si>
  <si>
    <t>台州府</t>
  </si>
  <si>
    <t>金华府</t>
  </si>
  <si>
    <t>衢州府</t>
  </si>
  <si>
    <t>处州府</t>
  </si>
  <si>
    <t>温州府</t>
  </si>
  <si>
    <t>定海直隶厅</t>
  </si>
  <si>
    <t>钱塘县</t>
  </si>
  <si>
    <t>仁和县</t>
  </si>
  <si>
    <t>海宁州</t>
  </si>
  <si>
    <t>富阳县</t>
  </si>
  <si>
    <t>余杭县</t>
  </si>
  <si>
    <t>临安县</t>
  </si>
  <si>
    <t>于潜县</t>
  </si>
  <si>
    <t>新城县</t>
  </si>
  <si>
    <t>昌化县</t>
  </si>
  <si>
    <t>桐庐县</t>
  </si>
  <si>
    <t>淳安县</t>
  </si>
  <si>
    <t>遂安县</t>
  </si>
  <si>
    <t>寿昌县</t>
  </si>
  <si>
    <t>分水县</t>
  </si>
  <si>
    <t>嘉兴县</t>
  </si>
  <si>
    <t>秀水县</t>
  </si>
  <si>
    <t>嘉善县</t>
  </si>
  <si>
    <t>石门县</t>
  </si>
  <si>
    <t>桐乡县</t>
  </si>
  <si>
    <t>平湖县</t>
  </si>
  <si>
    <t>海盐县</t>
  </si>
  <si>
    <t>乌程县</t>
  </si>
  <si>
    <t>归安县</t>
  </si>
  <si>
    <t>长兴县</t>
  </si>
  <si>
    <t>德清县</t>
  </si>
  <si>
    <t>武康县</t>
  </si>
  <si>
    <t>安吉县</t>
  </si>
  <si>
    <t>孝丰县</t>
  </si>
  <si>
    <t>山阴县</t>
  </si>
  <si>
    <t>会稽县</t>
  </si>
  <si>
    <t>萧山县</t>
  </si>
  <si>
    <t>诸暨县</t>
  </si>
  <si>
    <t>余姚县</t>
  </si>
  <si>
    <t>上虞县</t>
  </si>
  <si>
    <t>嵊(sheng)县</t>
  </si>
  <si>
    <t>新昌县</t>
  </si>
  <si>
    <t>鄞(yin)县</t>
  </si>
  <si>
    <t>慈谿(xi)县</t>
  </si>
  <si>
    <t>奉化县</t>
  </si>
  <si>
    <t>镇海县</t>
  </si>
  <si>
    <t>象山县</t>
  </si>
  <si>
    <t>石浦厅</t>
  </si>
  <si>
    <t>南田厅</t>
  </si>
  <si>
    <t>临海县</t>
  </si>
  <si>
    <t>黄岩县</t>
  </si>
  <si>
    <t>天台县</t>
  </si>
  <si>
    <t>仙居县</t>
  </si>
  <si>
    <t>宁海县</t>
  </si>
  <si>
    <t>金华县</t>
  </si>
  <si>
    <t>兰溪县</t>
  </si>
  <si>
    <t>东阳县</t>
  </si>
  <si>
    <t>义乌县</t>
  </si>
  <si>
    <t>永康县</t>
  </si>
  <si>
    <t>武义县</t>
  </si>
  <si>
    <t>浦江县</t>
  </si>
  <si>
    <t>汤溪县</t>
  </si>
  <si>
    <t>西安县</t>
  </si>
  <si>
    <t>龙游县</t>
  </si>
  <si>
    <t>常山县</t>
  </si>
  <si>
    <t>江山县</t>
  </si>
  <si>
    <t>开化县</t>
  </si>
  <si>
    <t>丽水县</t>
  </si>
  <si>
    <t>青田县</t>
  </si>
  <si>
    <t>缙(yun)云县</t>
  </si>
  <si>
    <t>松阳县</t>
  </si>
  <si>
    <t>遂昌县</t>
  </si>
  <si>
    <t>龙泉县</t>
  </si>
  <si>
    <t>庆元县</t>
  </si>
  <si>
    <t>云和县</t>
  </si>
  <si>
    <t>宣平县</t>
  </si>
  <si>
    <t>景宁县</t>
  </si>
  <si>
    <t>永嘉县</t>
  </si>
  <si>
    <t>瑞安县</t>
  </si>
  <si>
    <t>乐清县</t>
  </si>
  <si>
    <t>平阳县</t>
  </si>
  <si>
    <t>泰顺县</t>
  </si>
  <si>
    <t>玉环厅</t>
  </si>
  <si>
    <t>海宁县</t>
  </si>
  <si>
    <t>新登</t>
  </si>
  <si>
    <t>崇德县</t>
  </si>
  <si>
    <t>吴兴</t>
  </si>
  <si>
    <t>安吉州</t>
  </si>
  <si>
    <t>剡县</t>
  </si>
  <si>
    <t>鄞县</t>
  </si>
  <si>
    <t>慈溪</t>
  </si>
  <si>
    <t>定海县</t>
  </si>
  <si>
    <t>温岭</t>
  </si>
  <si>
    <t>缙云县</t>
  </si>
  <si>
    <t>江西</t>
  </si>
  <si>
    <t>南昌府</t>
  </si>
  <si>
    <t>瑞州府</t>
  </si>
  <si>
    <t>九江府</t>
  </si>
  <si>
    <t>南康府</t>
  </si>
  <si>
    <t>饶州府</t>
  </si>
  <si>
    <t>广信府</t>
  </si>
  <si>
    <t>建昌府</t>
  </si>
  <si>
    <t>抚州府</t>
  </si>
  <si>
    <t>吉安府</t>
  </si>
  <si>
    <t>临江府</t>
  </si>
  <si>
    <t>袁州府</t>
  </si>
  <si>
    <t>赣州府</t>
  </si>
  <si>
    <t>宁都直隶州</t>
  </si>
  <si>
    <t>南安府</t>
  </si>
  <si>
    <t>南昌县</t>
  </si>
  <si>
    <t>新建县</t>
  </si>
  <si>
    <t>丰城县</t>
  </si>
  <si>
    <t>进贤县</t>
  </si>
  <si>
    <t>奉新县</t>
  </si>
  <si>
    <t>靖安县</t>
  </si>
  <si>
    <t>武宁县</t>
  </si>
  <si>
    <t>义宁州</t>
  </si>
  <si>
    <t>铜鼓厅</t>
  </si>
  <si>
    <t>高安县</t>
  </si>
  <si>
    <t>上高县</t>
  </si>
  <si>
    <t>德化县</t>
  </si>
  <si>
    <t>德安县</t>
  </si>
  <si>
    <t>瑞昌县</t>
  </si>
  <si>
    <t>湖口县</t>
  </si>
  <si>
    <t>彭泽县</t>
  </si>
  <si>
    <t>星子县</t>
  </si>
  <si>
    <t>都昌县</t>
  </si>
  <si>
    <t>建昌县</t>
  </si>
  <si>
    <t>安义县</t>
  </si>
  <si>
    <t>鄱(po)阳县</t>
  </si>
  <si>
    <t>余干县</t>
  </si>
  <si>
    <t>乐平县</t>
  </si>
  <si>
    <t>浮梁县</t>
  </si>
  <si>
    <t>德兴县</t>
  </si>
  <si>
    <t>安仁县</t>
  </si>
  <si>
    <t>万年县</t>
  </si>
  <si>
    <t>上饶县</t>
  </si>
  <si>
    <t>玉山县</t>
  </si>
  <si>
    <t>弋阳县</t>
  </si>
  <si>
    <t>贵溪县</t>
  </si>
  <si>
    <t>铅(yan)山县</t>
  </si>
  <si>
    <t>广丰县</t>
  </si>
  <si>
    <t>兴安县</t>
  </si>
  <si>
    <t>南城县</t>
  </si>
  <si>
    <t>南丰县</t>
  </si>
  <si>
    <t>广昌县</t>
  </si>
  <si>
    <t>泸溪县</t>
  </si>
  <si>
    <t>临川县</t>
  </si>
  <si>
    <t>崇仁县</t>
  </si>
  <si>
    <t>金溪县</t>
  </si>
  <si>
    <t>宜黄县</t>
  </si>
  <si>
    <t>乐安县</t>
  </si>
  <si>
    <t>东乡县</t>
  </si>
  <si>
    <t>庐陵县</t>
  </si>
  <si>
    <t>泰和县</t>
  </si>
  <si>
    <t>吉水县</t>
  </si>
  <si>
    <t>永丰县</t>
  </si>
  <si>
    <t>安福县</t>
  </si>
  <si>
    <t>万安县</t>
  </si>
  <si>
    <t>永新县</t>
  </si>
  <si>
    <t>永宁县</t>
  </si>
  <si>
    <t>莲花厅</t>
  </si>
  <si>
    <t>清江县</t>
  </si>
  <si>
    <t>新淦县</t>
  </si>
  <si>
    <t>新喻县</t>
  </si>
  <si>
    <t>峡江县</t>
  </si>
  <si>
    <t>宜春县</t>
  </si>
  <si>
    <t>分宜县</t>
  </si>
  <si>
    <t>萍乡县</t>
  </si>
  <si>
    <t>万载县</t>
  </si>
  <si>
    <t>上栗市厅</t>
  </si>
  <si>
    <t>赣县</t>
  </si>
  <si>
    <t>雩(yu)都县</t>
  </si>
  <si>
    <t>信丰县</t>
  </si>
  <si>
    <t>兴国县</t>
  </si>
  <si>
    <t>会昌县</t>
  </si>
  <si>
    <t>安远县</t>
  </si>
  <si>
    <t>龙南县</t>
  </si>
  <si>
    <t>定南厅</t>
  </si>
  <si>
    <t>长宁县</t>
  </si>
  <si>
    <t>虔南厅</t>
  </si>
  <si>
    <t>瑞金县</t>
  </si>
  <si>
    <t>石城县</t>
  </si>
  <si>
    <t>大庾县</t>
  </si>
  <si>
    <t>南康县</t>
  </si>
  <si>
    <t>上犹县</t>
  </si>
  <si>
    <t>崇义县</t>
  </si>
  <si>
    <t>宜丰</t>
  </si>
  <si>
    <t>庐山</t>
  </si>
  <si>
    <t>鄱阳县</t>
  </si>
  <si>
    <t>铅山县</t>
  </si>
  <si>
    <t>横峰</t>
  </si>
  <si>
    <t>雩都县</t>
  </si>
  <si>
    <t>上海</t>
  </si>
  <si>
    <t>太仓直隶州</t>
  </si>
  <si>
    <t>松江府</t>
  </si>
  <si>
    <t>镇洋县</t>
  </si>
  <si>
    <t>嘉定县</t>
  </si>
  <si>
    <t>宝山县</t>
  </si>
  <si>
    <t>崇明县</t>
  </si>
  <si>
    <t>华亭县</t>
  </si>
  <si>
    <t>金山县</t>
  </si>
  <si>
    <t>娄县</t>
  </si>
  <si>
    <t>奉贤县</t>
  </si>
  <si>
    <t>南汇县</t>
  </si>
  <si>
    <t>川沙厅</t>
  </si>
  <si>
    <t>上海县</t>
  </si>
  <si>
    <t>青浦县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</si>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</sst>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sz val="11"/>
      <color rgb="FF000000"/>
      <name val="等线"/>
      <charset val="134"/>
    </font>
    <font>
      <sz val="11"/>
      <name val="Calibri"/>
    </font>
    <font>
      <sz val="11"/>
      <color rgb="FF000000"/>
      <name val="等线"/>
    </font>
    <font>
      <sz val="11"/>
      <name val="等线"/>
    </font>
    <font>
      <sz val="11"/>
      <color rgb="FF36363D"/>
      <name val="等线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5C9BD5"/>
        <bgColor indexed="64"/>
      </patternFill>
    </fill>
    <fill>
      <patternFill patternType="solid">
        <fgColor rgb="FFED7B3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1" fontId="0" fillId="0" borderId="0" xfId="0" applyNumberFormat="1"/>
    <xf numFmtId="1" fontId="0" fillId="0" borderId="0" xfId="0" applyNumberFormat="1" applyAlignment="1">
      <alignment vertical="center"/>
    </xf>
    <xf numFmtId="1" fontId="1" fillId="4" borderId="0" xfId="0" applyNumberFormat="1" applyFont="1" applyFill="1" applyAlignment="1"/>
    <xf numFmtId="1" fontId="0" fillId="0" borderId="0" xfId="0" applyNumberFormat="1" applyFill="1" applyAlignment="1">
      <alignment vertical="center"/>
    </xf>
    <xf numFmtId="1" fontId="0" fillId="2" borderId="0" xfId="0" applyNumberFormat="1" applyFill="1"/>
    <xf numFmtId="1" fontId="3" fillId="4" borderId="0" xfId="0" applyNumberFormat="1" applyFont="1" applyFill="1" applyAlignment="1"/>
    <xf numFmtId="1" fontId="0" fillId="3" borderId="0" xfId="0" applyNumberFormat="1" applyFill="1"/>
    <xf numFmtId="1" fontId="1" fillId="0" borderId="0" xfId="0" applyNumberFormat="1" applyFont="1" applyFill="1" applyAlignment="1"/>
    <xf numFmtId="1" fontId="1" fillId="5" borderId="0" xfId="0" applyNumberFormat="1" applyFont="1" applyFill="1" applyAlignment="1"/>
    <xf numFmtId="1" fontId="0" fillId="0" borderId="0" xfId="0" applyNumberFormat="1" applyFill="1"/>
    <xf numFmtId="1" fontId="3" fillId="5" borderId="0" xfId="0" applyNumberFormat="1" applyFont="1" applyFill="1" applyAlignment="1"/>
    <xf numFmtId="1" fontId="3" fillId="0" borderId="0" xfId="0" applyNumberFormat="1" applyFont="1" applyFill="1" applyAlignment="1"/>
    <xf numFmtId="1" fontId="6" fillId="5" borderId="0" xfId="0" applyNumberFormat="1" applyFont="1" applyFill="1" applyAlignment="1"/>
    <xf numFmtId="1" fontId="6" fillId="4" borderId="0" xfId="0" applyNumberFormat="1" applyFont="1" applyFill="1" applyAlignment="1"/>
    <xf numFmtId="1" fontId="4" fillId="0" borderId="0" xfId="0" applyNumberFormat="1" applyFont="1" applyFill="1" applyAlignment="1">
      <alignment vertical="center"/>
    </xf>
    <xf numFmtId="1" fontId="5" fillId="0" borderId="0" xfId="0" applyNumberFormat="1" applyFont="1" applyFill="1" applyAlignment="1">
      <alignment vertical="center"/>
    </xf>
    <xf numFmtId="1" fontId="2" fillId="0" borderId="0" xfId="0" applyNumberFormat="1" applyFont="1" applyAlignment="1">
      <alignment vertical="center" wrapText="1"/>
    </xf>
    <xf numFmtId="1" fontId="4" fillId="0" borderId="0" xfId="0" applyNumberFormat="1" applyFont="1" applyAlignment="1">
      <alignment vertical="center" wrapTex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C659"/>
  <sheetViews>
    <sheetView workbookViewId="0">
      <pane xSplit="1" ySplit="4" topLeftCell="LH5" activePane="bottomRight" state="frozen"/>
      <selection pane="topRight" activeCell="B1" sqref="B1"/>
      <selection pane="bottomLeft" activeCell="A5" sqref="A5"/>
      <selection pane="bottomRight" sqref="A1:XFD1048576"/>
    </sheetView>
  </sheetViews>
  <sheetFormatPr defaultRowHeight="14.4"/>
  <cols>
    <col min="1" max="3" width="8.88671875" style="1"/>
    <col min="4" max="5" width="10" style="1" bestFit="1" customWidth="1"/>
    <col min="6" max="16384" width="8.88671875" style="1"/>
  </cols>
  <sheetData>
    <row r="1" spans="1:341">
      <c r="B1" s="1" t="s">
        <v>0</v>
      </c>
      <c r="C1" s="1">
        <v>7781</v>
      </c>
      <c r="D1" s="1">
        <v>9183</v>
      </c>
      <c r="K1" s="1">
        <v>19060</v>
      </c>
      <c r="L1" s="1">
        <v>29023</v>
      </c>
      <c r="R1" s="1">
        <v>10440</v>
      </c>
      <c r="U1" s="1">
        <v>15620</v>
      </c>
      <c r="V1" s="1">
        <v>20560</v>
      </c>
      <c r="AD1" s="1">
        <v>6863</v>
      </c>
      <c r="AG1" s="1">
        <v>1270</v>
      </c>
      <c r="AH1" s="1">
        <v>6762</v>
      </c>
      <c r="AI1" s="1">
        <v>8267</v>
      </c>
      <c r="AT1" s="1">
        <v>7328</v>
      </c>
      <c r="AU1" s="1">
        <v>6464</v>
      </c>
      <c r="BC1" s="1">
        <v>4619</v>
      </c>
      <c r="BD1" s="1">
        <v>3616</v>
      </c>
      <c r="BI1" s="4" t="s">
        <v>61</v>
      </c>
      <c r="BJ1" s="2">
        <v>14800</v>
      </c>
      <c r="BK1" s="2">
        <v>14860</v>
      </c>
      <c r="BL1" s="2"/>
      <c r="BM1" s="2"/>
      <c r="BN1" s="2"/>
      <c r="BO1" s="2"/>
      <c r="BP1" s="2"/>
      <c r="BQ1" s="2">
        <v>14990</v>
      </c>
      <c r="BR1" s="2">
        <v>24270</v>
      </c>
      <c r="BS1" s="2"/>
      <c r="BT1" s="2"/>
      <c r="BU1" s="2"/>
      <c r="BV1" s="2"/>
      <c r="BW1" s="2">
        <v>9479</v>
      </c>
      <c r="BX1" s="2"/>
      <c r="BY1" s="2"/>
      <c r="BZ1" s="2">
        <v>23760</v>
      </c>
      <c r="CA1" s="2">
        <v>57150</v>
      </c>
      <c r="CB1" s="2"/>
      <c r="CC1" s="2"/>
      <c r="CD1" s="2"/>
      <c r="CE1" s="2"/>
      <c r="CF1" s="2"/>
      <c r="CG1" s="2"/>
      <c r="CH1" s="2">
        <v>11090</v>
      </c>
      <c r="CI1" s="2"/>
      <c r="CJ1" s="2"/>
      <c r="CK1" s="2"/>
      <c r="CL1" s="2">
        <v>22550</v>
      </c>
      <c r="CM1" s="2"/>
      <c r="CN1" s="2"/>
      <c r="CO1" s="2"/>
      <c r="CP1" s="2"/>
      <c r="CQ1" s="2"/>
      <c r="CR1" s="2"/>
      <c r="CS1" s="2"/>
      <c r="CT1" s="2">
        <v>3188</v>
      </c>
      <c r="CU1" s="2">
        <v>3147</v>
      </c>
      <c r="CV1" s="2"/>
      <c r="CW1" s="2"/>
      <c r="CX1" s="2">
        <v>9767</v>
      </c>
      <c r="CY1" s="2">
        <v>10030</v>
      </c>
      <c r="CZ1" s="2"/>
      <c r="DA1" s="2"/>
      <c r="DB1" s="2"/>
      <c r="DC1" s="2"/>
      <c r="DD1" s="2"/>
      <c r="DE1" s="2">
        <v>11490</v>
      </c>
      <c r="DF1" s="2">
        <v>11110</v>
      </c>
      <c r="DG1" s="2"/>
      <c r="DH1" s="2"/>
      <c r="DI1" s="2"/>
      <c r="DJ1" s="2"/>
      <c r="DK1" s="2"/>
      <c r="DL1" s="2">
        <v>11560</v>
      </c>
      <c r="DM1" s="2">
        <v>11500</v>
      </c>
      <c r="DN1" s="2"/>
      <c r="DO1" s="2"/>
      <c r="DP1" s="2"/>
      <c r="DQ1" s="2"/>
      <c r="DR1" s="2"/>
      <c r="DS1" s="2">
        <v>16690</v>
      </c>
      <c r="DT1" s="2">
        <v>10290</v>
      </c>
      <c r="DU1" s="2"/>
      <c r="DV1" s="2"/>
      <c r="DW1" s="2"/>
      <c r="DX1" s="2"/>
      <c r="DY1" s="2"/>
      <c r="DZ1" s="2"/>
      <c r="EA1" s="2"/>
      <c r="EB1" s="2">
        <v>4899</v>
      </c>
      <c r="EC1" s="2"/>
      <c r="ED1" s="2"/>
      <c r="EE1" s="2">
        <v>2663</v>
      </c>
      <c r="EF1" s="2"/>
      <c r="EG1" s="2">
        <v>3239</v>
      </c>
      <c r="EH1" s="2">
        <v>3521</v>
      </c>
      <c r="EI1" s="1" t="s">
        <v>148</v>
      </c>
      <c r="EJ1" s="1">
        <v>7318</v>
      </c>
      <c r="EK1" s="1">
        <v>7774</v>
      </c>
      <c r="ET1" s="1">
        <v>8435</v>
      </c>
      <c r="EU1" s="1">
        <v>8291</v>
      </c>
      <c r="FA1" s="1">
        <v>3209</v>
      </c>
      <c r="FB1" s="1">
        <v>3276</v>
      </c>
      <c r="FI1" s="1">
        <v>6194</v>
      </c>
      <c r="FJ1" s="1">
        <v>6219</v>
      </c>
      <c r="FQ1" s="1">
        <v>9544</v>
      </c>
      <c r="FR1" s="1">
        <v>9402</v>
      </c>
      <c r="FZ1" s="1">
        <v>5937</v>
      </c>
      <c r="GA1" s="1">
        <v>6337</v>
      </c>
      <c r="GH1" s="1">
        <v>11160</v>
      </c>
      <c r="GI1" s="1">
        <v>11270</v>
      </c>
      <c r="GO1" s="1">
        <v>9934</v>
      </c>
      <c r="GP1" s="1">
        <v>9824</v>
      </c>
      <c r="GX1" s="1">
        <v>9138</v>
      </c>
      <c r="GY1" s="1">
        <v>9279</v>
      </c>
      <c r="HD1" s="1">
        <v>18360</v>
      </c>
      <c r="HE1" s="1">
        <v>18140</v>
      </c>
      <c r="HO1" s="1">
        <v>11245</v>
      </c>
      <c r="HP1" s="1">
        <v>11101</v>
      </c>
      <c r="HW1" s="4" t="s">
        <v>249</v>
      </c>
      <c r="HX1" s="2">
        <v>21770</v>
      </c>
      <c r="HY1" s="2">
        <v>22100</v>
      </c>
      <c r="HZ1" s="2"/>
      <c r="IA1" s="2"/>
      <c r="IB1" s="2"/>
      <c r="IC1" s="2"/>
      <c r="ID1" s="2"/>
      <c r="IE1" s="2"/>
      <c r="IF1" s="2"/>
      <c r="IG1" s="2"/>
      <c r="IH1" s="2">
        <v>5246</v>
      </c>
      <c r="II1" s="2">
        <v>5482</v>
      </c>
      <c r="IJ1" s="2"/>
      <c r="IK1" s="2"/>
      <c r="IL1" s="2">
        <v>6575</v>
      </c>
      <c r="IM1" s="2">
        <v>6350</v>
      </c>
      <c r="IN1" s="2"/>
      <c r="IO1" s="2"/>
      <c r="IP1" s="2"/>
      <c r="IQ1" s="2"/>
      <c r="IR1" s="2">
        <v>5246</v>
      </c>
      <c r="IS1" s="2">
        <v>5177</v>
      </c>
      <c r="IT1" s="2"/>
      <c r="IU1" s="2"/>
      <c r="IV1" s="2"/>
      <c r="IW1" s="2">
        <v>15660</v>
      </c>
      <c r="IX1" s="2">
        <v>15450</v>
      </c>
      <c r="IY1" s="2"/>
      <c r="IZ1" s="2"/>
      <c r="JA1" s="2"/>
      <c r="JB1" s="2"/>
      <c r="JC1" s="2"/>
      <c r="JD1" s="2"/>
      <c r="JE1" s="2">
        <v>14040</v>
      </c>
      <c r="JF1" s="2">
        <v>14070</v>
      </c>
      <c r="JG1" s="2"/>
      <c r="JH1" s="2"/>
      <c r="JI1" s="2"/>
      <c r="JJ1" s="2"/>
      <c r="JK1" s="2"/>
      <c r="JL1" s="2"/>
      <c r="JM1" s="2">
        <v>8187</v>
      </c>
      <c r="JN1" s="2">
        <v>8366</v>
      </c>
      <c r="JO1" s="2"/>
      <c r="JP1" s="2"/>
      <c r="JQ1" s="2"/>
      <c r="JR1" s="2"/>
      <c r="JS1" s="2">
        <v>10650</v>
      </c>
      <c r="JT1" s="2">
        <v>10390</v>
      </c>
      <c r="JU1" s="2"/>
      <c r="JV1" s="2"/>
      <c r="JW1" s="2"/>
      <c r="JX1" s="2"/>
      <c r="JY1" s="2"/>
      <c r="JZ1" s="2">
        <v>24550</v>
      </c>
      <c r="KA1" s="2">
        <v>24360</v>
      </c>
      <c r="KB1" s="2"/>
      <c r="KC1" s="2"/>
      <c r="KD1" s="2"/>
      <c r="KE1" s="2"/>
      <c r="KF1" s="2"/>
      <c r="KG1" s="2"/>
      <c r="KH1" s="2"/>
      <c r="KI1" s="2"/>
      <c r="KJ1" s="2"/>
      <c r="KK1" s="2">
        <v>5380</v>
      </c>
      <c r="KL1" s="2">
        <v>5610</v>
      </c>
      <c r="KM1" s="2"/>
      <c r="KN1" s="2"/>
      <c r="KO1" s="2"/>
      <c r="KP1" s="2">
        <v>8806</v>
      </c>
      <c r="KQ1" s="2">
        <v>8781</v>
      </c>
      <c r="KR1" s="2"/>
      <c r="KS1" s="2"/>
      <c r="KT1" s="2"/>
      <c r="KU1" s="2"/>
      <c r="KV1" s="2">
        <v>23190</v>
      </c>
      <c r="KW1" s="2">
        <v>32220</v>
      </c>
      <c r="KX1" s="2"/>
      <c r="KY1" s="2"/>
      <c r="KZ1" s="2"/>
      <c r="LA1" s="2"/>
      <c r="LB1" s="2"/>
      <c r="LC1" s="2"/>
      <c r="LD1" s="2"/>
      <c r="LE1" s="2"/>
      <c r="LF1" s="2"/>
      <c r="LG1" s="2">
        <v>8692</v>
      </c>
      <c r="LH1" s="2"/>
      <c r="LI1" s="2"/>
      <c r="LJ1" s="2">
        <v>6907</v>
      </c>
      <c r="LK1" s="2">
        <v>6966</v>
      </c>
      <c r="LL1" s="2"/>
      <c r="LM1" s="2"/>
      <c r="LN1" s="2"/>
      <c r="LO1" s="2" t="s">
        <v>348</v>
      </c>
      <c r="LP1" s="2">
        <v>2317</v>
      </c>
      <c r="LQ1" s="2"/>
      <c r="LR1" s="2"/>
      <c r="LS1" s="2"/>
      <c r="LT1" s="2"/>
      <c r="LU1" s="2">
        <v>4157</v>
      </c>
      <c r="LV1" s="2">
        <v>4244</v>
      </c>
      <c r="LW1" s="2"/>
      <c r="LX1" s="2"/>
      <c r="LY1" s="2"/>
      <c r="LZ1" s="2"/>
      <c r="MA1" s="2"/>
      <c r="MB1" s="2"/>
      <c r="MC1" s="2"/>
    </row>
    <row r="2" spans="1:341">
      <c r="C2" s="1" t="s">
        <v>1</v>
      </c>
      <c r="K2" s="1" t="s">
        <v>2</v>
      </c>
      <c r="R2" s="1" t="s">
        <v>3</v>
      </c>
      <c r="U2" s="1" t="s">
        <v>4</v>
      </c>
      <c r="AD2" s="1" t="s">
        <v>5</v>
      </c>
      <c r="AG2" s="1" t="s">
        <v>6</v>
      </c>
      <c r="AH2" s="1" t="s">
        <v>7</v>
      </c>
      <c r="AT2" s="1" t="s">
        <v>8</v>
      </c>
      <c r="BC2" s="1" t="s">
        <v>9</v>
      </c>
      <c r="BI2" s="4"/>
      <c r="BJ2" s="3" t="s">
        <v>62</v>
      </c>
      <c r="BK2" s="2"/>
      <c r="BL2" s="2"/>
      <c r="BM2" s="2"/>
      <c r="BN2" s="2"/>
      <c r="BO2" s="2"/>
      <c r="BP2" s="2"/>
      <c r="BQ2" s="2" t="s">
        <v>63</v>
      </c>
      <c r="BR2" s="2"/>
      <c r="BS2" s="2"/>
      <c r="BT2" s="2"/>
      <c r="BU2" s="2"/>
      <c r="BV2" s="2"/>
      <c r="BW2" s="2" t="s">
        <v>64</v>
      </c>
      <c r="BX2" s="2"/>
      <c r="BY2" s="2"/>
      <c r="BZ2" s="2" t="s">
        <v>65</v>
      </c>
      <c r="CA2" s="2"/>
      <c r="CB2" s="2"/>
      <c r="CC2" s="2"/>
      <c r="CD2" s="2"/>
      <c r="CE2" s="2"/>
      <c r="CF2" s="2"/>
      <c r="CG2" s="2"/>
      <c r="CH2" s="2" t="s">
        <v>66</v>
      </c>
      <c r="CI2" s="2"/>
      <c r="CJ2" s="2"/>
      <c r="CK2" s="2"/>
      <c r="CL2" s="2" t="s">
        <v>67</v>
      </c>
      <c r="CM2" s="2"/>
      <c r="CN2" s="2"/>
      <c r="CO2" s="2"/>
      <c r="CP2" s="2"/>
      <c r="CQ2" s="2"/>
      <c r="CR2" s="2"/>
      <c r="CS2" s="2"/>
      <c r="CT2" s="3" t="s">
        <v>68</v>
      </c>
      <c r="CU2" s="2"/>
      <c r="CV2" s="2"/>
      <c r="CW2" s="2"/>
      <c r="CX2" s="3" t="s">
        <v>69</v>
      </c>
      <c r="CY2" s="2"/>
      <c r="CZ2" s="2"/>
      <c r="DA2" s="2"/>
      <c r="DB2" s="2"/>
      <c r="DC2" s="2"/>
      <c r="DD2" s="2"/>
      <c r="DE2" s="3" t="s">
        <v>70</v>
      </c>
      <c r="DF2" s="2"/>
      <c r="DG2" s="2"/>
      <c r="DH2" s="2"/>
      <c r="DI2" s="2"/>
      <c r="DJ2" s="2"/>
      <c r="DK2" s="2"/>
      <c r="DL2" s="3" t="s">
        <v>71</v>
      </c>
      <c r="DM2" s="2"/>
      <c r="DN2" s="2"/>
      <c r="DO2" s="2"/>
      <c r="DP2" s="2"/>
      <c r="DQ2" s="2"/>
      <c r="DR2" s="2"/>
      <c r="DS2" s="2" t="s">
        <v>72</v>
      </c>
      <c r="DT2" s="2"/>
      <c r="DU2" s="2"/>
      <c r="DV2" s="2"/>
      <c r="DW2" s="2"/>
      <c r="DX2" s="2"/>
      <c r="DY2" s="2"/>
      <c r="DZ2" s="2"/>
      <c r="EA2" s="2"/>
      <c r="EB2" s="3" t="s">
        <v>73</v>
      </c>
      <c r="EC2" s="2"/>
      <c r="ED2" s="2"/>
      <c r="EE2" s="3" t="s">
        <v>74</v>
      </c>
      <c r="EF2" s="2"/>
      <c r="EG2" s="2" t="s">
        <v>75</v>
      </c>
      <c r="EH2" s="2"/>
      <c r="EI2" s="19"/>
      <c r="EJ2" s="1" t="s">
        <v>149</v>
      </c>
      <c r="ET2" s="5" t="s">
        <v>150</v>
      </c>
      <c r="FA2" s="1" t="s">
        <v>151</v>
      </c>
      <c r="FB2" s="19"/>
      <c r="FI2" s="1" t="s">
        <v>152</v>
      </c>
      <c r="FQ2" s="5" t="s">
        <v>153</v>
      </c>
      <c r="FZ2" s="1" t="s">
        <v>154</v>
      </c>
      <c r="GH2" s="5" t="s">
        <v>155</v>
      </c>
      <c r="GO2" s="5" t="s">
        <v>156</v>
      </c>
      <c r="GX2" s="5" t="s">
        <v>157</v>
      </c>
      <c r="HD2" s="5" t="s">
        <v>158</v>
      </c>
      <c r="HO2" s="1" t="s">
        <v>159</v>
      </c>
      <c r="HV2" s="1" t="s">
        <v>160</v>
      </c>
      <c r="HW2" s="4"/>
      <c r="HX2" s="2" t="s">
        <v>250</v>
      </c>
      <c r="HY2" s="2"/>
      <c r="HZ2" s="2"/>
      <c r="IA2" s="2"/>
      <c r="IB2" s="2"/>
      <c r="IC2" s="2"/>
      <c r="ID2" s="2"/>
      <c r="IE2" s="2"/>
      <c r="IF2" s="2"/>
      <c r="IG2" s="2"/>
      <c r="IH2" s="6" t="s">
        <v>251</v>
      </c>
      <c r="II2" s="2"/>
      <c r="IJ2" s="2"/>
      <c r="IK2" s="2"/>
      <c r="IL2" s="6" t="s">
        <v>252</v>
      </c>
      <c r="IM2" s="2"/>
      <c r="IN2" s="2"/>
      <c r="IO2" s="2"/>
      <c r="IP2" s="2"/>
      <c r="IQ2" s="2"/>
      <c r="IR2" s="6" t="s">
        <v>253</v>
      </c>
      <c r="IS2" s="2"/>
      <c r="IT2" s="2"/>
      <c r="IU2" s="2"/>
      <c r="IV2" s="2"/>
      <c r="IW2" s="6" t="s">
        <v>254</v>
      </c>
      <c r="IX2" s="2"/>
      <c r="IY2" s="2"/>
      <c r="IZ2" s="2"/>
      <c r="JA2" s="2"/>
      <c r="JB2" s="2"/>
      <c r="JC2" s="2"/>
      <c r="JD2" s="2"/>
      <c r="JE2" s="2" t="s">
        <v>255</v>
      </c>
      <c r="JF2" s="2"/>
      <c r="JG2" s="2"/>
      <c r="JH2" s="2"/>
      <c r="JI2" s="2"/>
      <c r="JJ2" s="2"/>
      <c r="JK2" s="2"/>
      <c r="JL2" s="2"/>
      <c r="JM2" s="6" t="s">
        <v>256</v>
      </c>
      <c r="JN2" s="2"/>
      <c r="JO2" s="2"/>
      <c r="JP2" s="2"/>
      <c r="JQ2" s="2"/>
      <c r="JR2" s="2"/>
      <c r="JS2" s="6" t="s">
        <v>257</v>
      </c>
      <c r="JT2" s="2"/>
      <c r="JU2" s="2"/>
      <c r="JV2" s="2"/>
      <c r="JW2" s="2"/>
      <c r="JX2" s="2"/>
      <c r="JY2" s="2"/>
      <c r="JZ2" s="2" t="s">
        <v>258</v>
      </c>
      <c r="KA2" s="2"/>
      <c r="KB2" s="2"/>
      <c r="KC2" s="2"/>
      <c r="KD2" s="2"/>
      <c r="KE2" s="2"/>
      <c r="KF2" s="2"/>
      <c r="KG2" s="2"/>
      <c r="KH2" s="2"/>
      <c r="KI2" s="2"/>
      <c r="KJ2" s="2"/>
      <c r="KK2" s="6" t="s">
        <v>259</v>
      </c>
      <c r="KL2" s="2"/>
      <c r="KM2" s="2"/>
      <c r="KN2" s="2"/>
      <c r="KO2" s="2"/>
      <c r="KP2" s="2" t="s">
        <v>260</v>
      </c>
      <c r="KQ2" s="2"/>
      <c r="KR2" s="2"/>
      <c r="KS2" s="2"/>
      <c r="KT2" s="2"/>
      <c r="KU2" s="2"/>
      <c r="KV2" s="2" t="s">
        <v>261</v>
      </c>
      <c r="KW2" s="2"/>
      <c r="KX2" s="2"/>
      <c r="KY2" s="2"/>
      <c r="KZ2" s="2"/>
      <c r="LA2" s="2"/>
      <c r="LB2" s="2"/>
      <c r="LC2" s="2"/>
      <c r="LD2" s="2"/>
      <c r="LE2" s="2"/>
      <c r="LF2" s="2"/>
      <c r="LG2" s="2" t="s">
        <v>262</v>
      </c>
      <c r="LH2" s="2"/>
      <c r="LI2" s="2"/>
      <c r="LJ2" s="6" t="s">
        <v>263</v>
      </c>
      <c r="LK2" s="2"/>
      <c r="LL2" s="2"/>
      <c r="LM2" s="2"/>
      <c r="LN2" s="2"/>
      <c r="LO2" s="2"/>
      <c r="LP2" s="2" t="s">
        <v>349</v>
      </c>
      <c r="LQ2" s="2"/>
      <c r="LR2" s="2"/>
      <c r="LS2" s="2"/>
      <c r="LT2" s="2"/>
      <c r="LU2" s="2" t="s">
        <v>350</v>
      </c>
      <c r="LV2" s="2"/>
      <c r="LW2" s="2"/>
      <c r="LX2" s="2"/>
      <c r="LY2" s="2"/>
      <c r="LZ2" s="2"/>
      <c r="MA2" s="2"/>
      <c r="MB2" s="2"/>
      <c r="MC2" s="2"/>
    </row>
    <row r="3" spans="1:341">
      <c r="C3" s="5" t="s">
        <v>10</v>
      </c>
      <c r="D3" s="5" t="s">
        <v>11</v>
      </c>
      <c r="E3" s="5" t="s">
        <v>12</v>
      </c>
      <c r="F3" s="5" t="s">
        <v>13</v>
      </c>
      <c r="G3" s="5" t="s">
        <v>14</v>
      </c>
      <c r="H3" s="5" t="s">
        <v>15</v>
      </c>
      <c r="I3" s="5" t="s">
        <v>16</v>
      </c>
      <c r="J3" s="5" t="s">
        <v>17</v>
      </c>
      <c r="L3" s="5" t="s">
        <v>18</v>
      </c>
      <c r="M3" s="7" t="s">
        <v>19</v>
      </c>
      <c r="N3" s="5" t="s">
        <v>20</v>
      </c>
      <c r="O3" s="5" t="s">
        <v>21</v>
      </c>
      <c r="P3" s="5" t="s">
        <v>22</v>
      </c>
      <c r="Q3" s="5" t="s">
        <v>23</v>
      </c>
      <c r="S3" s="5" t="s">
        <v>24</v>
      </c>
      <c r="T3" s="5" t="s">
        <v>25</v>
      </c>
      <c r="V3" s="5" t="s">
        <v>26</v>
      </c>
      <c r="W3" s="7" t="s">
        <v>27</v>
      </c>
      <c r="X3" s="5" t="s">
        <v>28</v>
      </c>
      <c r="Y3" s="5" t="s">
        <v>29</v>
      </c>
      <c r="Z3" s="5" t="s">
        <v>30</v>
      </c>
      <c r="AA3" s="5" t="s">
        <v>31</v>
      </c>
      <c r="AB3" s="5" t="s">
        <v>32</v>
      </c>
      <c r="AC3" s="7" t="s">
        <v>33</v>
      </c>
      <c r="AE3" s="5" t="s">
        <v>34</v>
      </c>
      <c r="AF3" s="5" t="s">
        <v>35</v>
      </c>
      <c r="AI3" s="5" t="s">
        <v>36</v>
      </c>
      <c r="AJ3" s="5" t="s">
        <v>37</v>
      </c>
      <c r="AK3" s="5" t="s">
        <v>38</v>
      </c>
      <c r="AL3" s="7" t="s">
        <v>39</v>
      </c>
      <c r="AM3" s="7" t="s">
        <v>40</v>
      </c>
      <c r="AN3" s="7" t="s">
        <v>41</v>
      </c>
      <c r="AO3" s="7" t="s">
        <v>42</v>
      </c>
      <c r="AP3" s="5" t="s">
        <v>43</v>
      </c>
      <c r="AQ3" s="5" t="s">
        <v>44</v>
      </c>
      <c r="AR3" s="7" t="s">
        <v>45</v>
      </c>
      <c r="AS3" s="7" t="s">
        <v>46</v>
      </c>
      <c r="AU3" s="5" t="s">
        <v>47</v>
      </c>
      <c r="AV3" s="7" t="s">
        <v>48</v>
      </c>
      <c r="AW3" s="7" t="s">
        <v>49</v>
      </c>
      <c r="AX3" s="7" t="s">
        <v>50</v>
      </c>
      <c r="AY3" s="5" t="s">
        <v>51</v>
      </c>
      <c r="AZ3" s="5" t="s">
        <v>52</v>
      </c>
      <c r="BA3" s="5" t="s">
        <v>53</v>
      </c>
      <c r="BB3" s="5" t="s">
        <v>54</v>
      </c>
      <c r="BD3" s="5" t="s">
        <v>55</v>
      </c>
      <c r="BE3" s="5" t="s">
        <v>56</v>
      </c>
      <c r="BF3" s="5" t="s">
        <v>57</v>
      </c>
      <c r="BG3" s="5" t="s">
        <v>58</v>
      </c>
      <c r="BH3" s="7" t="s">
        <v>59</v>
      </c>
      <c r="BI3" s="4"/>
      <c r="BJ3" s="2"/>
      <c r="BK3" s="8" t="s">
        <v>76</v>
      </c>
      <c r="BL3" s="8" t="s">
        <v>77</v>
      </c>
      <c r="BM3" s="8" t="s">
        <v>78</v>
      </c>
      <c r="BN3" s="8" t="s">
        <v>79</v>
      </c>
      <c r="BO3" s="8" t="s">
        <v>80</v>
      </c>
      <c r="BP3" s="8" t="s">
        <v>81</v>
      </c>
      <c r="BQ3" s="2"/>
      <c r="BR3" s="3" t="s">
        <v>82</v>
      </c>
      <c r="BS3" s="3" t="s">
        <v>83</v>
      </c>
      <c r="BT3" s="3" t="s">
        <v>84</v>
      </c>
      <c r="BU3" s="3" t="s">
        <v>85</v>
      </c>
      <c r="BV3" s="3" t="s">
        <v>86</v>
      </c>
      <c r="BW3" s="2" t="s">
        <v>87</v>
      </c>
      <c r="BX3" s="2" t="s">
        <v>88</v>
      </c>
      <c r="BY3" s="2" t="s">
        <v>89</v>
      </c>
      <c r="BZ3" s="2"/>
      <c r="CA3" s="3" t="s">
        <v>90</v>
      </c>
      <c r="CB3" s="3" t="s">
        <v>91</v>
      </c>
      <c r="CC3" s="3" t="s">
        <v>92</v>
      </c>
      <c r="CD3" s="3" t="s">
        <v>93</v>
      </c>
      <c r="CE3" s="9" t="s">
        <v>94</v>
      </c>
      <c r="CF3" s="3" t="s">
        <v>95</v>
      </c>
      <c r="CG3" s="3" t="s">
        <v>96</v>
      </c>
      <c r="CH3" s="2" t="s">
        <v>97</v>
      </c>
      <c r="CI3" s="3" t="s">
        <v>98</v>
      </c>
      <c r="CJ3" s="3" t="s">
        <v>99</v>
      </c>
      <c r="CK3" s="3" t="s">
        <v>100</v>
      </c>
      <c r="CL3" s="2"/>
      <c r="CM3" s="9" t="s">
        <v>101</v>
      </c>
      <c r="CN3" s="3" t="s">
        <v>102</v>
      </c>
      <c r="CO3" s="3" t="s">
        <v>103</v>
      </c>
      <c r="CP3" s="3" t="s">
        <v>104</v>
      </c>
      <c r="CQ3" s="3" t="s">
        <v>105</v>
      </c>
      <c r="CR3" s="3" t="s">
        <v>106</v>
      </c>
      <c r="CS3" s="9" t="s">
        <v>107</v>
      </c>
      <c r="CT3" s="2"/>
      <c r="CU3" s="2" t="s">
        <v>108</v>
      </c>
      <c r="CV3" s="2" t="s">
        <v>109</v>
      </c>
      <c r="CW3" s="2" t="s">
        <v>110</v>
      </c>
      <c r="CX3" s="2"/>
      <c r="CY3" s="2" t="s">
        <v>111</v>
      </c>
      <c r="CZ3" s="2" t="s">
        <v>112</v>
      </c>
      <c r="DA3" s="2" t="s">
        <v>113</v>
      </c>
      <c r="DB3" s="2" t="s">
        <v>114</v>
      </c>
      <c r="DC3" s="2" t="s">
        <v>115</v>
      </c>
      <c r="DD3" s="2" t="s">
        <v>116</v>
      </c>
      <c r="DE3" s="2"/>
      <c r="DF3" s="2" t="s">
        <v>117</v>
      </c>
      <c r="DG3" s="2" t="s">
        <v>118</v>
      </c>
      <c r="DH3" s="2" t="s">
        <v>119</v>
      </c>
      <c r="DI3" s="2" t="s">
        <v>120</v>
      </c>
      <c r="DJ3" s="2" t="s">
        <v>121</v>
      </c>
      <c r="DK3" s="2" t="s">
        <v>122</v>
      </c>
      <c r="DL3" s="2"/>
      <c r="DM3" s="2" t="s">
        <v>123</v>
      </c>
      <c r="DN3" s="2" t="s">
        <v>124</v>
      </c>
      <c r="DO3" s="2" t="s">
        <v>125</v>
      </c>
      <c r="DP3" s="2" t="s">
        <v>126</v>
      </c>
      <c r="DQ3" s="2" t="s">
        <v>127</v>
      </c>
      <c r="DR3" s="2" t="s">
        <v>128</v>
      </c>
      <c r="DS3" s="2"/>
      <c r="DT3" s="9" t="s">
        <v>129</v>
      </c>
      <c r="DU3" s="3" t="s">
        <v>130</v>
      </c>
      <c r="DV3" s="3" t="s">
        <v>131</v>
      </c>
      <c r="DW3" s="3" t="s">
        <v>132</v>
      </c>
      <c r="DX3" s="3" t="s">
        <v>133</v>
      </c>
      <c r="DY3" s="3" t="s">
        <v>134</v>
      </c>
      <c r="DZ3" s="3" t="s">
        <v>135</v>
      </c>
      <c r="EA3" s="3" t="s">
        <v>136</v>
      </c>
      <c r="EB3" s="2"/>
      <c r="EC3" s="2" t="s">
        <v>137</v>
      </c>
      <c r="ED3" s="2" t="s">
        <v>138</v>
      </c>
      <c r="EE3" s="2"/>
      <c r="EF3" s="2" t="s">
        <v>139</v>
      </c>
      <c r="EG3" s="2" t="s">
        <v>140</v>
      </c>
      <c r="EH3" s="8" t="s">
        <v>141</v>
      </c>
      <c r="EK3" s="5" t="s">
        <v>161</v>
      </c>
      <c r="EL3" s="5" t="s">
        <v>162</v>
      </c>
      <c r="EM3" s="5" t="s">
        <v>163</v>
      </c>
      <c r="EN3" s="5" t="s">
        <v>164</v>
      </c>
      <c r="EO3" s="5" t="s">
        <v>165</v>
      </c>
      <c r="EP3" s="5" t="s">
        <v>166</v>
      </c>
      <c r="EQ3" s="5" t="s">
        <v>167</v>
      </c>
      <c r="ER3" s="5" t="s">
        <v>168</v>
      </c>
      <c r="ES3" s="5" t="s">
        <v>169</v>
      </c>
      <c r="EU3" s="10" t="s">
        <v>115</v>
      </c>
      <c r="EV3" s="1" t="s">
        <v>170</v>
      </c>
      <c r="EW3" s="1" t="s">
        <v>171</v>
      </c>
      <c r="EX3" s="1" t="s">
        <v>172</v>
      </c>
      <c r="EY3" s="1" t="s">
        <v>173</v>
      </c>
      <c r="EZ3" s="1" t="s">
        <v>174</v>
      </c>
      <c r="FB3" s="5" t="s">
        <v>175</v>
      </c>
      <c r="FC3" s="5" t="s">
        <v>176</v>
      </c>
      <c r="FD3" s="5" t="s">
        <v>177</v>
      </c>
      <c r="FE3" s="5" t="s">
        <v>178</v>
      </c>
      <c r="FF3" s="5" t="s">
        <v>179</v>
      </c>
      <c r="FG3" s="5" t="s">
        <v>180</v>
      </c>
      <c r="FH3" s="5" t="s">
        <v>181</v>
      </c>
      <c r="FJ3" s="5" t="s">
        <v>182</v>
      </c>
      <c r="FK3" s="5" t="s">
        <v>183</v>
      </c>
      <c r="FL3" s="5" t="s">
        <v>184</v>
      </c>
      <c r="FM3" s="5" t="s">
        <v>185</v>
      </c>
      <c r="FN3" s="5" t="s">
        <v>186</v>
      </c>
      <c r="FO3" s="5" t="s">
        <v>187</v>
      </c>
      <c r="FP3" s="5" t="s">
        <v>188</v>
      </c>
      <c r="FR3" s="10" t="s">
        <v>189</v>
      </c>
      <c r="FS3" s="10" t="s">
        <v>190</v>
      </c>
      <c r="FT3" s="10" t="s">
        <v>191</v>
      </c>
      <c r="FU3" s="10" t="s">
        <v>192</v>
      </c>
      <c r="FV3" s="1" t="s">
        <v>193</v>
      </c>
      <c r="FW3" s="1" t="s">
        <v>194</v>
      </c>
      <c r="FX3" s="1" t="s">
        <v>195</v>
      </c>
      <c r="FY3" s="1" t="s">
        <v>196</v>
      </c>
      <c r="GA3" s="5" t="s">
        <v>197</v>
      </c>
      <c r="GB3" s="5" t="s">
        <v>198</v>
      </c>
      <c r="GC3" s="5" t="s">
        <v>199</v>
      </c>
      <c r="GD3" s="5" t="s">
        <v>200</v>
      </c>
      <c r="GE3" s="5" t="s">
        <v>201</v>
      </c>
      <c r="GF3" s="7" t="s">
        <v>202</v>
      </c>
      <c r="GG3" s="7" t="s">
        <v>203</v>
      </c>
      <c r="GI3" s="1" t="s">
        <v>204</v>
      </c>
      <c r="GJ3" s="1" t="s">
        <v>205</v>
      </c>
      <c r="GK3" s="1" t="s">
        <v>206</v>
      </c>
      <c r="GL3" s="1" t="s">
        <v>207</v>
      </c>
      <c r="GM3" s="1" t="s">
        <v>208</v>
      </c>
      <c r="GN3" s="1" t="s">
        <v>122</v>
      </c>
      <c r="GP3" s="1" t="s">
        <v>209</v>
      </c>
      <c r="GQ3" s="1" t="s">
        <v>210</v>
      </c>
      <c r="GR3" s="1" t="s">
        <v>211</v>
      </c>
      <c r="GS3" s="1" t="s">
        <v>212</v>
      </c>
      <c r="GT3" s="1" t="s">
        <v>213</v>
      </c>
      <c r="GU3" s="1" t="s">
        <v>214</v>
      </c>
      <c r="GV3" s="1" t="s">
        <v>215</v>
      </c>
      <c r="GW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E3" s="10" t="s">
        <v>222</v>
      </c>
      <c r="HF3" s="10" t="s">
        <v>223</v>
      </c>
      <c r="HG3" s="10" t="s">
        <v>224</v>
      </c>
      <c r="HH3" s="10" t="s">
        <v>225</v>
      </c>
      <c r="HI3" s="10" t="s">
        <v>226</v>
      </c>
      <c r="HJ3" s="10" t="s">
        <v>227</v>
      </c>
      <c r="HK3" s="10" t="s">
        <v>228</v>
      </c>
      <c r="HL3" s="1" t="s">
        <v>229</v>
      </c>
      <c r="HM3" s="1" t="s">
        <v>230</v>
      </c>
      <c r="HN3" s="1" t="s">
        <v>231</v>
      </c>
      <c r="HP3" s="5" t="s">
        <v>232</v>
      </c>
      <c r="HQ3" s="5" t="s">
        <v>233</v>
      </c>
      <c r="HR3" s="5" t="s">
        <v>234</v>
      </c>
      <c r="HS3" s="5" t="s">
        <v>235</v>
      </c>
      <c r="HT3" s="5" t="s">
        <v>236</v>
      </c>
      <c r="HU3" s="7" t="s">
        <v>237</v>
      </c>
      <c r="HV3" s="7"/>
      <c r="HW3" s="4"/>
      <c r="HX3" s="2"/>
      <c r="HY3" s="6" t="s">
        <v>264</v>
      </c>
      <c r="HZ3" s="6" t="s">
        <v>265</v>
      </c>
      <c r="IA3" s="6" t="s">
        <v>266</v>
      </c>
      <c r="IB3" s="6" t="s">
        <v>267</v>
      </c>
      <c r="IC3" s="6" t="s">
        <v>268</v>
      </c>
      <c r="ID3" s="6" t="s">
        <v>269</v>
      </c>
      <c r="IE3" s="6" t="s">
        <v>270</v>
      </c>
      <c r="IF3" s="6" t="s">
        <v>271</v>
      </c>
      <c r="IG3" s="11" t="s">
        <v>272</v>
      </c>
      <c r="IH3" s="2"/>
      <c r="II3" s="2" t="s">
        <v>273</v>
      </c>
      <c r="IJ3" s="2" t="s">
        <v>274</v>
      </c>
      <c r="IK3" s="2" t="s">
        <v>196</v>
      </c>
      <c r="IL3" s="2"/>
      <c r="IM3" s="2" t="s">
        <v>275</v>
      </c>
      <c r="IN3" s="2" t="s">
        <v>276</v>
      </c>
      <c r="IO3" s="2" t="s">
        <v>277</v>
      </c>
      <c r="IP3" s="2" t="s">
        <v>278</v>
      </c>
      <c r="IQ3" s="2" t="s">
        <v>279</v>
      </c>
      <c r="IR3" s="2"/>
      <c r="IS3" s="12" t="s">
        <v>280</v>
      </c>
      <c r="IT3" s="12" t="s">
        <v>281</v>
      </c>
      <c r="IU3" s="12" t="s">
        <v>282</v>
      </c>
      <c r="IV3" s="2" t="s">
        <v>283</v>
      </c>
      <c r="IW3" s="2"/>
      <c r="IX3" s="12" t="s">
        <v>284</v>
      </c>
      <c r="IY3" s="12" t="s">
        <v>285</v>
      </c>
      <c r="IZ3" s="12" t="s">
        <v>286</v>
      </c>
      <c r="JA3" s="2" t="s">
        <v>287</v>
      </c>
      <c r="JB3" s="2" t="s">
        <v>288</v>
      </c>
      <c r="JC3" s="2" t="s">
        <v>289</v>
      </c>
      <c r="JD3" s="2" t="s">
        <v>290</v>
      </c>
      <c r="JE3" s="2"/>
      <c r="JF3" s="6" t="s">
        <v>291</v>
      </c>
      <c r="JG3" s="6" t="s">
        <v>292</v>
      </c>
      <c r="JH3" s="6" t="s">
        <v>293</v>
      </c>
      <c r="JI3" s="6" t="s">
        <v>294</v>
      </c>
      <c r="JJ3" s="6" t="s">
        <v>295</v>
      </c>
      <c r="JK3" s="6" t="s">
        <v>296</v>
      </c>
      <c r="JL3" s="6" t="s">
        <v>297</v>
      </c>
      <c r="JM3" s="2"/>
      <c r="JN3" s="2" t="s">
        <v>298</v>
      </c>
      <c r="JO3" s="2" t="s">
        <v>299</v>
      </c>
      <c r="JP3" s="2" t="s">
        <v>168</v>
      </c>
      <c r="JQ3" s="2" t="s">
        <v>300</v>
      </c>
      <c r="JR3" s="2" t="s">
        <v>301</v>
      </c>
      <c r="JS3" s="2"/>
      <c r="JT3" s="2" t="s">
        <v>302</v>
      </c>
      <c r="JU3" s="2" t="s">
        <v>303</v>
      </c>
      <c r="JV3" s="2" t="s">
        <v>304</v>
      </c>
      <c r="JW3" s="2" t="s">
        <v>305</v>
      </c>
      <c r="JX3" s="2" t="s">
        <v>306</v>
      </c>
      <c r="JY3" s="2" t="s">
        <v>307</v>
      </c>
      <c r="JZ3" s="2"/>
      <c r="KA3" s="6" t="s">
        <v>308</v>
      </c>
      <c r="KB3" s="6" t="s">
        <v>309</v>
      </c>
      <c r="KC3" s="6" t="s">
        <v>310</v>
      </c>
      <c r="KD3" s="6" t="s">
        <v>311</v>
      </c>
      <c r="KE3" s="6" t="s">
        <v>312</v>
      </c>
      <c r="KF3" s="6" t="s">
        <v>227</v>
      </c>
      <c r="KG3" s="6" t="s">
        <v>313</v>
      </c>
      <c r="KH3" s="6" t="s">
        <v>314</v>
      </c>
      <c r="KI3" s="6" t="s">
        <v>315</v>
      </c>
      <c r="KJ3" s="11" t="s">
        <v>316</v>
      </c>
      <c r="KK3" s="2"/>
      <c r="KL3" s="2" t="s">
        <v>317</v>
      </c>
      <c r="KM3" s="2" t="s">
        <v>318</v>
      </c>
      <c r="KN3" s="2" t="s">
        <v>319</v>
      </c>
      <c r="KO3" s="2" t="s">
        <v>320</v>
      </c>
      <c r="KP3" s="2"/>
      <c r="KQ3" s="6" t="s">
        <v>321</v>
      </c>
      <c r="KR3" s="6" t="s">
        <v>322</v>
      </c>
      <c r="KS3" s="6" t="s">
        <v>323</v>
      </c>
      <c r="KT3" s="6" t="s">
        <v>324</v>
      </c>
      <c r="KU3" s="11" t="s">
        <v>325</v>
      </c>
      <c r="KV3" s="2"/>
      <c r="KW3" s="6" t="s">
        <v>326</v>
      </c>
      <c r="KX3" s="6" t="s">
        <v>327</v>
      </c>
      <c r="KY3" s="6" t="s">
        <v>328</v>
      </c>
      <c r="KZ3" s="6" t="s">
        <v>329</v>
      </c>
      <c r="LA3" s="6" t="s">
        <v>330</v>
      </c>
      <c r="LB3" s="6" t="s">
        <v>331</v>
      </c>
      <c r="LC3" s="6" t="s">
        <v>332</v>
      </c>
      <c r="LD3" s="6" t="s">
        <v>333</v>
      </c>
      <c r="LE3" s="6" t="s">
        <v>334</v>
      </c>
      <c r="LF3" s="11" t="s">
        <v>335</v>
      </c>
      <c r="LG3" s="2"/>
      <c r="LH3" s="6" t="s">
        <v>336</v>
      </c>
      <c r="LI3" s="6" t="s">
        <v>337</v>
      </c>
      <c r="LJ3" s="2"/>
      <c r="LK3" s="2" t="s">
        <v>338</v>
      </c>
      <c r="LL3" s="2" t="s">
        <v>339</v>
      </c>
      <c r="LM3" s="2" t="s">
        <v>340</v>
      </c>
      <c r="LN3" s="2" t="s">
        <v>341</v>
      </c>
      <c r="LO3" s="2"/>
      <c r="LP3" s="2"/>
      <c r="LQ3" s="13" t="s">
        <v>351</v>
      </c>
      <c r="LR3" s="14" t="s">
        <v>352</v>
      </c>
      <c r="LS3" s="13" t="s">
        <v>353</v>
      </c>
      <c r="LT3" s="14" t="s">
        <v>354</v>
      </c>
      <c r="LU3" s="2"/>
      <c r="LV3" s="14" t="s">
        <v>355</v>
      </c>
      <c r="LW3" s="13" t="s">
        <v>356</v>
      </c>
      <c r="LX3" s="13" t="s">
        <v>357</v>
      </c>
      <c r="LY3" s="13" t="s">
        <v>358</v>
      </c>
      <c r="LZ3" s="13" t="s">
        <v>359</v>
      </c>
      <c r="MA3" s="13" t="s">
        <v>360</v>
      </c>
      <c r="MB3" s="14" t="s">
        <v>361</v>
      </c>
      <c r="MC3" s="14" t="s">
        <v>362</v>
      </c>
    </row>
    <row r="4" spans="1:341">
      <c r="B4" s="1" t="s">
        <v>0</v>
      </c>
      <c r="C4" s="1" t="s">
        <v>1</v>
      </c>
      <c r="D4" s="1" t="s">
        <v>11</v>
      </c>
      <c r="E4" s="1" t="s">
        <v>12</v>
      </c>
      <c r="F4" s="1" t="s">
        <v>13</v>
      </c>
      <c r="G4" s="1" t="s">
        <v>14</v>
      </c>
      <c r="H4" s="1" t="s">
        <v>15</v>
      </c>
      <c r="I4" s="1" t="s">
        <v>16</v>
      </c>
      <c r="J4" s="1" t="s">
        <v>17</v>
      </c>
      <c r="K4" s="1" t="s">
        <v>2</v>
      </c>
      <c r="L4" s="1" t="s">
        <v>18</v>
      </c>
      <c r="M4" s="1" t="s">
        <v>19</v>
      </c>
      <c r="N4" s="1" t="s">
        <v>20</v>
      </c>
      <c r="O4" s="1" t="s">
        <v>21</v>
      </c>
      <c r="P4" s="1" t="s">
        <v>22</v>
      </c>
      <c r="Q4" s="1" t="s">
        <v>23</v>
      </c>
      <c r="R4" s="1" t="s">
        <v>3</v>
      </c>
      <c r="S4" s="1" t="s">
        <v>24</v>
      </c>
      <c r="T4" s="1" t="s">
        <v>25</v>
      </c>
      <c r="U4" s="1" t="s">
        <v>4</v>
      </c>
      <c r="V4" s="1" t="s">
        <v>26</v>
      </c>
      <c r="W4" s="1" t="s">
        <v>27</v>
      </c>
      <c r="X4" s="1" t="s">
        <v>60</v>
      </c>
      <c r="Y4" s="1" t="s">
        <v>29</v>
      </c>
      <c r="Z4" s="1" t="s">
        <v>30</v>
      </c>
      <c r="AA4" s="1" t="s">
        <v>31</v>
      </c>
      <c r="AB4" s="1" t="s">
        <v>32</v>
      </c>
      <c r="AC4" s="1" t="s">
        <v>33</v>
      </c>
      <c r="AD4" s="1" t="s">
        <v>5</v>
      </c>
      <c r="AE4" s="1" t="s">
        <v>34</v>
      </c>
      <c r="AF4" s="1" t="s">
        <v>35</v>
      </c>
      <c r="AG4" s="1" t="s">
        <v>6</v>
      </c>
      <c r="AH4" s="1" t="s">
        <v>7</v>
      </c>
      <c r="AI4" s="1" t="s">
        <v>36</v>
      </c>
      <c r="AJ4" s="1" t="s">
        <v>37</v>
      </c>
      <c r="AK4" s="1" t="s">
        <v>38</v>
      </c>
      <c r="AL4" s="1" t="s">
        <v>39</v>
      </c>
      <c r="AM4" s="1" t="s">
        <v>40</v>
      </c>
      <c r="AN4" s="1" t="s">
        <v>41</v>
      </c>
      <c r="AO4" s="1" t="s">
        <v>42</v>
      </c>
      <c r="AP4" s="1" t="s">
        <v>43</v>
      </c>
      <c r="AQ4" s="1" t="s">
        <v>44</v>
      </c>
      <c r="AR4" s="1" t="s">
        <v>45</v>
      </c>
      <c r="AS4" s="1" t="s">
        <v>46</v>
      </c>
      <c r="AT4" s="1" t="s">
        <v>8</v>
      </c>
      <c r="AU4" s="1" t="s">
        <v>47</v>
      </c>
      <c r="AV4" s="1" t="s">
        <v>48</v>
      </c>
      <c r="AW4" s="1" t="s">
        <v>49</v>
      </c>
      <c r="AX4" s="1" t="s">
        <v>50</v>
      </c>
      <c r="AY4" s="1" t="s">
        <v>51</v>
      </c>
      <c r="AZ4" s="1" t="s">
        <v>52</v>
      </c>
      <c r="BA4" s="1" t="s">
        <v>53</v>
      </c>
      <c r="BB4" s="1" t="s">
        <v>54</v>
      </c>
      <c r="BC4" s="1" t="s">
        <v>9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4" t="s">
        <v>61</v>
      </c>
      <c r="BJ4" s="2" t="s">
        <v>62</v>
      </c>
      <c r="BK4" s="2" t="s">
        <v>76</v>
      </c>
      <c r="BL4" s="2" t="s">
        <v>77</v>
      </c>
      <c r="BM4" s="2" t="s">
        <v>78</v>
      </c>
      <c r="BN4" s="2" t="s">
        <v>79</v>
      </c>
      <c r="BO4" s="2" t="s">
        <v>80</v>
      </c>
      <c r="BP4" s="2" t="s">
        <v>81</v>
      </c>
      <c r="BQ4" s="2" t="s">
        <v>63</v>
      </c>
      <c r="BR4" s="2" t="s">
        <v>82</v>
      </c>
      <c r="BS4" s="2" t="s">
        <v>83</v>
      </c>
      <c r="BT4" s="2" t="s">
        <v>84</v>
      </c>
      <c r="BU4" s="2" t="s">
        <v>85</v>
      </c>
      <c r="BV4" s="2" t="s">
        <v>86</v>
      </c>
      <c r="BW4" s="2" t="s">
        <v>87</v>
      </c>
      <c r="BX4" s="2" t="s">
        <v>88</v>
      </c>
      <c r="BY4" s="2" t="s">
        <v>89</v>
      </c>
      <c r="BZ4" s="2" t="s">
        <v>65</v>
      </c>
      <c r="CA4" s="2" t="s">
        <v>90</v>
      </c>
      <c r="CB4" s="2" t="s">
        <v>91</v>
      </c>
      <c r="CC4" s="2" t="s">
        <v>92</v>
      </c>
      <c r="CD4" s="2" t="s">
        <v>93</v>
      </c>
      <c r="CE4" s="2" t="s">
        <v>94</v>
      </c>
      <c r="CF4" s="2" t="s">
        <v>95</v>
      </c>
      <c r="CG4" s="2" t="s">
        <v>96</v>
      </c>
      <c r="CH4" s="2" t="s">
        <v>97</v>
      </c>
      <c r="CI4" s="2" t="s">
        <v>142</v>
      </c>
      <c r="CJ4" s="2" t="s">
        <v>99</v>
      </c>
      <c r="CK4" s="2" t="s">
        <v>100</v>
      </c>
      <c r="CL4" s="2" t="s">
        <v>67</v>
      </c>
      <c r="CM4" s="2" t="s">
        <v>101</v>
      </c>
      <c r="CN4" s="2" t="s">
        <v>102</v>
      </c>
      <c r="CO4" s="2" t="s">
        <v>103</v>
      </c>
      <c r="CP4" s="2" t="s">
        <v>143</v>
      </c>
      <c r="CQ4" s="2" t="s">
        <v>105</v>
      </c>
      <c r="CR4" s="2" t="s">
        <v>106</v>
      </c>
      <c r="CS4" s="2" t="s">
        <v>107</v>
      </c>
      <c r="CT4" s="2" t="s">
        <v>68</v>
      </c>
      <c r="CU4" s="2" t="s">
        <v>108</v>
      </c>
      <c r="CV4" s="2" t="s">
        <v>109</v>
      </c>
      <c r="CW4" s="2" t="s">
        <v>110</v>
      </c>
      <c r="CX4" s="2" t="s">
        <v>69</v>
      </c>
      <c r="CY4" s="2" t="s">
        <v>111</v>
      </c>
      <c r="CZ4" s="2" t="s">
        <v>112</v>
      </c>
      <c r="DA4" s="2" t="s">
        <v>113</v>
      </c>
      <c r="DB4" s="2" t="s">
        <v>144</v>
      </c>
      <c r="DC4" s="2" t="s">
        <v>115</v>
      </c>
      <c r="DD4" s="2" t="s">
        <v>116</v>
      </c>
      <c r="DE4" s="2" t="s">
        <v>70</v>
      </c>
      <c r="DF4" s="2" t="s">
        <v>117</v>
      </c>
      <c r="DG4" s="2" t="s">
        <v>118</v>
      </c>
      <c r="DH4" s="2" t="s">
        <v>119</v>
      </c>
      <c r="DI4" s="2" t="s">
        <v>120</v>
      </c>
      <c r="DJ4" s="2" t="s">
        <v>121</v>
      </c>
      <c r="DK4" s="2" t="s">
        <v>122</v>
      </c>
      <c r="DL4" s="2" t="s">
        <v>71</v>
      </c>
      <c r="DM4" s="2" t="s">
        <v>145</v>
      </c>
      <c r="DN4" s="2" t="s">
        <v>124</v>
      </c>
      <c r="DO4" s="2" t="s">
        <v>125</v>
      </c>
      <c r="DP4" s="2" t="s">
        <v>146</v>
      </c>
      <c r="DQ4" s="2" t="s">
        <v>127</v>
      </c>
      <c r="DR4" s="2" t="s">
        <v>128</v>
      </c>
      <c r="DS4" s="2" t="s">
        <v>72</v>
      </c>
      <c r="DT4" s="2" t="s">
        <v>129</v>
      </c>
      <c r="DU4" s="2" t="s">
        <v>130</v>
      </c>
      <c r="DV4" s="2" t="s">
        <v>131</v>
      </c>
      <c r="DW4" s="2" t="s">
        <v>132</v>
      </c>
      <c r="DX4" s="2" t="s">
        <v>133</v>
      </c>
      <c r="DY4" s="2" t="s">
        <v>134</v>
      </c>
      <c r="DZ4" s="2" t="s">
        <v>135</v>
      </c>
      <c r="EA4" s="2" t="s">
        <v>136</v>
      </c>
      <c r="EB4" s="2" t="s">
        <v>147</v>
      </c>
      <c r="EC4" s="2" t="s">
        <v>137</v>
      </c>
      <c r="ED4" s="2" t="s">
        <v>138</v>
      </c>
      <c r="EE4" s="2" t="s">
        <v>74</v>
      </c>
      <c r="EF4" s="2" t="s">
        <v>139</v>
      </c>
      <c r="EG4" s="2" t="s">
        <v>140</v>
      </c>
      <c r="EH4" s="2" t="s">
        <v>141</v>
      </c>
      <c r="EI4" s="1" t="s">
        <v>148</v>
      </c>
      <c r="EJ4" s="1" t="s">
        <v>149</v>
      </c>
      <c r="EK4" s="1" t="s">
        <v>161</v>
      </c>
      <c r="EL4" s="1" t="s">
        <v>162</v>
      </c>
      <c r="EM4" s="1" t="s">
        <v>238</v>
      </c>
      <c r="EN4" s="1" t="s">
        <v>164</v>
      </c>
      <c r="EO4" s="1" t="s">
        <v>165</v>
      </c>
      <c r="EP4" s="1" t="s">
        <v>166</v>
      </c>
      <c r="EQ4" s="1" t="s">
        <v>167</v>
      </c>
      <c r="ER4" s="1" t="s">
        <v>239</v>
      </c>
      <c r="ES4" s="1" t="s">
        <v>169</v>
      </c>
      <c r="ET4" s="1" t="s">
        <v>150</v>
      </c>
      <c r="EU4" s="1" t="s">
        <v>115</v>
      </c>
      <c r="EV4" s="1" t="s">
        <v>170</v>
      </c>
      <c r="EW4" s="1" t="s">
        <v>171</v>
      </c>
      <c r="EX4" s="1" t="s">
        <v>172</v>
      </c>
      <c r="EY4" s="1" t="s">
        <v>173</v>
      </c>
      <c r="EZ4" s="1" t="s">
        <v>174</v>
      </c>
      <c r="FA4" s="1" t="s">
        <v>151</v>
      </c>
      <c r="FB4" s="1" t="s">
        <v>175</v>
      </c>
      <c r="FC4" s="1" t="s">
        <v>176</v>
      </c>
      <c r="FD4" s="1" t="s">
        <v>177</v>
      </c>
      <c r="FE4" s="1" t="s">
        <v>240</v>
      </c>
      <c r="FF4" s="1" t="s">
        <v>179</v>
      </c>
      <c r="FG4" s="1" t="s">
        <v>180</v>
      </c>
      <c r="FH4" s="1" t="s">
        <v>181</v>
      </c>
      <c r="FI4" s="1" t="s">
        <v>152</v>
      </c>
      <c r="FJ4" s="1" t="s">
        <v>182</v>
      </c>
      <c r="FK4" s="1" t="s">
        <v>241</v>
      </c>
      <c r="FL4" s="1" t="s">
        <v>184</v>
      </c>
      <c r="FM4" s="1" t="s">
        <v>185</v>
      </c>
      <c r="FN4" s="1" t="s">
        <v>186</v>
      </c>
      <c r="FO4" s="1" t="s">
        <v>242</v>
      </c>
      <c r="FP4" s="1" t="s">
        <v>188</v>
      </c>
      <c r="FQ4" s="1" t="s">
        <v>153</v>
      </c>
      <c r="FR4" s="1" t="s">
        <v>189</v>
      </c>
      <c r="FS4" s="1" t="s">
        <v>190</v>
      </c>
      <c r="FT4" s="1" t="s">
        <v>191</v>
      </c>
      <c r="FU4" s="1" t="s">
        <v>192</v>
      </c>
      <c r="FV4" s="1" t="s">
        <v>193</v>
      </c>
      <c r="FW4" s="1" t="s">
        <v>194</v>
      </c>
      <c r="FX4" s="1" t="s">
        <v>243</v>
      </c>
      <c r="FY4" s="1" t="s">
        <v>196</v>
      </c>
      <c r="FZ4" s="1" t="s">
        <v>154</v>
      </c>
      <c r="GA4" s="1" t="s">
        <v>244</v>
      </c>
      <c r="GB4" s="1" t="s">
        <v>245</v>
      </c>
      <c r="GC4" s="1" t="s">
        <v>199</v>
      </c>
      <c r="GD4" s="1" t="s">
        <v>246</v>
      </c>
      <c r="GE4" s="1" t="s">
        <v>201</v>
      </c>
      <c r="GF4" s="1" t="s">
        <v>202</v>
      </c>
      <c r="GG4" s="1" t="s">
        <v>203</v>
      </c>
      <c r="GH4" s="1" t="s">
        <v>155</v>
      </c>
      <c r="GI4" s="1" t="s">
        <v>204</v>
      </c>
      <c r="GJ4" s="1" t="s">
        <v>205</v>
      </c>
      <c r="GK4" s="1" t="s">
        <v>206</v>
      </c>
      <c r="GL4" s="1" t="s">
        <v>207</v>
      </c>
      <c r="GM4" s="1" t="s">
        <v>208</v>
      </c>
      <c r="GN4" s="1" t="s">
        <v>247</v>
      </c>
      <c r="GO4" s="1" t="s">
        <v>156</v>
      </c>
      <c r="GP4" s="1" t="s">
        <v>209</v>
      </c>
      <c r="GQ4" s="1" t="s">
        <v>210</v>
      </c>
      <c r="GR4" s="1" t="s">
        <v>211</v>
      </c>
      <c r="GS4" s="1" t="s">
        <v>212</v>
      </c>
      <c r="GT4" s="1" t="s">
        <v>213</v>
      </c>
      <c r="GU4" s="1" t="s">
        <v>214</v>
      </c>
      <c r="GV4" s="1" t="s">
        <v>215</v>
      </c>
      <c r="GW4" s="1" t="s">
        <v>216</v>
      </c>
      <c r="GX4" s="1" t="s">
        <v>157</v>
      </c>
      <c r="GY4" s="1" t="s">
        <v>217</v>
      </c>
      <c r="GZ4" s="1" t="s">
        <v>218</v>
      </c>
      <c r="HA4" s="1" t="s">
        <v>219</v>
      </c>
      <c r="HB4" s="1" t="s">
        <v>220</v>
      </c>
      <c r="HC4" s="1" t="s">
        <v>221</v>
      </c>
      <c r="HD4" s="1" t="s">
        <v>158</v>
      </c>
      <c r="HE4" s="1" t="s">
        <v>222</v>
      </c>
      <c r="HF4" s="1" t="s">
        <v>223</v>
      </c>
      <c r="HG4" s="1" t="s">
        <v>248</v>
      </c>
      <c r="HH4" s="1" t="s">
        <v>225</v>
      </c>
      <c r="HI4" s="1" t="s">
        <v>226</v>
      </c>
      <c r="HJ4" s="1" t="s">
        <v>227</v>
      </c>
      <c r="HK4" s="1" t="s">
        <v>228</v>
      </c>
      <c r="HL4" s="1" t="s">
        <v>229</v>
      </c>
      <c r="HM4" s="1" t="s">
        <v>230</v>
      </c>
      <c r="HN4" s="1" t="s">
        <v>231</v>
      </c>
      <c r="HO4" s="1" t="s">
        <v>159</v>
      </c>
      <c r="HP4" s="1" t="s">
        <v>232</v>
      </c>
      <c r="HQ4" s="1" t="s">
        <v>233</v>
      </c>
      <c r="HR4" s="1" t="s">
        <v>234</v>
      </c>
      <c r="HS4" s="1" t="s">
        <v>235</v>
      </c>
      <c r="HT4" s="1" t="s">
        <v>236</v>
      </c>
      <c r="HU4" s="1" t="s">
        <v>237</v>
      </c>
      <c r="HV4" s="1" t="s">
        <v>160</v>
      </c>
      <c r="HW4" s="4" t="s">
        <v>249</v>
      </c>
      <c r="HX4" s="2" t="s">
        <v>250</v>
      </c>
      <c r="HY4" s="2" t="s">
        <v>264</v>
      </c>
      <c r="HZ4" s="2" t="s">
        <v>265</v>
      </c>
      <c r="IA4" s="2" t="s">
        <v>266</v>
      </c>
      <c r="IB4" s="2" t="s">
        <v>267</v>
      </c>
      <c r="IC4" s="2" t="s">
        <v>268</v>
      </c>
      <c r="ID4" s="2" t="s">
        <v>269</v>
      </c>
      <c r="IE4" s="2" t="s">
        <v>270</v>
      </c>
      <c r="IF4" s="2" t="s">
        <v>271</v>
      </c>
      <c r="IG4" s="2" t="s">
        <v>272</v>
      </c>
      <c r="IH4" s="2" t="s">
        <v>251</v>
      </c>
      <c r="II4" s="2" t="s">
        <v>273</v>
      </c>
      <c r="IJ4" s="2" t="s">
        <v>274</v>
      </c>
      <c r="IK4" s="2" t="s">
        <v>342</v>
      </c>
      <c r="IL4" s="2" t="s">
        <v>252</v>
      </c>
      <c r="IM4" s="2" t="s">
        <v>275</v>
      </c>
      <c r="IN4" s="2" t="s">
        <v>276</v>
      </c>
      <c r="IO4" s="2" t="s">
        <v>277</v>
      </c>
      <c r="IP4" s="2" t="s">
        <v>278</v>
      </c>
      <c r="IQ4" s="2" t="s">
        <v>279</v>
      </c>
      <c r="IR4" s="2" t="s">
        <v>253</v>
      </c>
      <c r="IS4" s="2" t="s">
        <v>343</v>
      </c>
      <c r="IT4" s="12" t="s">
        <v>281</v>
      </c>
      <c r="IU4" s="12" t="s">
        <v>282</v>
      </c>
      <c r="IV4" s="2" t="s">
        <v>283</v>
      </c>
      <c r="IW4" s="2" t="s">
        <v>254</v>
      </c>
      <c r="IX4" s="12" t="s">
        <v>344</v>
      </c>
      <c r="IY4" s="12" t="s">
        <v>285</v>
      </c>
      <c r="IZ4" s="12" t="s">
        <v>286</v>
      </c>
      <c r="JA4" s="2" t="s">
        <v>287</v>
      </c>
      <c r="JB4" s="2" t="s">
        <v>288</v>
      </c>
      <c r="JC4" s="2" t="s">
        <v>289</v>
      </c>
      <c r="JD4" s="2" t="s">
        <v>290</v>
      </c>
      <c r="JE4" s="2" t="s">
        <v>255</v>
      </c>
      <c r="JF4" s="2" t="s">
        <v>291</v>
      </c>
      <c r="JG4" s="2" t="s">
        <v>292</v>
      </c>
      <c r="JH4" s="2" t="s">
        <v>293</v>
      </c>
      <c r="JI4" s="2" t="s">
        <v>294</v>
      </c>
      <c r="JJ4" s="2" t="s">
        <v>345</v>
      </c>
      <c r="JK4" s="2" t="s">
        <v>296</v>
      </c>
      <c r="JL4" s="2" t="s">
        <v>346</v>
      </c>
      <c r="JM4" s="2" t="s">
        <v>256</v>
      </c>
      <c r="JN4" s="2" t="s">
        <v>298</v>
      </c>
      <c r="JO4" s="2" t="s">
        <v>299</v>
      </c>
      <c r="JP4" s="2" t="s">
        <v>168</v>
      </c>
      <c r="JQ4" s="2" t="s">
        <v>300</v>
      </c>
      <c r="JR4" s="2" t="s">
        <v>301</v>
      </c>
      <c r="JS4" s="2" t="s">
        <v>257</v>
      </c>
      <c r="JT4" s="2" t="s">
        <v>302</v>
      </c>
      <c r="JU4" s="2" t="s">
        <v>303</v>
      </c>
      <c r="JV4" s="2" t="s">
        <v>304</v>
      </c>
      <c r="JW4" s="2" t="s">
        <v>305</v>
      </c>
      <c r="JX4" s="2" t="s">
        <v>306</v>
      </c>
      <c r="JY4" s="2" t="s">
        <v>307</v>
      </c>
      <c r="JZ4" s="2" t="s">
        <v>258</v>
      </c>
      <c r="KA4" s="2" t="s">
        <v>308</v>
      </c>
      <c r="KB4" s="2" t="s">
        <v>309</v>
      </c>
      <c r="KC4" s="2" t="s">
        <v>310</v>
      </c>
      <c r="KD4" s="2" t="s">
        <v>311</v>
      </c>
      <c r="KE4" s="2" t="s">
        <v>312</v>
      </c>
      <c r="KF4" s="2" t="s">
        <v>227</v>
      </c>
      <c r="KG4" s="2" t="s">
        <v>313</v>
      </c>
      <c r="KH4" s="2" t="s">
        <v>314</v>
      </c>
      <c r="KI4" s="2" t="s">
        <v>315</v>
      </c>
      <c r="KJ4" s="2" t="s">
        <v>316</v>
      </c>
      <c r="KK4" s="2" t="s">
        <v>259</v>
      </c>
      <c r="KL4" s="2" t="s">
        <v>317</v>
      </c>
      <c r="KM4" s="2" t="s">
        <v>318</v>
      </c>
      <c r="KN4" s="2" t="s">
        <v>319</v>
      </c>
      <c r="KO4" s="2" t="s">
        <v>320</v>
      </c>
      <c r="KP4" s="2" t="s">
        <v>260</v>
      </c>
      <c r="KQ4" s="12" t="s">
        <v>321</v>
      </c>
      <c r="KR4" s="12" t="s">
        <v>322</v>
      </c>
      <c r="KS4" s="12" t="s">
        <v>323</v>
      </c>
      <c r="KT4" s="12" t="s">
        <v>324</v>
      </c>
      <c r="KU4" s="12" t="s">
        <v>325</v>
      </c>
      <c r="KV4" s="4" t="s">
        <v>261</v>
      </c>
      <c r="KW4" s="12" t="s">
        <v>326</v>
      </c>
      <c r="KX4" s="12" t="s">
        <v>347</v>
      </c>
      <c r="KY4" s="12" t="s">
        <v>328</v>
      </c>
      <c r="KZ4" s="12" t="s">
        <v>329</v>
      </c>
      <c r="LA4" s="12" t="s">
        <v>330</v>
      </c>
      <c r="LB4" s="12" t="s">
        <v>331</v>
      </c>
      <c r="LC4" s="12" t="s">
        <v>332</v>
      </c>
      <c r="LD4" s="12" t="s">
        <v>333</v>
      </c>
      <c r="LE4" s="12" t="s">
        <v>334</v>
      </c>
      <c r="LF4" s="12" t="s">
        <v>335</v>
      </c>
      <c r="LG4" s="2" t="s">
        <v>262</v>
      </c>
      <c r="LH4" s="12" t="s">
        <v>336</v>
      </c>
      <c r="LI4" s="12" t="s">
        <v>337</v>
      </c>
      <c r="LJ4" s="4" t="s">
        <v>263</v>
      </c>
      <c r="LK4" s="4" t="s">
        <v>338</v>
      </c>
      <c r="LL4" s="4" t="s">
        <v>339</v>
      </c>
      <c r="LM4" s="4" t="s">
        <v>340</v>
      </c>
      <c r="LN4" s="4" t="s">
        <v>341</v>
      </c>
      <c r="LO4" s="2" t="s">
        <v>348</v>
      </c>
      <c r="LP4" s="2" t="s">
        <v>349</v>
      </c>
      <c r="LQ4" s="2" t="s">
        <v>351</v>
      </c>
      <c r="LR4" s="2" t="s">
        <v>352</v>
      </c>
      <c r="LS4" s="2" t="s">
        <v>353</v>
      </c>
      <c r="LT4" s="2" t="s">
        <v>354</v>
      </c>
      <c r="LU4" s="2" t="s">
        <v>350</v>
      </c>
      <c r="LV4" s="2" t="s">
        <v>355</v>
      </c>
      <c r="LW4" s="2" t="s">
        <v>356</v>
      </c>
      <c r="LX4" s="2" t="s">
        <v>357</v>
      </c>
      <c r="LY4" s="2" t="s">
        <v>358</v>
      </c>
      <c r="LZ4" s="2" t="s">
        <v>359</v>
      </c>
      <c r="MA4" s="2" t="s">
        <v>360</v>
      </c>
      <c r="MB4" s="2" t="s">
        <v>361</v>
      </c>
      <c r="MC4" s="2" t="s">
        <v>362</v>
      </c>
    </row>
    <row r="5" spans="1:341">
      <c r="A5" s="1">
        <v>1368</v>
      </c>
      <c r="BI5" s="4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HW5" s="4"/>
      <c r="HX5" s="2"/>
      <c r="HY5" s="2"/>
      <c r="HZ5" s="2"/>
      <c r="IA5" s="2"/>
      <c r="IB5" s="2"/>
      <c r="IC5" s="2"/>
      <c r="ID5" s="2"/>
      <c r="IE5" s="15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15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15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</row>
    <row r="6" spans="1:341">
      <c r="A6" s="1">
        <v>1369</v>
      </c>
      <c r="BI6" s="4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HW6" s="4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16"/>
      <c r="IY6" s="2"/>
      <c r="IZ6" s="15"/>
      <c r="JA6" s="2"/>
      <c r="JB6" s="2"/>
      <c r="JC6" s="2"/>
      <c r="JD6" s="2"/>
      <c r="JE6" s="2"/>
      <c r="JF6" s="2"/>
      <c r="JG6" s="2"/>
      <c r="JH6" s="2"/>
      <c r="JI6" s="2"/>
      <c r="JJ6" s="15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</row>
    <row r="7" spans="1:341">
      <c r="A7" s="1">
        <v>1370</v>
      </c>
      <c r="BI7" s="4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HW7" s="4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</row>
    <row r="8" spans="1:341">
      <c r="A8" s="1">
        <v>1371</v>
      </c>
      <c r="BI8" s="4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HW8" s="4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</row>
    <row r="9" spans="1:341">
      <c r="A9" s="1">
        <v>1372</v>
      </c>
      <c r="BI9" s="4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HW9" s="4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</row>
    <row r="10" spans="1:341">
      <c r="A10" s="1">
        <v>1373</v>
      </c>
      <c r="BI10" s="4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HW10" s="4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</row>
    <row r="11" spans="1:341">
      <c r="A11" s="1">
        <v>1374</v>
      </c>
      <c r="BI11" s="4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HW11" s="4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</row>
    <row r="12" spans="1:341">
      <c r="A12" s="1">
        <v>1375</v>
      </c>
      <c r="BI12" s="4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HW12" s="4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</row>
    <row r="13" spans="1:341">
      <c r="A13" s="1">
        <v>1376</v>
      </c>
      <c r="AP13" s="1">
        <v>390364</v>
      </c>
      <c r="BI13" s="4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HW13" s="4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</row>
    <row r="14" spans="1:341">
      <c r="A14" s="1">
        <v>1377</v>
      </c>
      <c r="BI14" s="4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HW14" s="4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15"/>
      <c r="LI14" s="2"/>
      <c r="LJ14" s="2"/>
      <c r="LK14" s="2"/>
      <c r="LL14" s="2"/>
      <c r="LM14" s="2"/>
      <c r="LN14" s="2"/>
    </row>
    <row r="15" spans="1:341">
      <c r="A15" s="1">
        <v>1378</v>
      </c>
      <c r="BI15" s="4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HW15" s="4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</row>
    <row r="16" spans="1:341">
      <c r="A16" s="1">
        <v>1379</v>
      </c>
      <c r="BI16" s="4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HW16" s="4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</row>
    <row r="17" spans="1:333">
      <c r="A17" s="1">
        <v>1380</v>
      </c>
      <c r="BI17" s="4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HW17" s="4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15"/>
      <c r="IJ17" s="2"/>
      <c r="IK17" s="15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15"/>
      <c r="LM17" s="2"/>
      <c r="LN17" s="2"/>
    </row>
    <row r="18" spans="1:333">
      <c r="A18" s="1">
        <v>1381</v>
      </c>
      <c r="BI18" s="4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HW18" s="4"/>
      <c r="HX18" s="2">
        <v>804848</v>
      </c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</row>
    <row r="19" spans="1:333">
      <c r="A19" s="1">
        <v>1382</v>
      </c>
      <c r="BI19" s="4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15"/>
      <c r="LI19" s="2"/>
      <c r="LJ19" s="2"/>
      <c r="LK19" s="2"/>
      <c r="LL19" s="2"/>
      <c r="LM19" s="2"/>
      <c r="LN19" s="2"/>
    </row>
    <row r="20" spans="1:333">
      <c r="A20" s="1">
        <v>1383</v>
      </c>
      <c r="BI20" s="4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HW20" s="4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</row>
    <row r="21" spans="1:333">
      <c r="A21" s="1">
        <v>1384</v>
      </c>
      <c r="BI21" s="4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HW21" s="4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</row>
    <row r="22" spans="1:333">
      <c r="A22" s="1">
        <v>1385</v>
      </c>
      <c r="BI22" s="4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HW22" s="4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</row>
    <row r="23" spans="1:333">
      <c r="A23" s="1">
        <v>1386</v>
      </c>
      <c r="BI23" s="4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HW23" s="4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</row>
    <row r="24" spans="1:333">
      <c r="A24" s="1">
        <v>1387</v>
      </c>
      <c r="BI24" s="4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HW24" s="4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15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</row>
    <row r="25" spans="1:333">
      <c r="A25" s="1">
        <v>1388</v>
      </c>
      <c r="BI25" s="4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HW25" s="4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</row>
    <row r="26" spans="1:333">
      <c r="A26" s="1">
        <v>1389</v>
      </c>
      <c r="BI26" s="4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HW26" s="4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15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</row>
    <row r="27" spans="1:333">
      <c r="A27" s="1">
        <v>1390</v>
      </c>
      <c r="BI27" s="4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HW27" s="4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</row>
    <row r="28" spans="1:333">
      <c r="A28" s="1">
        <v>1391</v>
      </c>
      <c r="B28" s="1">
        <f t="shared" ref="B28:B91" si="0">C28+K28+U28+AD28+AH28+AG28+AT28+BC28+R28</f>
        <v>7364007.9000000004</v>
      </c>
      <c r="C28" s="1">
        <f>229.4*D1</f>
        <v>2106580.2000000002</v>
      </c>
      <c r="K28" s="1">
        <f>27.9*L$1</f>
        <v>809741.7</v>
      </c>
      <c r="U28" s="1">
        <f>41.1*V$1</f>
        <v>845016</v>
      </c>
      <c r="AH28" s="1">
        <f>278.8*AI$1</f>
        <v>2304839.6</v>
      </c>
      <c r="AT28" s="1">
        <f>120*AU$1</f>
        <v>775680</v>
      </c>
      <c r="BC28" s="1">
        <f>144.4*BD$1</f>
        <v>522150.40000000002</v>
      </c>
      <c r="BI28" s="4">
        <f>BJ28+BQ28+BW28+BZ28+CH28+CL28+CT28+CX28+DE28+DL28+DS28+EB28+EE28+EG28</f>
        <v>4449199.8</v>
      </c>
      <c r="BJ28" s="1">
        <f>30.1*BK$1</f>
        <v>447286</v>
      </c>
      <c r="BK28" s="2"/>
      <c r="BL28" s="2"/>
      <c r="BM28" s="2"/>
      <c r="BN28" s="2"/>
      <c r="BO28" s="2"/>
      <c r="BP28" s="2"/>
      <c r="BQ28" s="1">
        <f>17.8*BR$1</f>
        <v>432006</v>
      </c>
      <c r="BR28" s="2"/>
      <c r="BS28" s="2"/>
      <c r="BT28" s="2"/>
      <c r="BU28" s="2"/>
      <c r="BV28" s="2"/>
      <c r="BW28" s="2"/>
      <c r="BX28" s="2"/>
      <c r="BY28" s="2"/>
      <c r="BZ28" s="1">
        <f>10.8*CA$1</f>
        <v>617220</v>
      </c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1">
        <f>92.2*CU$1</f>
        <v>290153.40000000002</v>
      </c>
      <c r="CU28" s="2"/>
      <c r="CV28" s="2"/>
      <c r="CW28" s="2"/>
      <c r="CX28" s="1">
        <f>92.2*CY$1</f>
        <v>924766</v>
      </c>
      <c r="CY28" s="2"/>
      <c r="CZ28" s="2"/>
      <c r="DA28" s="2"/>
      <c r="DB28" s="2"/>
      <c r="DC28" s="2"/>
      <c r="DD28" s="2"/>
      <c r="DE28" s="1">
        <f>46.6*DF$1</f>
        <v>517726</v>
      </c>
      <c r="DF28" s="2"/>
      <c r="DG28" s="2"/>
      <c r="DH28" s="2"/>
      <c r="DI28" s="2"/>
      <c r="DJ28" s="2"/>
      <c r="DK28" s="2"/>
      <c r="DL28" s="1">
        <f>53*DM$1</f>
        <v>609500</v>
      </c>
      <c r="DM28" s="2"/>
      <c r="DN28" s="2"/>
      <c r="DO28" s="2"/>
      <c r="DP28" s="2"/>
      <c r="DQ28" s="2"/>
      <c r="DR28" s="2"/>
      <c r="DS28" s="1">
        <f>22.4*DT$1</f>
        <v>230495.99999999997</v>
      </c>
      <c r="DT28" s="2"/>
      <c r="DU28" s="2"/>
      <c r="DV28" s="2"/>
      <c r="DW28" s="2"/>
      <c r="DX28" s="2"/>
      <c r="DY28" s="2"/>
      <c r="DZ28" s="2"/>
      <c r="EA28" s="2"/>
      <c r="EB28" s="2">
        <v>27000</v>
      </c>
      <c r="EC28" s="2"/>
      <c r="ED28" s="2"/>
      <c r="EE28" s="2">
        <v>77000</v>
      </c>
      <c r="EF28" s="2"/>
      <c r="EG28" s="1">
        <f>78.4*EH$1</f>
        <v>276046.40000000002</v>
      </c>
      <c r="EH28" s="2"/>
      <c r="EI28" s="1">
        <f>EJ28+ET28+FA28+FI28+FQ28+FZ28+GH28+GO28+GX28+HD28+HO28+HV28</f>
        <v>11137438.300000001</v>
      </c>
      <c r="EJ28" s="1">
        <f>143.8*EK$1</f>
        <v>1117901.2000000002</v>
      </c>
      <c r="ET28" s="1">
        <f>42.8*EU$1</f>
        <v>354854.8</v>
      </c>
      <c r="FA28" s="1">
        <f>506.1*FB$1</f>
        <v>1657983.6</v>
      </c>
      <c r="FI28" s="1">
        <f>193.4*FJ$1</f>
        <v>1202754.6000000001</v>
      </c>
      <c r="FQ28" s="1">
        <f>145.5*FR$1</f>
        <v>1367991</v>
      </c>
      <c r="FZ28" s="1">
        <f>159.3*GA$1</f>
        <v>1009484.1000000001</v>
      </c>
      <c r="GA28" s="1">
        <v>305992</v>
      </c>
      <c r="GB28" s="1">
        <v>142771</v>
      </c>
      <c r="GC28" s="1">
        <v>128763</v>
      </c>
      <c r="GD28" s="1">
        <v>98805</v>
      </c>
      <c r="GE28" s="1">
        <v>44470</v>
      </c>
      <c r="GH28" s="1">
        <f>92*GI$1</f>
        <v>1036840</v>
      </c>
      <c r="GO28" s="1">
        <f>132*GP$1</f>
        <v>1296768</v>
      </c>
      <c r="GQ28" s="1">
        <v>232999</v>
      </c>
      <c r="GS28" s="1">
        <v>143932</v>
      </c>
      <c r="GU28" s="1">
        <v>18478</v>
      </c>
      <c r="GV28" s="1">
        <v>99675</v>
      </c>
      <c r="GX28" s="1">
        <f>57.9*GY$1</f>
        <v>537254.1</v>
      </c>
      <c r="HD28" s="1">
        <f>33.8*HE$1</f>
        <v>613132</v>
      </c>
      <c r="HJ28" s="1">
        <v>126433</v>
      </c>
      <c r="HO28" s="1">
        <f>84.9*HP$1</f>
        <v>942474.9</v>
      </c>
      <c r="HW28" s="4">
        <f>HX28+IH28+IL28+IR28+IW28+JE28+JM28+JS28+JZ28+KK28+KP28+KV28+LG28+LJ28</f>
        <v>8122093.9000000004</v>
      </c>
      <c r="HX28" s="1">
        <f>51.2*HY$1</f>
        <v>1131520</v>
      </c>
      <c r="HY28" s="2">
        <f>HX28*0.304</f>
        <v>343982.08000000002</v>
      </c>
      <c r="HZ28" s="2">
        <f>HX28*0.121</f>
        <v>136913.91999999998</v>
      </c>
      <c r="IA28" s="2">
        <f>HX28*0.224</f>
        <v>253460.48000000001</v>
      </c>
      <c r="IB28" s="2">
        <f>HX28*0.128</f>
        <v>144834.56</v>
      </c>
      <c r="IC28" s="2">
        <f>HX28*0.106</f>
        <v>119941.12</v>
      </c>
      <c r="ID28" s="2">
        <f>HX28*0.015</f>
        <v>16972.8</v>
      </c>
      <c r="IE28" s="2">
        <f>ID28*2</f>
        <v>33945.599999999999</v>
      </c>
      <c r="IF28" s="2">
        <f>HX28*0.072</f>
        <v>81469.439999999988</v>
      </c>
      <c r="IG28" s="2"/>
      <c r="IH28" s="1">
        <f>78.3*II$1</f>
        <v>429240.6</v>
      </c>
      <c r="II28" s="2"/>
      <c r="IJ28" s="2"/>
      <c r="IK28" s="2"/>
      <c r="IL28" s="1">
        <f>13.4*IM$1</f>
        <v>85090</v>
      </c>
      <c r="IM28" s="2"/>
      <c r="IN28" s="2"/>
      <c r="IO28" s="2"/>
      <c r="IP28" s="2"/>
      <c r="IQ28" s="2"/>
      <c r="IR28" s="1">
        <f>37.9*IS$1</f>
        <v>196208.3</v>
      </c>
      <c r="IS28" s="2"/>
      <c r="IT28" s="2"/>
      <c r="IU28" s="2"/>
      <c r="IV28" s="2"/>
      <c r="IW28" s="1">
        <f>59.6*IX$1</f>
        <v>920820</v>
      </c>
      <c r="IX28" s="2"/>
      <c r="IY28" s="2"/>
      <c r="IZ28" s="2"/>
      <c r="JA28" s="2"/>
      <c r="JB28" s="2"/>
      <c r="JC28" s="2"/>
      <c r="JD28" s="2"/>
      <c r="JE28" s="1">
        <f>35*JF$1</f>
        <v>492450</v>
      </c>
      <c r="JF28" s="2"/>
      <c r="JG28" s="2"/>
      <c r="JH28" s="2"/>
      <c r="JI28" s="2"/>
      <c r="JJ28" s="2"/>
      <c r="JK28" s="2"/>
      <c r="JL28" s="2"/>
      <c r="JM28" s="1">
        <f>61.7*JN$1</f>
        <v>516182.2</v>
      </c>
      <c r="JN28" s="2"/>
      <c r="JO28" s="2"/>
      <c r="JP28" s="2"/>
      <c r="JQ28" s="2"/>
      <c r="JR28" s="2"/>
      <c r="JS28" s="1">
        <f>116*JT$1</f>
        <v>1205240</v>
      </c>
      <c r="JT28" s="2"/>
      <c r="JU28" s="2"/>
      <c r="JV28" s="2"/>
      <c r="JW28" s="2"/>
      <c r="JX28" s="2"/>
      <c r="JY28" s="2"/>
      <c r="JZ28" s="1">
        <f>70.9*KA$1</f>
        <v>1727124.0000000002</v>
      </c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1">
        <f>98.6*KL$1</f>
        <v>553146</v>
      </c>
      <c r="KL28" s="2"/>
      <c r="KM28" s="2"/>
      <c r="KN28" s="2"/>
      <c r="KO28" s="2"/>
      <c r="KP28" s="1">
        <f>45.6*KQ$1</f>
        <v>400413.60000000003</v>
      </c>
      <c r="KQ28" s="2"/>
      <c r="KR28" s="2"/>
      <c r="KS28" s="2"/>
      <c r="KT28" s="2"/>
      <c r="KU28" s="2"/>
      <c r="KV28" s="1">
        <f>12*KW$1</f>
        <v>386640</v>
      </c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1">
        <f>11.2*LK$1</f>
        <v>78019.199999999997</v>
      </c>
      <c r="LK28" s="2"/>
      <c r="LL28" s="2"/>
      <c r="LM28" s="2"/>
      <c r="LN28" s="2"/>
      <c r="LO28" s="1">
        <f>LU28+LP28+LR28</f>
        <v>1680939</v>
      </c>
      <c r="LR28" s="1">
        <v>443813</v>
      </c>
      <c r="LU28" s="1">
        <f>291.5*LV$1</f>
        <v>1237126</v>
      </c>
    </row>
    <row r="29" spans="1:333">
      <c r="A29" s="1">
        <v>1392</v>
      </c>
      <c r="B29" s="1">
        <f t="shared" si="0"/>
        <v>7390865.76033</v>
      </c>
      <c r="C29" s="1">
        <f>C28*1.0034</f>
        <v>2113742.5726800002</v>
      </c>
      <c r="K29" s="1">
        <f>K28*1.0045</f>
        <v>813385.53764999995</v>
      </c>
      <c r="U29" s="1">
        <f>U28*1.0045</f>
        <v>848818.57199999993</v>
      </c>
      <c r="AH29" s="1">
        <f>AH28*1.0034</f>
        <v>2312676.0546400002</v>
      </c>
      <c r="AT29" s="1">
        <f>AT28*1.0034</f>
        <v>778317.31200000003</v>
      </c>
      <c r="BC29" s="1">
        <f>BC28*1.0034</f>
        <v>523925.71136000007</v>
      </c>
      <c r="BI29" s="4">
        <f t="shared" ref="BI29:BI92" si="1">BJ29+BQ29+BW29+BZ29+CH29+CL29+CT29+CX29+DE29+DL29+DS29+EB29+EE29+EG29</f>
        <v>4467307.8385199998</v>
      </c>
      <c r="BJ29" s="1">
        <f>BJ28*1.0037</f>
        <v>448940.95819999999</v>
      </c>
      <c r="BQ29" s="1">
        <f>BQ28*1.0027</f>
        <v>433172.41619999998</v>
      </c>
      <c r="BZ29" s="1">
        <f>BZ28*1.007</f>
        <v>621540.53999999992</v>
      </c>
      <c r="CT29" s="1">
        <f>CT28*1.0034</f>
        <v>291139.92156000005</v>
      </c>
      <c r="CX29" s="1">
        <f>CX28*1.0034</f>
        <v>927910.20440000005</v>
      </c>
      <c r="DE29" s="1">
        <f>DE28*1.0034</f>
        <v>519486.26840000006</v>
      </c>
      <c r="DL29" s="1">
        <f>DL28*1.0034</f>
        <v>611572.30000000005</v>
      </c>
      <c r="DS29" s="1">
        <f>DS28*1.007</f>
        <v>232109.47199999995</v>
      </c>
      <c r="EB29" s="1">
        <f>EB28*1.007</f>
        <v>27188.999999999996</v>
      </c>
      <c r="EE29" s="1">
        <f>EE28*1.0034</f>
        <v>77261.8</v>
      </c>
      <c r="EG29" s="1">
        <f>EG28*1.0034</f>
        <v>276984.95776000002</v>
      </c>
      <c r="HW29" s="4"/>
      <c r="LO29" s="1">
        <f>LO28*1.0034</f>
        <v>1686654.1926000002</v>
      </c>
      <c r="LU29" s="1">
        <f>LU28*1.0034</f>
        <v>1241332.2284000001</v>
      </c>
    </row>
    <row r="30" spans="1:333">
      <c r="A30" s="1">
        <v>1393</v>
      </c>
      <c r="B30" s="1">
        <f t="shared" si="0"/>
        <v>7417823.1284357365</v>
      </c>
      <c r="C30" s="1">
        <f t="shared" ref="C30:C93" si="2">C29*1.0034</f>
        <v>2120929.2974271122</v>
      </c>
      <c r="K30" s="1">
        <f t="shared" ref="K30:K93" si="3">K29*1.0045</f>
        <v>817045.77256942494</v>
      </c>
      <c r="U30" s="1">
        <f t="shared" ref="U30:U93" si="4">U29*1.0045</f>
        <v>852638.25557399984</v>
      </c>
      <c r="AH30" s="1">
        <f t="shared" ref="AH30:AH93" si="5">AH29*1.0034</f>
        <v>2320539.1532257763</v>
      </c>
      <c r="AT30" s="1">
        <f t="shared" ref="AT30:AT93" si="6">AT29*1.0034</f>
        <v>780963.59086080012</v>
      </c>
      <c r="BC30" s="1">
        <f t="shared" ref="BC30:BC93" si="7">BC29*1.0034</f>
        <v>525707.05877862417</v>
      </c>
      <c r="BI30" s="4">
        <f t="shared" si="1"/>
        <v>4485678.743593568</v>
      </c>
      <c r="BJ30" s="2">
        <f>BJ29*1.0041</f>
        <v>450781.61612861999</v>
      </c>
      <c r="BK30" s="2"/>
      <c r="BL30" s="2"/>
      <c r="BM30" s="2"/>
      <c r="BN30" s="2"/>
      <c r="BO30" s="2"/>
      <c r="BP30" s="2"/>
      <c r="BQ30" s="1">
        <f t="shared" ref="BQ30:BQ93" si="8">BQ29*1.0027</f>
        <v>434341.98172373994</v>
      </c>
      <c r="BR30" s="2"/>
      <c r="BS30" s="2"/>
      <c r="BT30" s="2"/>
      <c r="BU30" s="2"/>
      <c r="BV30" s="2"/>
      <c r="BW30" s="2"/>
      <c r="BX30" s="2"/>
      <c r="BY30" s="2"/>
      <c r="BZ30" s="1">
        <f t="shared" ref="BZ30:BZ93" si="9">BZ29*1.007</f>
        <v>625891.32377999986</v>
      </c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1">
        <f t="shared" ref="CT30:CT93" si="10">CT29*1.0034</f>
        <v>292129.79729330406</v>
      </c>
      <c r="CU30" s="2"/>
      <c r="CV30" s="2"/>
      <c r="CW30" s="2"/>
      <c r="CX30" s="1">
        <f t="shared" ref="CX30:CX93" si="11">CX29*1.0034</f>
        <v>931065.09909496014</v>
      </c>
      <c r="CY30" s="2"/>
      <c r="CZ30" s="2"/>
      <c r="DA30" s="2"/>
      <c r="DB30" s="2"/>
      <c r="DC30" s="2"/>
      <c r="DD30" s="2"/>
      <c r="DE30" s="1">
        <f t="shared" ref="DE30:DE93" si="12">DE29*1.0034</f>
        <v>521252.52171256009</v>
      </c>
      <c r="DF30" s="2"/>
      <c r="DG30" s="2"/>
      <c r="DH30" s="2"/>
      <c r="DI30" s="2"/>
      <c r="DJ30" s="2"/>
      <c r="DK30" s="2"/>
      <c r="DL30" s="1">
        <f t="shared" ref="DL30:DL93" si="13">DL29*1.0034</f>
        <v>613651.64582000009</v>
      </c>
      <c r="DM30" s="2"/>
      <c r="DN30" s="2"/>
      <c r="DO30" s="2"/>
      <c r="DP30" s="2"/>
      <c r="DQ30" s="2"/>
      <c r="DR30" s="2"/>
      <c r="DS30" s="1">
        <f t="shared" ref="DS30:DS93" si="14">DS29*1.007</f>
        <v>233734.23830399994</v>
      </c>
      <c r="DT30" s="2"/>
      <c r="DU30" s="2"/>
      <c r="DV30" s="2"/>
      <c r="DW30" s="2"/>
      <c r="DX30" s="2"/>
      <c r="DY30" s="2"/>
      <c r="DZ30" s="2"/>
      <c r="EA30" s="2"/>
      <c r="EB30" s="1">
        <f t="shared" ref="EB30:EB93" si="15">EB29*1.007</f>
        <v>27379.322999999993</v>
      </c>
      <c r="EC30" s="2"/>
      <c r="ED30" s="2"/>
      <c r="EE30" s="1">
        <f t="shared" ref="EE30:EG93" si="16">EE29*1.0034</f>
        <v>77524.490120000002</v>
      </c>
      <c r="EF30" s="2"/>
      <c r="EG30" s="1">
        <f t="shared" si="16"/>
        <v>277926.70661638404</v>
      </c>
      <c r="EH30" s="2"/>
      <c r="HW30" s="4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1">
        <f t="shared" ref="LO30:LO93" si="17">LO29*1.0034</f>
        <v>1692388.8168548404</v>
      </c>
      <c r="LU30" s="1">
        <f t="shared" ref="LU30:LU93" si="18">LU29*1.0034</f>
        <v>1245552.7579765602</v>
      </c>
    </row>
    <row r="31" spans="1:333">
      <c r="A31" s="1">
        <v>1394</v>
      </c>
      <c r="B31" s="1">
        <f t="shared" si="0"/>
        <v>7444880.3795033768</v>
      </c>
      <c r="C31" s="1">
        <f t="shared" si="2"/>
        <v>2128140.4570383644</v>
      </c>
      <c r="K31" s="1">
        <f t="shared" si="3"/>
        <v>820722.47854598728</v>
      </c>
      <c r="U31" s="1">
        <f t="shared" si="4"/>
        <v>856475.12772408279</v>
      </c>
      <c r="AH31" s="1">
        <f t="shared" si="5"/>
        <v>2328428.986346744</v>
      </c>
      <c r="AT31" s="1">
        <f t="shared" si="6"/>
        <v>783618.86706972693</v>
      </c>
      <c r="BC31" s="1">
        <f t="shared" si="7"/>
        <v>527494.46277847153</v>
      </c>
      <c r="BI31" s="4">
        <f t="shared" si="1"/>
        <v>4504134.7766521722</v>
      </c>
      <c r="BJ31" s="2">
        <f t="shared" ref="BJ31:BJ94" si="19">BJ30*1.0041</f>
        <v>452629.82075474731</v>
      </c>
      <c r="BK31" s="2"/>
      <c r="BL31" s="2"/>
      <c r="BM31" s="2"/>
      <c r="BN31" s="2"/>
      <c r="BO31" s="2"/>
      <c r="BP31" s="2"/>
      <c r="BQ31" s="1">
        <f t="shared" si="8"/>
        <v>435514.70507439401</v>
      </c>
      <c r="BR31" s="2"/>
      <c r="BS31" s="2"/>
      <c r="BT31" s="2"/>
      <c r="BU31" s="2"/>
      <c r="BV31" s="2"/>
      <c r="BW31" s="2"/>
      <c r="BX31" s="2"/>
      <c r="BY31" s="2"/>
      <c r="BZ31" s="1">
        <f t="shared" si="9"/>
        <v>630272.56304645981</v>
      </c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1">
        <f t="shared" si="10"/>
        <v>293123.03860410134</v>
      </c>
      <c r="CU31" s="2"/>
      <c r="CV31" s="2"/>
      <c r="CW31" s="2"/>
      <c r="CX31" s="1">
        <f t="shared" si="11"/>
        <v>934230.72043188312</v>
      </c>
      <c r="CY31" s="2"/>
      <c r="CZ31" s="2"/>
      <c r="DA31" s="2"/>
      <c r="DB31" s="2"/>
      <c r="DC31" s="2"/>
      <c r="DD31" s="2"/>
      <c r="DE31" s="1">
        <f t="shared" si="12"/>
        <v>523024.78028638283</v>
      </c>
      <c r="DF31" s="2"/>
      <c r="DG31" s="2"/>
      <c r="DH31" s="2"/>
      <c r="DI31" s="2"/>
      <c r="DJ31" s="2"/>
      <c r="DK31" s="2"/>
      <c r="DL31" s="1">
        <f t="shared" si="13"/>
        <v>615738.06141578814</v>
      </c>
      <c r="DM31" s="2"/>
      <c r="DN31" s="2"/>
      <c r="DO31" s="2"/>
      <c r="DP31" s="2"/>
      <c r="DQ31" s="2"/>
      <c r="DR31" s="2"/>
      <c r="DS31" s="1">
        <f t="shared" si="14"/>
        <v>235370.37797212793</v>
      </c>
      <c r="DT31" s="2"/>
      <c r="DU31" s="2"/>
      <c r="DV31" s="2"/>
      <c r="DW31" s="2"/>
      <c r="DX31" s="2"/>
      <c r="DY31" s="2"/>
      <c r="DZ31" s="2"/>
      <c r="EA31" s="2"/>
      <c r="EB31" s="1">
        <f t="shared" si="15"/>
        <v>27570.978260999989</v>
      </c>
      <c r="EC31" s="2"/>
      <c r="ED31" s="2"/>
      <c r="EE31" s="1">
        <f t="shared" si="16"/>
        <v>77788.07338640801</v>
      </c>
      <c r="EF31" s="2"/>
      <c r="EG31" s="1">
        <f t="shared" si="16"/>
        <v>278871.65741887974</v>
      </c>
      <c r="EH31" s="2"/>
      <c r="HW31" s="4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1">
        <f t="shared" si="17"/>
        <v>1698142.938832147</v>
      </c>
      <c r="LU31" s="1">
        <f t="shared" si="18"/>
        <v>1249787.6373536806</v>
      </c>
    </row>
    <row r="32" spans="1:333">
      <c r="A32" s="1">
        <v>1395</v>
      </c>
      <c r="B32" s="1">
        <f t="shared" si="0"/>
        <v>7472037.8901605858</v>
      </c>
      <c r="C32" s="1">
        <f t="shared" si="2"/>
        <v>2135376.1345922952</v>
      </c>
      <c r="K32" s="1">
        <f t="shared" si="3"/>
        <v>824415.72969944414</v>
      </c>
      <c r="U32" s="1">
        <f t="shared" si="4"/>
        <v>860329.26579884114</v>
      </c>
      <c r="AH32" s="1">
        <f t="shared" si="5"/>
        <v>2336345.6449003229</v>
      </c>
      <c r="AT32" s="1">
        <f t="shared" si="6"/>
        <v>786283.17121776403</v>
      </c>
      <c r="BC32" s="1">
        <f t="shared" si="7"/>
        <v>529287.94395191839</v>
      </c>
      <c r="BI32" s="4">
        <f t="shared" si="1"/>
        <v>4522676.3855831726</v>
      </c>
      <c r="BJ32" s="2">
        <f t="shared" si="19"/>
        <v>454485.60301984177</v>
      </c>
      <c r="BK32" s="2"/>
      <c r="BL32" s="2"/>
      <c r="BM32" s="2"/>
      <c r="BN32" s="2"/>
      <c r="BO32" s="2"/>
      <c r="BP32" s="2"/>
      <c r="BQ32" s="1">
        <f t="shared" si="8"/>
        <v>436690.59477809485</v>
      </c>
      <c r="BR32" s="2"/>
      <c r="BS32" s="2"/>
      <c r="BT32" s="2"/>
      <c r="BU32" s="2"/>
      <c r="BV32" s="2"/>
      <c r="BW32" s="2"/>
      <c r="BX32" s="2"/>
      <c r="BY32" s="2"/>
      <c r="BZ32" s="1">
        <f t="shared" si="9"/>
        <v>634684.47098778491</v>
      </c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1">
        <f t="shared" si="10"/>
        <v>294119.65693535528</v>
      </c>
      <c r="CU32" s="2"/>
      <c r="CV32" s="2"/>
      <c r="CW32" s="2"/>
      <c r="CX32" s="1">
        <f t="shared" si="11"/>
        <v>937407.10488135158</v>
      </c>
      <c r="CY32" s="2"/>
      <c r="CZ32" s="2"/>
      <c r="DA32" s="2"/>
      <c r="DB32" s="2"/>
      <c r="DC32" s="2"/>
      <c r="DD32" s="2"/>
      <c r="DE32" s="1">
        <f t="shared" si="12"/>
        <v>524803.06453935651</v>
      </c>
      <c r="DF32" s="2"/>
      <c r="DG32" s="2"/>
      <c r="DH32" s="2"/>
      <c r="DI32" s="2"/>
      <c r="DJ32" s="2"/>
      <c r="DK32" s="2"/>
      <c r="DL32" s="1">
        <f t="shared" si="13"/>
        <v>617831.5708246018</v>
      </c>
      <c r="DM32" s="2"/>
      <c r="DN32" s="2"/>
      <c r="DO32" s="2"/>
      <c r="DP32" s="2"/>
      <c r="DQ32" s="2"/>
      <c r="DR32" s="2"/>
      <c r="DS32" s="1">
        <f t="shared" si="14"/>
        <v>237017.97061793279</v>
      </c>
      <c r="DT32" s="2"/>
      <c r="DU32" s="2"/>
      <c r="DV32" s="2"/>
      <c r="DW32" s="2"/>
      <c r="DX32" s="2"/>
      <c r="DY32" s="2"/>
      <c r="DZ32" s="2"/>
      <c r="EA32" s="2"/>
      <c r="EB32" s="1">
        <f t="shared" si="15"/>
        <v>27763.975108826988</v>
      </c>
      <c r="EC32" s="2"/>
      <c r="ED32" s="2"/>
      <c r="EE32" s="1">
        <f t="shared" si="16"/>
        <v>78052.552835921801</v>
      </c>
      <c r="EF32" s="2"/>
      <c r="EG32" s="1">
        <f t="shared" si="16"/>
        <v>279819.82105410396</v>
      </c>
      <c r="EH32" s="2"/>
      <c r="HW32" s="4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1">
        <f t="shared" si="17"/>
        <v>1703916.6248241765</v>
      </c>
      <c r="LU32" s="1">
        <f t="shared" si="18"/>
        <v>1254036.9153206833</v>
      </c>
    </row>
    <row r="33" spans="1:333">
      <c r="A33" s="1">
        <v>1396</v>
      </c>
      <c r="B33" s="1">
        <f t="shared" si="0"/>
        <v>7499296.0384821808</v>
      </c>
      <c r="C33" s="1">
        <f t="shared" si="2"/>
        <v>2142636.4134499091</v>
      </c>
      <c r="K33" s="1">
        <f t="shared" si="3"/>
        <v>828125.60048309155</v>
      </c>
      <c r="U33" s="1">
        <f t="shared" si="4"/>
        <v>864200.74749493587</v>
      </c>
      <c r="AH33" s="1">
        <f t="shared" si="5"/>
        <v>2344289.2200929844</v>
      </c>
      <c r="AT33" s="1">
        <f t="shared" si="6"/>
        <v>788956.53399990452</v>
      </c>
      <c r="BC33" s="1">
        <f t="shared" si="7"/>
        <v>531087.52296135493</v>
      </c>
      <c r="BI33" s="4">
        <f t="shared" si="1"/>
        <v>4541304.0209000967</v>
      </c>
      <c r="BJ33" s="2">
        <f t="shared" si="19"/>
        <v>456348.99399222311</v>
      </c>
      <c r="BK33" s="2"/>
      <c r="BL33" s="2"/>
      <c r="BM33" s="2"/>
      <c r="BN33" s="2"/>
      <c r="BO33" s="2"/>
      <c r="BP33" s="2"/>
      <c r="BQ33" s="1">
        <f t="shared" si="8"/>
        <v>437869.65938399569</v>
      </c>
      <c r="BR33" s="2"/>
      <c r="BS33" s="2"/>
      <c r="BT33" s="2"/>
      <c r="BU33" s="2"/>
      <c r="BV33" s="2"/>
      <c r="BW33" s="2"/>
      <c r="BX33" s="2"/>
      <c r="BY33" s="2"/>
      <c r="BZ33" s="1">
        <f t="shared" si="9"/>
        <v>639127.26228469936</v>
      </c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1">
        <f t="shared" si="10"/>
        <v>295119.66376893548</v>
      </c>
      <c r="CU33" s="2"/>
      <c r="CV33" s="2"/>
      <c r="CW33" s="2"/>
      <c r="CX33" s="1">
        <f t="shared" si="11"/>
        <v>940594.28903794824</v>
      </c>
      <c r="CY33" s="2"/>
      <c r="CZ33" s="2"/>
      <c r="DA33" s="2"/>
      <c r="DB33" s="2"/>
      <c r="DC33" s="2"/>
      <c r="DD33" s="2"/>
      <c r="DE33" s="1">
        <f t="shared" si="12"/>
        <v>526587.39495879039</v>
      </c>
      <c r="DF33" s="2"/>
      <c r="DG33" s="2"/>
      <c r="DH33" s="2"/>
      <c r="DI33" s="2"/>
      <c r="DJ33" s="2"/>
      <c r="DK33" s="2"/>
      <c r="DL33" s="1">
        <f t="shared" si="13"/>
        <v>619932.19816540554</v>
      </c>
      <c r="DM33" s="2"/>
      <c r="DN33" s="2"/>
      <c r="DO33" s="2"/>
      <c r="DP33" s="2"/>
      <c r="DQ33" s="2"/>
      <c r="DR33" s="2"/>
      <c r="DS33" s="1">
        <f t="shared" si="14"/>
        <v>238677.09641225831</v>
      </c>
      <c r="DT33" s="2"/>
      <c r="DU33" s="2"/>
      <c r="DV33" s="2"/>
      <c r="DW33" s="2"/>
      <c r="DX33" s="2"/>
      <c r="DY33" s="2"/>
      <c r="DZ33" s="2"/>
      <c r="EA33" s="2"/>
      <c r="EB33" s="1">
        <f t="shared" si="15"/>
        <v>27958.322934588774</v>
      </c>
      <c r="EC33" s="2"/>
      <c r="ED33" s="2"/>
      <c r="EE33" s="1">
        <f t="shared" si="16"/>
        <v>78317.931515563934</v>
      </c>
      <c r="EF33" s="2"/>
      <c r="EG33" s="1">
        <f t="shared" si="16"/>
        <v>280771.20844568795</v>
      </c>
      <c r="EH33" s="2"/>
      <c r="HW33" s="4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1">
        <f t="shared" si="17"/>
        <v>1709709.9413485788</v>
      </c>
      <c r="LU33" s="1">
        <f t="shared" si="18"/>
        <v>1258300.6408327736</v>
      </c>
    </row>
    <row r="34" spans="1:333">
      <c r="A34" s="1">
        <v>1397</v>
      </c>
      <c r="B34" s="1">
        <f t="shared" si="0"/>
        <v>7526655.203995795</v>
      </c>
      <c r="C34" s="1">
        <f t="shared" si="2"/>
        <v>2149921.3772556391</v>
      </c>
      <c r="K34" s="1">
        <f t="shared" si="3"/>
        <v>831852.16568526544</v>
      </c>
      <c r="U34" s="1">
        <f t="shared" si="4"/>
        <v>868089.65085866302</v>
      </c>
      <c r="AH34" s="1">
        <f t="shared" si="5"/>
        <v>2352259.8034413005</v>
      </c>
      <c r="AT34" s="1">
        <f t="shared" si="6"/>
        <v>791638.98621550424</v>
      </c>
      <c r="BC34" s="1">
        <f t="shared" si="7"/>
        <v>532893.22053942352</v>
      </c>
      <c r="BI34" s="4">
        <f t="shared" si="1"/>
        <v>4560018.1357592568</v>
      </c>
      <c r="BJ34" s="2">
        <f t="shared" si="19"/>
        <v>458220.02486759122</v>
      </c>
      <c r="BK34" s="2"/>
      <c r="BL34" s="2"/>
      <c r="BM34" s="2"/>
      <c r="BN34" s="2"/>
      <c r="BO34" s="2"/>
      <c r="BP34" s="2"/>
      <c r="BQ34" s="1">
        <f t="shared" si="8"/>
        <v>439051.90746433247</v>
      </c>
      <c r="BR34" s="2"/>
      <c r="BS34" s="2"/>
      <c r="BT34" s="2"/>
      <c r="BU34" s="2"/>
      <c r="BV34" s="2"/>
      <c r="BW34" s="2"/>
      <c r="BX34" s="2"/>
      <c r="BY34" s="2"/>
      <c r="BZ34" s="1">
        <f t="shared" si="9"/>
        <v>643601.15312069224</v>
      </c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1">
        <f t="shared" si="10"/>
        <v>296123.07062574988</v>
      </c>
      <c r="CU34" s="2"/>
      <c r="CV34" s="2"/>
      <c r="CW34" s="2"/>
      <c r="CX34" s="1">
        <f t="shared" si="11"/>
        <v>943792.30962067738</v>
      </c>
      <c r="CY34" s="2"/>
      <c r="CZ34" s="2"/>
      <c r="DA34" s="2"/>
      <c r="DB34" s="2"/>
      <c r="DC34" s="2"/>
      <c r="DD34" s="2"/>
      <c r="DE34" s="1">
        <f t="shared" si="12"/>
        <v>528377.79210165027</v>
      </c>
      <c r="DF34" s="2"/>
      <c r="DG34" s="2"/>
      <c r="DH34" s="2"/>
      <c r="DI34" s="2"/>
      <c r="DJ34" s="2"/>
      <c r="DK34" s="2"/>
      <c r="DL34" s="1">
        <f t="shared" si="13"/>
        <v>622039.96763916791</v>
      </c>
      <c r="DM34" s="2"/>
      <c r="DN34" s="2"/>
      <c r="DO34" s="2"/>
      <c r="DP34" s="2"/>
      <c r="DQ34" s="2"/>
      <c r="DR34" s="2"/>
      <c r="DS34" s="1">
        <f t="shared" si="14"/>
        <v>240347.8360871441</v>
      </c>
      <c r="DT34" s="2"/>
      <c r="DU34" s="2"/>
      <c r="DV34" s="2"/>
      <c r="DW34" s="2"/>
      <c r="DX34" s="2"/>
      <c r="DY34" s="2"/>
      <c r="DZ34" s="2"/>
      <c r="EA34" s="2"/>
      <c r="EB34" s="1">
        <f t="shared" si="15"/>
        <v>28154.031195130894</v>
      </c>
      <c r="EC34" s="2"/>
      <c r="ED34" s="2"/>
      <c r="EE34" s="1">
        <f t="shared" si="16"/>
        <v>78584.212482716859</v>
      </c>
      <c r="EF34" s="2"/>
      <c r="EG34" s="1">
        <f t="shared" si="16"/>
        <v>281725.83055440331</v>
      </c>
      <c r="EH34" s="2"/>
      <c r="HW34" s="4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1">
        <f t="shared" si="17"/>
        <v>1715522.955149164</v>
      </c>
      <c r="LU34" s="1">
        <f t="shared" si="18"/>
        <v>1262578.8630116051</v>
      </c>
    </row>
    <row r="35" spans="1:333">
      <c r="A35" s="1">
        <v>1398</v>
      </c>
      <c r="B35" s="1">
        <f t="shared" si="0"/>
        <v>7554115.7676875796</v>
      </c>
      <c r="C35" s="1">
        <f t="shared" si="2"/>
        <v>2157231.1099383086</v>
      </c>
      <c r="K35" s="1">
        <f t="shared" si="3"/>
        <v>835595.50043084915</v>
      </c>
      <c r="U35" s="1">
        <f t="shared" si="4"/>
        <v>871996.05428752699</v>
      </c>
      <c r="AH35" s="1">
        <f t="shared" si="5"/>
        <v>2360257.486773001</v>
      </c>
      <c r="AT35" s="1">
        <f t="shared" si="6"/>
        <v>794330.55876863701</v>
      </c>
      <c r="BC35" s="1">
        <f t="shared" si="7"/>
        <v>534705.05748925766</v>
      </c>
      <c r="BI35" s="4">
        <f t="shared" si="1"/>
        <v>4578819.1859764708</v>
      </c>
      <c r="BJ35" s="2">
        <f t="shared" si="19"/>
        <v>460098.72696954833</v>
      </c>
      <c r="BK35" s="2"/>
      <c r="BL35" s="2"/>
      <c r="BM35" s="2"/>
      <c r="BN35" s="2"/>
      <c r="BO35" s="2"/>
      <c r="BP35" s="2"/>
      <c r="BQ35" s="1">
        <f t="shared" si="8"/>
        <v>440237.34761448612</v>
      </c>
      <c r="BR35" s="2"/>
      <c r="BS35" s="2"/>
      <c r="BT35" s="2"/>
      <c r="BU35" s="2"/>
      <c r="BV35" s="2"/>
      <c r="BW35" s="2"/>
      <c r="BX35" s="2"/>
      <c r="BY35" s="2"/>
      <c r="BZ35" s="1">
        <f t="shared" si="9"/>
        <v>648106.36119253701</v>
      </c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1">
        <f t="shared" si="10"/>
        <v>297129.88906587748</v>
      </c>
      <c r="CU35" s="2"/>
      <c r="CV35" s="2"/>
      <c r="CW35" s="2"/>
      <c r="CX35" s="1">
        <f t="shared" si="11"/>
        <v>947001.20347338775</v>
      </c>
      <c r="CY35" s="2"/>
      <c r="CZ35" s="2"/>
      <c r="DA35" s="2"/>
      <c r="DB35" s="2"/>
      <c r="DC35" s="2"/>
      <c r="DD35" s="2"/>
      <c r="DE35" s="1">
        <f t="shared" si="12"/>
        <v>530174.27659479587</v>
      </c>
      <c r="DF35" s="2"/>
      <c r="DG35" s="2"/>
      <c r="DH35" s="2"/>
      <c r="DI35" s="2"/>
      <c r="DJ35" s="2"/>
      <c r="DK35" s="2"/>
      <c r="DL35" s="1">
        <f t="shared" si="13"/>
        <v>624154.9035291411</v>
      </c>
      <c r="DM35" s="2"/>
      <c r="DN35" s="2"/>
      <c r="DO35" s="2"/>
      <c r="DP35" s="2"/>
      <c r="DQ35" s="2"/>
      <c r="DR35" s="2"/>
      <c r="DS35" s="1">
        <f t="shared" si="14"/>
        <v>242030.27093975409</v>
      </c>
      <c r="DT35" s="2"/>
      <c r="DU35" s="2"/>
      <c r="DV35" s="2"/>
      <c r="DW35" s="2"/>
      <c r="DX35" s="2"/>
      <c r="DY35" s="2"/>
      <c r="DZ35" s="2"/>
      <c r="EA35" s="2"/>
      <c r="EB35" s="1">
        <f t="shared" si="15"/>
        <v>28351.109413496808</v>
      </c>
      <c r="EC35" s="2"/>
      <c r="ED35" s="2"/>
      <c r="EE35" s="1">
        <f t="shared" si="16"/>
        <v>78851.398805158096</v>
      </c>
      <c r="EF35" s="2"/>
      <c r="EG35" s="1">
        <f t="shared" si="16"/>
        <v>282683.6983782883</v>
      </c>
      <c r="EH35" s="2"/>
      <c r="HW35" s="4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1">
        <f t="shared" si="17"/>
        <v>1721355.7331966711</v>
      </c>
      <c r="LU35" s="1">
        <f t="shared" si="18"/>
        <v>1266871.6311458447</v>
      </c>
    </row>
    <row r="36" spans="1:333">
      <c r="A36" s="1">
        <v>1399</v>
      </c>
      <c r="B36" s="1">
        <f t="shared" si="0"/>
        <v>7581678.1120079085</v>
      </c>
      <c r="C36" s="1">
        <f t="shared" si="2"/>
        <v>2164565.6957120989</v>
      </c>
      <c r="K36" s="1">
        <f t="shared" si="3"/>
        <v>839355.68018278794</v>
      </c>
      <c r="U36" s="1">
        <f t="shared" si="4"/>
        <v>875920.03653182078</v>
      </c>
      <c r="AH36" s="1">
        <f t="shared" si="5"/>
        <v>2368282.3622280294</v>
      </c>
      <c r="AT36" s="1">
        <f t="shared" si="6"/>
        <v>797031.28266845038</v>
      </c>
      <c r="BC36" s="1">
        <f t="shared" si="7"/>
        <v>536523.05468472117</v>
      </c>
      <c r="BI36" s="4">
        <f t="shared" si="1"/>
        <v>4597707.6300439043</v>
      </c>
      <c r="BJ36" s="2">
        <f t="shared" si="19"/>
        <v>461985.13175012346</v>
      </c>
      <c r="BK36" s="2"/>
      <c r="BL36" s="2"/>
      <c r="BM36" s="2"/>
      <c r="BN36" s="2"/>
      <c r="BO36" s="2"/>
      <c r="BP36" s="2"/>
      <c r="BQ36" s="1">
        <f t="shared" si="8"/>
        <v>441425.9884530452</v>
      </c>
      <c r="BR36" s="2"/>
      <c r="BS36" s="2"/>
      <c r="BT36" s="2"/>
      <c r="BU36" s="2"/>
      <c r="BV36" s="2"/>
      <c r="BW36" s="2"/>
      <c r="BX36" s="2"/>
      <c r="BY36" s="2"/>
      <c r="BZ36" s="1">
        <f t="shared" si="9"/>
        <v>652643.10572088475</v>
      </c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1">
        <f t="shared" si="10"/>
        <v>298140.13068870147</v>
      </c>
      <c r="CU36" s="2"/>
      <c r="CV36" s="2"/>
      <c r="CW36" s="2"/>
      <c r="CX36" s="1">
        <f t="shared" si="11"/>
        <v>950221.0075651973</v>
      </c>
      <c r="CY36" s="2"/>
      <c r="CZ36" s="2"/>
      <c r="DA36" s="2"/>
      <c r="DB36" s="2"/>
      <c r="DC36" s="2"/>
      <c r="DD36" s="2"/>
      <c r="DE36" s="1">
        <f t="shared" si="12"/>
        <v>531976.86913521821</v>
      </c>
      <c r="DF36" s="2"/>
      <c r="DG36" s="2"/>
      <c r="DH36" s="2"/>
      <c r="DI36" s="2"/>
      <c r="DJ36" s="2"/>
      <c r="DK36" s="2"/>
      <c r="DL36" s="1">
        <f t="shared" si="13"/>
        <v>626277.03020114021</v>
      </c>
      <c r="DM36" s="2"/>
      <c r="DN36" s="2"/>
      <c r="DO36" s="2"/>
      <c r="DP36" s="2"/>
      <c r="DQ36" s="2"/>
      <c r="DR36" s="2"/>
      <c r="DS36" s="1">
        <f t="shared" si="14"/>
        <v>243724.48283633235</v>
      </c>
      <c r="DT36" s="2"/>
      <c r="DU36" s="2"/>
      <c r="DV36" s="2"/>
      <c r="DW36" s="2"/>
      <c r="DX36" s="2"/>
      <c r="DY36" s="2"/>
      <c r="DZ36" s="2"/>
      <c r="EA36" s="2"/>
      <c r="EB36" s="1">
        <f t="shared" si="15"/>
        <v>28549.567179391284</v>
      </c>
      <c r="EC36" s="2"/>
      <c r="ED36" s="2"/>
      <c r="EE36" s="1">
        <f t="shared" si="16"/>
        <v>79119.493561095645</v>
      </c>
      <c r="EF36" s="2"/>
      <c r="EG36" s="1">
        <f t="shared" si="16"/>
        <v>283644.82295277453</v>
      </c>
      <c r="EH36" s="2"/>
      <c r="HW36" s="4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1">
        <f t="shared" si="17"/>
        <v>1727208.34268954</v>
      </c>
      <c r="LU36" s="1">
        <f t="shared" si="18"/>
        <v>1271178.9946917407</v>
      </c>
    </row>
    <row r="37" spans="1:333">
      <c r="A37" s="1">
        <v>1400</v>
      </c>
      <c r="B37" s="1">
        <f t="shared" si="0"/>
        <v>7609342.6208771216</v>
      </c>
      <c r="C37" s="1">
        <f t="shared" si="2"/>
        <v>2171925.2190775201</v>
      </c>
      <c r="K37" s="1">
        <f t="shared" si="3"/>
        <v>843132.78074361046</v>
      </c>
      <c r="U37" s="1">
        <f t="shared" si="4"/>
        <v>879861.67669621389</v>
      </c>
      <c r="AH37" s="1">
        <f t="shared" si="5"/>
        <v>2376334.5222596047</v>
      </c>
      <c r="AT37" s="1">
        <f t="shared" si="6"/>
        <v>799741.18902952317</v>
      </c>
      <c r="BC37" s="1">
        <f t="shared" si="7"/>
        <v>538347.23307064921</v>
      </c>
      <c r="BI37" s="4">
        <f t="shared" si="1"/>
        <v>4616683.9291470135</v>
      </c>
      <c r="BJ37" s="2">
        <f t="shared" si="19"/>
        <v>463879.27079029894</v>
      </c>
      <c r="BK37" s="2"/>
      <c r="BL37" s="2"/>
      <c r="BM37" s="2"/>
      <c r="BN37" s="2"/>
      <c r="BO37" s="2"/>
      <c r="BP37" s="2"/>
      <c r="BQ37" s="1">
        <f t="shared" si="8"/>
        <v>442617.8386218684</v>
      </c>
      <c r="BR37" s="2"/>
      <c r="BS37" s="2"/>
      <c r="BT37" s="2"/>
      <c r="BU37" s="2"/>
      <c r="BV37" s="2"/>
      <c r="BW37" s="2"/>
      <c r="BX37" s="2"/>
      <c r="BY37" s="2"/>
      <c r="BZ37" s="1">
        <f t="shared" si="9"/>
        <v>657211.60746093083</v>
      </c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1">
        <f t="shared" si="10"/>
        <v>299153.80713304307</v>
      </c>
      <c r="CU37" s="2"/>
      <c r="CV37" s="2"/>
      <c r="CW37" s="2"/>
      <c r="CX37" s="1">
        <f t="shared" si="11"/>
        <v>953451.75899091898</v>
      </c>
      <c r="CY37" s="2"/>
      <c r="CZ37" s="2"/>
      <c r="DA37" s="2"/>
      <c r="DB37" s="2"/>
      <c r="DC37" s="2"/>
      <c r="DD37" s="2"/>
      <c r="DE37" s="1">
        <f t="shared" si="12"/>
        <v>533785.59049027797</v>
      </c>
      <c r="DF37" s="2"/>
      <c r="DG37" s="2"/>
      <c r="DH37" s="2"/>
      <c r="DI37" s="2"/>
      <c r="DJ37" s="2"/>
      <c r="DK37" s="2"/>
      <c r="DL37" s="1">
        <f t="shared" si="13"/>
        <v>628406.37210382416</v>
      </c>
      <c r="DM37" s="2"/>
      <c r="DN37" s="2"/>
      <c r="DO37" s="2"/>
      <c r="DP37" s="2"/>
      <c r="DQ37" s="2"/>
      <c r="DR37" s="2"/>
      <c r="DS37" s="1">
        <f t="shared" si="14"/>
        <v>245430.55421618666</v>
      </c>
      <c r="DT37" s="2"/>
      <c r="DU37" s="2"/>
      <c r="DV37" s="2"/>
      <c r="DW37" s="2"/>
      <c r="DX37" s="2"/>
      <c r="DY37" s="2"/>
      <c r="DZ37" s="2"/>
      <c r="EA37" s="2"/>
      <c r="EB37" s="1">
        <f t="shared" si="15"/>
        <v>28749.414149647022</v>
      </c>
      <c r="EC37" s="2"/>
      <c r="ED37" s="2"/>
      <c r="EE37" s="1">
        <f t="shared" si="16"/>
        <v>79388.499839203374</v>
      </c>
      <c r="EF37" s="2"/>
      <c r="EG37" s="1">
        <f t="shared" si="16"/>
        <v>284609.21535081399</v>
      </c>
      <c r="EH37" s="2"/>
      <c r="HW37" s="4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15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1">
        <f t="shared" si="17"/>
        <v>1733080.8510546845</v>
      </c>
      <c r="LU37" s="1">
        <f t="shared" si="18"/>
        <v>1275501.0032736927</v>
      </c>
    </row>
    <row r="38" spans="1:333">
      <c r="A38" s="1">
        <v>1401</v>
      </c>
      <c r="B38" s="1">
        <f t="shared" si="0"/>
        <v>7637109.6796912877</v>
      </c>
      <c r="C38" s="1">
        <f t="shared" si="2"/>
        <v>2179309.7648223839</v>
      </c>
      <c r="K38" s="1">
        <f t="shared" si="3"/>
        <v>846926.8782569567</v>
      </c>
      <c r="U38" s="1">
        <f t="shared" si="4"/>
        <v>883821.05424134678</v>
      </c>
      <c r="AH38" s="1">
        <f t="shared" si="5"/>
        <v>2384414.0596352876</v>
      </c>
      <c r="AT38" s="1">
        <f t="shared" si="6"/>
        <v>802460.30907222361</v>
      </c>
      <c r="BC38" s="1">
        <f t="shared" si="7"/>
        <v>540177.61366308946</v>
      </c>
      <c r="BI38" s="4">
        <f t="shared" si="1"/>
        <v>4635748.5471816072</v>
      </c>
      <c r="BJ38" s="2">
        <f t="shared" si="19"/>
        <v>465781.17580053915</v>
      </c>
      <c r="BK38" s="2"/>
      <c r="BL38" s="2"/>
      <c r="BM38" s="2"/>
      <c r="BN38" s="2"/>
      <c r="BO38" s="2"/>
      <c r="BP38" s="2"/>
      <c r="BQ38" s="1">
        <f t="shared" si="8"/>
        <v>443812.90678614739</v>
      </c>
      <c r="BR38" s="2"/>
      <c r="BS38" s="2"/>
      <c r="BT38" s="2"/>
      <c r="BU38" s="2"/>
      <c r="BV38" s="2"/>
      <c r="BW38" s="2"/>
      <c r="BX38" s="2"/>
      <c r="BY38" s="2"/>
      <c r="BZ38" s="1">
        <f t="shared" si="9"/>
        <v>661812.08871315722</v>
      </c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1">
        <f t="shared" si="10"/>
        <v>300170.93007729546</v>
      </c>
      <c r="CU38" s="2"/>
      <c r="CV38" s="2"/>
      <c r="CW38" s="2"/>
      <c r="CX38" s="1">
        <f t="shared" si="11"/>
        <v>956693.49497148814</v>
      </c>
      <c r="CY38" s="2"/>
      <c r="CZ38" s="2"/>
      <c r="DA38" s="2"/>
      <c r="DB38" s="2"/>
      <c r="DC38" s="2"/>
      <c r="DD38" s="2"/>
      <c r="DE38" s="1">
        <f t="shared" si="12"/>
        <v>535600.46149794501</v>
      </c>
      <c r="DF38" s="2"/>
      <c r="DG38" s="2"/>
      <c r="DH38" s="2"/>
      <c r="DI38" s="2"/>
      <c r="DJ38" s="2"/>
      <c r="DK38" s="2"/>
      <c r="DL38" s="1">
        <f t="shared" si="13"/>
        <v>630542.9537689772</v>
      </c>
      <c r="DM38" s="2"/>
      <c r="DN38" s="2"/>
      <c r="DO38" s="2"/>
      <c r="DP38" s="2"/>
      <c r="DQ38" s="2"/>
      <c r="DR38" s="2"/>
      <c r="DS38" s="1">
        <f t="shared" si="14"/>
        <v>247148.56809569994</v>
      </c>
      <c r="DT38" s="2"/>
      <c r="DU38" s="2"/>
      <c r="DV38" s="2"/>
      <c r="DW38" s="2"/>
      <c r="DX38" s="2"/>
      <c r="DY38" s="2"/>
      <c r="DZ38" s="2"/>
      <c r="EA38" s="2"/>
      <c r="EB38" s="1">
        <f t="shared" si="15"/>
        <v>28950.66004869455</v>
      </c>
      <c r="EC38" s="2"/>
      <c r="ED38" s="2"/>
      <c r="EE38" s="1">
        <f t="shared" si="16"/>
        <v>79658.42073865667</v>
      </c>
      <c r="EF38" s="2"/>
      <c r="EG38" s="1">
        <f t="shared" si="16"/>
        <v>285576.88668300677</v>
      </c>
      <c r="EH38" s="2"/>
      <c r="HW38" s="4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15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1">
        <f t="shared" si="17"/>
        <v>1738973.3259482705</v>
      </c>
      <c r="LU38" s="1">
        <f t="shared" si="18"/>
        <v>1279837.7066848234</v>
      </c>
    </row>
    <row r="39" spans="1:333">
      <c r="A39" s="1">
        <v>1402</v>
      </c>
      <c r="B39" s="1">
        <f t="shared" si="0"/>
        <v>7664979.6753279865</v>
      </c>
      <c r="C39" s="1">
        <f t="shared" si="2"/>
        <v>2186719.4180227802</v>
      </c>
      <c r="K39" s="1">
        <f t="shared" si="3"/>
        <v>850738.049209113</v>
      </c>
      <c r="U39" s="1">
        <f t="shared" si="4"/>
        <v>887798.24898543279</v>
      </c>
      <c r="AH39" s="1">
        <f t="shared" si="5"/>
        <v>2392521.0674380478</v>
      </c>
      <c r="AT39" s="1">
        <f t="shared" si="6"/>
        <v>805188.67412306927</v>
      </c>
      <c r="BC39" s="1">
        <f t="shared" si="7"/>
        <v>542014.21754954406</v>
      </c>
      <c r="BI39" s="4">
        <f t="shared" si="1"/>
        <v>4654901.9507710226</v>
      </c>
      <c r="BJ39" s="2">
        <f t="shared" si="19"/>
        <v>467690.87862132135</v>
      </c>
      <c r="BK39" s="2"/>
      <c r="BL39" s="2"/>
      <c r="BM39" s="2"/>
      <c r="BN39" s="2"/>
      <c r="BO39" s="2"/>
      <c r="BP39" s="2"/>
      <c r="BQ39" s="1">
        <f t="shared" si="8"/>
        <v>445011.20163446997</v>
      </c>
      <c r="BR39" s="2"/>
      <c r="BS39" s="2"/>
      <c r="BT39" s="2"/>
      <c r="BU39" s="2"/>
      <c r="BV39" s="2"/>
      <c r="BW39" s="2"/>
      <c r="BX39" s="2"/>
      <c r="BY39" s="2"/>
      <c r="BZ39" s="1">
        <f t="shared" si="9"/>
        <v>666444.77333414927</v>
      </c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1">
        <f t="shared" si="10"/>
        <v>301191.51123955828</v>
      </c>
      <c r="CU39" s="2"/>
      <c r="CV39" s="2"/>
      <c r="CW39" s="2"/>
      <c r="CX39" s="1">
        <f t="shared" si="11"/>
        <v>959946.25285439123</v>
      </c>
      <c r="CY39" s="2"/>
      <c r="CZ39" s="2"/>
      <c r="DA39" s="2"/>
      <c r="DB39" s="2"/>
      <c r="DC39" s="2"/>
      <c r="DD39" s="2"/>
      <c r="DE39" s="1">
        <f t="shared" si="12"/>
        <v>537421.50306703802</v>
      </c>
      <c r="DF39" s="2"/>
      <c r="DG39" s="2"/>
      <c r="DH39" s="2"/>
      <c r="DI39" s="2"/>
      <c r="DJ39" s="2"/>
      <c r="DK39" s="2"/>
      <c r="DL39" s="1">
        <f t="shared" si="13"/>
        <v>632686.79981179175</v>
      </c>
      <c r="DM39" s="2"/>
      <c r="DN39" s="2"/>
      <c r="DO39" s="2"/>
      <c r="DP39" s="2"/>
      <c r="DQ39" s="2"/>
      <c r="DR39" s="2"/>
      <c r="DS39" s="1">
        <f t="shared" si="14"/>
        <v>248878.60807236983</v>
      </c>
      <c r="DT39" s="2"/>
      <c r="DU39" s="2"/>
      <c r="DV39" s="2"/>
      <c r="DW39" s="2"/>
      <c r="DX39" s="2"/>
      <c r="DY39" s="2"/>
      <c r="DZ39" s="2"/>
      <c r="EA39" s="2"/>
      <c r="EB39" s="1">
        <f t="shared" si="15"/>
        <v>29153.314669035408</v>
      </c>
      <c r="EC39" s="2"/>
      <c r="ED39" s="2"/>
      <c r="EE39" s="1">
        <f t="shared" si="16"/>
        <v>79929.25936916811</v>
      </c>
      <c r="EF39" s="2"/>
      <c r="EG39" s="1">
        <f t="shared" si="16"/>
        <v>286547.84809772903</v>
      </c>
      <c r="EH39" s="2"/>
      <c r="HW39" s="4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1">
        <f t="shared" si="17"/>
        <v>1744885.8352564948</v>
      </c>
      <c r="LU39" s="1">
        <f t="shared" si="18"/>
        <v>1284189.1548875519</v>
      </c>
    </row>
    <row r="40" spans="1:333">
      <c r="A40" s="1">
        <v>1403</v>
      </c>
      <c r="B40" s="1">
        <f t="shared" si="0"/>
        <v>7692952.9961521169</v>
      </c>
      <c r="C40" s="1">
        <f t="shared" si="2"/>
        <v>2194154.264044058</v>
      </c>
      <c r="K40" s="1">
        <f t="shared" si="3"/>
        <v>854566.37043055391</v>
      </c>
      <c r="U40" s="1">
        <f t="shared" si="4"/>
        <v>891793.34110586718</v>
      </c>
      <c r="AH40" s="1">
        <f t="shared" si="5"/>
        <v>2400655.6390673374</v>
      </c>
      <c r="AT40" s="1">
        <f t="shared" si="6"/>
        <v>807926.31561508775</v>
      </c>
      <c r="BC40" s="1">
        <f t="shared" si="7"/>
        <v>543857.06588921254</v>
      </c>
      <c r="BI40" s="4">
        <f t="shared" si="1"/>
        <v>4674144.6092834072</v>
      </c>
      <c r="BJ40" s="2">
        <f t="shared" si="19"/>
        <v>469608.41122366878</v>
      </c>
      <c r="BK40" s="2"/>
      <c r="BL40" s="2"/>
      <c r="BM40" s="2"/>
      <c r="BN40" s="2"/>
      <c r="BO40" s="2"/>
      <c r="BP40" s="2"/>
      <c r="BQ40" s="1">
        <f t="shared" si="8"/>
        <v>446212.73187888297</v>
      </c>
      <c r="BR40" s="2"/>
      <c r="BS40" s="2"/>
      <c r="BT40" s="2"/>
      <c r="BU40" s="2"/>
      <c r="BV40" s="2"/>
      <c r="BW40" s="2"/>
      <c r="BX40" s="2"/>
      <c r="BY40" s="2"/>
      <c r="BZ40" s="1">
        <f t="shared" si="9"/>
        <v>671109.88674748829</v>
      </c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1">
        <f t="shared" si="10"/>
        <v>302215.56237777282</v>
      </c>
      <c r="CU40" s="2"/>
      <c r="CV40" s="2"/>
      <c r="CW40" s="2"/>
      <c r="CX40" s="1">
        <f t="shared" si="11"/>
        <v>963210.07011409628</v>
      </c>
      <c r="CY40" s="2"/>
      <c r="CZ40" s="2"/>
      <c r="DA40" s="2"/>
      <c r="DB40" s="2"/>
      <c r="DC40" s="2"/>
      <c r="DD40" s="2"/>
      <c r="DE40" s="1">
        <f t="shared" si="12"/>
        <v>539248.73617746599</v>
      </c>
      <c r="DF40" s="2"/>
      <c r="DG40" s="2"/>
      <c r="DH40" s="2"/>
      <c r="DI40" s="2"/>
      <c r="DJ40" s="2"/>
      <c r="DK40" s="2"/>
      <c r="DL40" s="1">
        <f t="shared" si="13"/>
        <v>634837.93493115192</v>
      </c>
      <c r="DM40" s="2"/>
      <c r="DN40" s="2"/>
      <c r="DO40" s="2"/>
      <c r="DP40" s="2"/>
      <c r="DQ40" s="2"/>
      <c r="DR40" s="2"/>
      <c r="DS40" s="1">
        <f t="shared" si="14"/>
        <v>250620.7583288764</v>
      </c>
      <c r="DT40" s="2"/>
      <c r="DU40" s="2"/>
      <c r="DV40" s="2"/>
      <c r="DW40" s="2"/>
      <c r="DX40" s="2"/>
      <c r="DY40" s="2"/>
      <c r="DZ40" s="2"/>
      <c r="EA40" s="2"/>
      <c r="EB40" s="1">
        <f t="shared" si="15"/>
        <v>29357.387871718653</v>
      </c>
      <c r="EC40" s="2"/>
      <c r="ED40" s="2"/>
      <c r="EE40" s="1">
        <f t="shared" si="16"/>
        <v>80201.018851023284</v>
      </c>
      <c r="EF40" s="2"/>
      <c r="EG40" s="1">
        <f t="shared" si="16"/>
        <v>287522.11078126135</v>
      </c>
      <c r="EH40" s="2"/>
      <c r="HW40" s="4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15"/>
      <c r="IX40" s="2"/>
      <c r="IY40" s="15"/>
      <c r="IZ40" s="2"/>
      <c r="JA40" s="15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1">
        <f t="shared" si="17"/>
        <v>1750818.4470963671</v>
      </c>
      <c r="LU40" s="1">
        <f t="shared" si="18"/>
        <v>1288555.3980141697</v>
      </c>
    </row>
    <row r="41" spans="1:333">
      <c r="A41" s="1">
        <v>1404</v>
      </c>
      <c r="B41" s="1">
        <f t="shared" si="0"/>
        <v>7721030.0320217237</v>
      </c>
      <c r="C41" s="1">
        <f t="shared" si="2"/>
        <v>2201614.3885418079</v>
      </c>
      <c r="K41" s="1">
        <f t="shared" si="3"/>
        <v>858411.91909749131</v>
      </c>
      <c r="U41" s="1">
        <f t="shared" si="4"/>
        <v>895806.41114084353</v>
      </c>
      <c r="AH41" s="1">
        <f t="shared" si="5"/>
        <v>2408817.8682401665</v>
      </c>
      <c r="AT41" s="1">
        <f t="shared" si="6"/>
        <v>810673.26508817915</v>
      </c>
      <c r="BC41" s="1">
        <f t="shared" si="7"/>
        <v>545706.17991323594</v>
      </c>
      <c r="BI41" s="4">
        <f t="shared" si="1"/>
        <v>4693476.9948491249</v>
      </c>
      <c r="BJ41" s="2">
        <f t="shared" si="19"/>
        <v>471533.80570968584</v>
      </c>
      <c r="BK41" s="2"/>
      <c r="BL41" s="2"/>
      <c r="BM41" s="2"/>
      <c r="BN41" s="2"/>
      <c r="BO41" s="2"/>
      <c r="BP41" s="2"/>
      <c r="BQ41" s="1">
        <f t="shared" si="8"/>
        <v>447417.50625495595</v>
      </c>
      <c r="BR41" s="2"/>
      <c r="BS41" s="2"/>
      <c r="BT41" s="2"/>
      <c r="BU41" s="2"/>
      <c r="BV41" s="2"/>
      <c r="BW41" s="2"/>
      <c r="BX41" s="2"/>
      <c r="BY41" s="2"/>
      <c r="BZ41" s="1">
        <f t="shared" si="9"/>
        <v>675807.65595472069</v>
      </c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1">
        <f t="shared" si="10"/>
        <v>303243.09528985724</v>
      </c>
      <c r="CU41" s="2"/>
      <c r="CV41" s="2"/>
      <c r="CW41" s="2"/>
      <c r="CX41" s="1">
        <f t="shared" si="11"/>
        <v>966484.98435248423</v>
      </c>
      <c r="CY41" s="2"/>
      <c r="CZ41" s="2"/>
      <c r="DA41" s="2"/>
      <c r="DB41" s="2"/>
      <c r="DC41" s="2"/>
      <c r="DD41" s="2"/>
      <c r="DE41" s="1">
        <f t="shared" si="12"/>
        <v>541082.18188046943</v>
      </c>
      <c r="DF41" s="2"/>
      <c r="DG41" s="2"/>
      <c r="DH41" s="2"/>
      <c r="DI41" s="2"/>
      <c r="DJ41" s="2"/>
      <c r="DK41" s="2"/>
      <c r="DL41" s="1">
        <f t="shared" si="13"/>
        <v>636996.3839099179</v>
      </c>
      <c r="DM41" s="2"/>
      <c r="DN41" s="2"/>
      <c r="DO41" s="2"/>
      <c r="DP41" s="2"/>
      <c r="DQ41" s="2"/>
      <c r="DR41" s="2"/>
      <c r="DS41" s="1">
        <f t="shared" si="14"/>
        <v>252375.10363717852</v>
      </c>
      <c r="DT41" s="2"/>
      <c r="DU41" s="2"/>
      <c r="DV41" s="2"/>
      <c r="DW41" s="2"/>
      <c r="DX41" s="2"/>
      <c r="DY41" s="2"/>
      <c r="DZ41" s="2"/>
      <c r="EA41" s="2"/>
      <c r="EB41" s="1">
        <f t="shared" si="15"/>
        <v>29562.889586820682</v>
      </c>
      <c r="EC41" s="2"/>
      <c r="ED41" s="2"/>
      <c r="EE41" s="1">
        <f t="shared" si="16"/>
        <v>80473.702315116767</v>
      </c>
      <c r="EF41" s="2"/>
      <c r="EG41" s="1">
        <f t="shared" si="16"/>
        <v>288499.68595791765</v>
      </c>
      <c r="EH41" s="2"/>
      <c r="HW41" s="4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15"/>
      <c r="IY41" s="15"/>
      <c r="IZ41" s="15"/>
      <c r="JA41" s="2"/>
      <c r="JB41" s="2"/>
      <c r="JC41" s="15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15"/>
      <c r="KA41" s="2"/>
      <c r="KB41" s="15"/>
      <c r="KC41" s="2"/>
      <c r="KD41" s="2"/>
      <c r="KE41" s="15"/>
      <c r="KF41" s="2"/>
      <c r="KG41" s="15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1">
        <f t="shared" si="17"/>
        <v>1756771.229816495</v>
      </c>
      <c r="LU41" s="1">
        <f t="shared" si="18"/>
        <v>1292936.486367418</v>
      </c>
    </row>
    <row r="42" spans="1:333">
      <c r="A42" s="1">
        <v>1405</v>
      </c>
      <c r="B42" s="1">
        <f t="shared" si="0"/>
        <v>7749211.1742938608</v>
      </c>
      <c r="C42" s="1">
        <f t="shared" si="2"/>
        <v>2209099.8774628504</v>
      </c>
      <c r="K42" s="1">
        <f t="shared" si="3"/>
        <v>862274.77273343003</v>
      </c>
      <c r="U42" s="1">
        <f t="shared" si="4"/>
        <v>899837.53999097727</v>
      </c>
      <c r="AH42" s="1">
        <f t="shared" si="5"/>
        <v>2417007.8489921833</v>
      </c>
      <c r="AT42" s="1">
        <f t="shared" si="6"/>
        <v>813429.55418947898</v>
      </c>
      <c r="BC42" s="1">
        <f t="shared" si="7"/>
        <v>547561.58092494099</v>
      </c>
      <c r="BI42" s="4">
        <f t="shared" si="1"/>
        <v>4712899.5823782738</v>
      </c>
      <c r="BJ42" s="2">
        <f t="shared" si="19"/>
        <v>473467.09431309556</v>
      </c>
      <c r="BK42" s="2"/>
      <c r="BL42" s="2"/>
      <c r="BM42" s="2"/>
      <c r="BN42" s="2"/>
      <c r="BO42" s="2"/>
      <c r="BP42" s="2"/>
      <c r="BQ42" s="1">
        <f t="shared" si="8"/>
        <v>448625.53352184431</v>
      </c>
      <c r="BR42" s="2"/>
      <c r="BS42" s="2"/>
      <c r="BT42" s="2"/>
      <c r="BU42" s="2"/>
      <c r="BV42" s="2"/>
      <c r="BW42" s="2"/>
      <c r="BX42" s="2"/>
      <c r="BY42" s="2"/>
      <c r="BZ42" s="1">
        <f t="shared" si="9"/>
        <v>680538.3095464037</v>
      </c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1">
        <f t="shared" si="10"/>
        <v>304274.12181384279</v>
      </c>
      <c r="CU42" s="2"/>
      <c r="CV42" s="2"/>
      <c r="CW42" s="2"/>
      <c r="CX42" s="1">
        <f t="shared" si="11"/>
        <v>969771.03329928278</v>
      </c>
      <c r="CY42" s="2"/>
      <c r="CZ42" s="2"/>
      <c r="DA42" s="2"/>
      <c r="DB42" s="2"/>
      <c r="DC42" s="2"/>
      <c r="DD42" s="2"/>
      <c r="DE42" s="1">
        <f t="shared" si="12"/>
        <v>542921.86129886308</v>
      </c>
      <c r="DF42" s="2"/>
      <c r="DG42" s="2"/>
      <c r="DH42" s="2"/>
      <c r="DI42" s="2"/>
      <c r="DJ42" s="2"/>
      <c r="DK42" s="2"/>
      <c r="DL42" s="1">
        <f t="shared" si="13"/>
        <v>639162.17161521164</v>
      </c>
      <c r="DM42" s="2"/>
      <c r="DN42" s="2"/>
      <c r="DO42" s="2"/>
      <c r="DP42" s="2"/>
      <c r="DQ42" s="2"/>
      <c r="DR42" s="2"/>
      <c r="DS42" s="1">
        <f t="shared" si="14"/>
        <v>254141.72936263873</v>
      </c>
      <c r="DT42" s="2"/>
      <c r="DU42" s="2"/>
      <c r="DV42" s="2"/>
      <c r="DW42" s="2"/>
      <c r="DX42" s="2"/>
      <c r="DY42" s="2"/>
      <c r="DZ42" s="2"/>
      <c r="EA42" s="2"/>
      <c r="EB42" s="1">
        <f t="shared" si="15"/>
        <v>29769.829813928423</v>
      </c>
      <c r="EC42" s="2"/>
      <c r="ED42" s="2"/>
      <c r="EE42" s="1">
        <f t="shared" si="16"/>
        <v>80747.312902988167</v>
      </c>
      <c r="EF42" s="2"/>
      <c r="EG42" s="1">
        <f t="shared" si="16"/>
        <v>289480.58489017462</v>
      </c>
      <c r="EH42" s="2"/>
      <c r="HW42" s="4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15"/>
      <c r="JF42" s="15"/>
      <c r="JG42" s="2"/>
      <c r="JH42" s="15"/>
      <c r="JI42" s="15"/>
      <c r="JJ42" s="15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1">
        <f t="shared" si="17"/>
        <v>1762744.2519978711</v>
      </c>
      <c r="LU42" s="1">
        <f t="shared" si="18"/>
        <v>1297332.4704210672</v>
      </c>
    </row>
    <row r="43" spans="1:333">
      <c r="A43" s="1">
        <v>1406</v>
      </c>
      <c r="B43" s="1">
        <f t="shared" si="0"/>
        <v>7777496.815830457</v>
      </c>
      <c r="C43" s="1">
        <f t="shared" si="2"/>
        <v>2216610.8170462241</v>
      </c>
      <c r="K43" s="1">
        <f t="shared" si="3"/>
        <v>866155.00921073044</v>
      </c>
      <c r="U43" s="1">
        <f t="shared" si="4"/>
        <v>903886.80892093666</v>
      </c>
      <c r="AH43" s="1">
        <f t="shared" si="5"/>
        <v>2425225.675678757</v>
      </c>
      <c r="AT43" s="1">
        <f t="shared" si="6"/>
        <v>816195.21467372321</v>
      </c>
      <c r="BC43" s="1">
        <f t="shared" si="7"/>
        <v>549423.29030008579</v>
      </c>
      <c r="BI43" s="4">
        <f t="shared" si="1"/>
        <v>4732412.8495783173</v>
      </c>
      <c r="BJ43" s="2">
        <f t="shared" si="19"/>
        <v>475408.30939977925</v>
      </c>
      <c r="BK43" s="2"/>
      <c r="BL43" s="2"/>
      <c r="BM43" s="2"/>
      <c r="BN43" s="2"/>
      <c r="BO43" s="2"/>
      <c r="BP43" s="2"/>
      <c r="BQ43" s="1">
        <f t="shared" si="8"/>
        <v>449836.82246235327</v>
      </c>
      <c r="BR43" s="2"/>
      <c r="BS43" s="2"/>
      <c r="BT43" s="2"/>
      <c r="BU43" s="2"/>
      <c r="BV43" s="2"/>
      <c r="BW43" s="2"/>
      <c r="BX43" s="2"/>
      <c r="BY43" s="2"/>
      <c r="BZ43" s="1">
        <f t="shared" si="9"/>
        <v>685302.07771322841</v>
      </c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1">
        <f t="shared" si="10"/>
        <v>305308.6538280099</v>
      </c>
      <c r="CU43" s="2"/>
      <c r="CV43" s="2"/>
      <c r="CW43" s="2"/>
      <c r="CX43" s="1">
        <f t="shared" si="11"/>
        <v>973068.25481250044</v>
      </c>
      <c r="CY43" s="2"/>
      <c r="CZ43" s="2"/>
      <c r="DA43" s="2"/>
      <c r="DB43" s="2"/>
      <c r="DC43" s="2"/>
      <c r="DD43" s="2"/>
      <c r="DE43" s="1">
        <f t="shared" si="12"/>
        <v>544767.79562727921</v>
      </c>
      <c r="DF43" s="2"/>
      <c r="DG43" s="2"/>
      <c r="DH43" s="2"/>
      <c r="DI43" s="2"/>
      <c r="DJ43" s="2"/>
      <c r="DK43" s="2"/>
      <c r="DL43" s="1">
        <f t="shared" si="13"/>
        <v>641335.32299870346</v>
      </c>
      <c r="DM43" s="2"/>
      <c r="DN43" s="2"/>
      <c r="DO43" s="2"/>
      <c r="DP43" s="2"/>
      <c r="DQ43" s="2"/>
      <c r="DR43" s="2"/>
      <c r="DS43" s="1">
        <f t="shared" si="14"/>
        <v>255920.72146817716</v>
      </c>
      <c r="DT43" s="2"/>
      <c r="DU43" s="2"/>
      <c r="DV43" s="2"/>
      <c r="DW43" s="2"/>
      <c r="DX43" s="2"/>
      <c r="DY43" s="2"/>
      <c r="DZ43" s="2"/>
      <c r="EA43" s="2"/>
      <c r="EB43" s="1">
        <f t="shared" si="15"/>
        <v>29978.218622625918</v>
      </c>
      <c r="EC43" s="2"/>
      <c r="ED43" s="2"/>
      <c r="EE43" s="1">
        <f t="shared" si="16"/>
        <v>81021.85376685833</v>
      </c>
      <c r="EF43" s="2"/>
      <c r="EG43" s="1">
        <f t="shared" si="16"/>
        <v>290464.81887880125</v>
      </c>
      <c r="EH43" s="2"/>
      <c r="HW43" s="4"/>
      <c r="HX43" s="2"/>
      <c r="HY43" s="2"/>
      <c r="HZ43" s="2"/>
      <c r="IA43" s="15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15"/>
      <c r="IY43" s="2"/>
      <c r="IZ43" s="2"/>
      <c r="JA43" s="2"/>
      <c r="JB43" s="2"/>
      <c r="JC43" s="2"/>
      <c r="JD43" s="2"/>
      <c r="JE43" s="15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1">
        <f t="shared" si="17"/>
        <v>1768737.5824546639</v>
      </c>
      <c r="LU43" s="1">
        <f t="shared" si="18"/>
        <v>1301743.4008204988</v>
      </c>
    </row>
    <row r="44" spans="1:333">
      <c r="A44" s="1">
        <v>1407</v>
      </c>
      <c r="B44" s="1">
        <f t="shared" si="0"/>
        <v>7805887.3510042261</v>
      </c>
      <c r="C44" s="1">
        <f t="shared" si="2"/>
        <v>2224147.2938241814</v>
      </c>
      <c r="K44" s="1">
        <f t="shared" si="3"/>
        <v>870052.70675217872</v>
      </c>
      <c r="U44" s="1">
        <f t="shared" si="4"/>
        <v>907954.29956108087</v>
      </c>
      <c r="AH44" s="1">
        <f t="shared" si="5"/>
        <v>2433471.442976065</v>
      </c>
      <c r="AT44" s="1">
        <f t="shared" si="6"/>
        <v>818970.27840361395</v>
      </c>
      <c r="BC44" s="1">
        <f t="shared" si="7"/>
        <v>551291.32948710606</v>
      </c>
      <c r="BI44" s="4">
        <f t="shared" si="1"/>
        <v>4752017.2769718338</v>
      </c>
      <c r="BJ44" s="2">
        <f t="shared" si="19"/>
        <v>477357.48346831836</v>
      </c>
      <c r="BK44" s="2"/>
      <c r="BL44" s="2"/>
      <c r="BM44" s="2"/>
      <c r="BN44" s="2"/>
      <c r="BO44" s="2"/>
      <c r="BP44" s="2"/>
      <c r="BQ44" s="1">
        <f t="shared" si="8"/>
        <v>451051.3818830016</v>
      </c>
      <c r="BR44" s="2"/>
      <c r="BS44" s="2"/>
      <c r="BT44" s="2"/>
      <c r="BU44" s="2"/>
      <c r="BV44" s="2"/>
      <c r="BW44" s="2"/>
      <c r="BX44" s="2"/>
      <c r="BY44" s="2"/>
      <c r="BZ44" s="1">
        <f t="shared" si="9"/>
        <v>690099.19225722097</v>
      </c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1">
        <f t="shared" si="10"/>
        <v>306346.70325102517</v>
      </c>
      <c r="CU44" s="2"/>
      <c r="CV44" s="2"/>
      <c r="CW44" s="2"/>
      <c r="CX44" s="1">
        <f t="shared" si="11"/>
        <v>976376.68687886302</v>
      </c>
      <c r="CY44" s="2"/>
      <c r="CZ44" s="2"/>
      <c r="DA44" s="2"/>
      <c r="DB44" s="2"/>
      <c r="DC44" s="2"/>
      <c r="DD44" s="2"/>
      <c r="DE44" s="1">
        <f t="shared" si="12"/>
        <v>546620.006132412</v>
      </c>
      <c r="DF44" s="2"/>
      <c r="DG44" s="2"/>
      <c r="DH44" s="2"/>
      <c r="DI44" s="2"/>
      <c r="DJ44" s="2"/>
      <c r="DK44" s="2"/>
      <c r="DL44" s="1">
        <f t="shared" si="13"/>
        <v>643515.86309689912</v>
      </c>
      <c r="DM44" s="2"/>
      <c r="DN44" s="2"/>
      <c r="DO44" s="2"/>
      <c r="DP44" s="2"/>
      <c r="DQ44" s="2"/>
      <c r="DR44" s="2"/>
      <c r="DS44" s="1">
        <f t="shared" si="14"/>
        <v>257712.16651845438</v>
      </c>
      <c r="DT44" s="2"/>
      <c r="DU44" s="2"/>
      <c r="DV44" s="2"/>
      <c r="DW44" s="2"/>
      <c r="DX44" s="2"/>
      <c r="DY44" s="2"/>
      <c r="DZ44" s="2"/>
      <c r="EA44" s="2"/>
      <c r="EB44" s="1">
        <f t="shared" si="15"/>
        <v>30188.066152984298</v>
      </c>
      <c r="EC44" s="2"/>
      <c r="ED44" s="2"/>
      <c r="EE44" s="1">
        <f t="shared" si="16"/>
        <v>81297.328069665658</v>
      </c>
      <c r="EF44" s="2"/>
      <c r="EG44" s="1">
        <f t="shared" si="16"/>
        <v>291452.39926298917</v>
      </c>
      <c r="EH44" s="2"/>
      <c r="HW44" s="4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15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1">
        <f t="shared" si="17"/>
        <v>1774751.29023501</v>
      </c>
      <c r="LU44" s="1">
        <f t="shared" si="18"/>
        <v>1306169.3283832886</v>
      </c>
    </row>
    <row r="45" spans="1:333">
      <c r="A45" s="1">
        <v>1408</v>
      </c>
      <c r="B45" s="1">
        <f t="shared" si="0"/>
        <v>7834383.1757045854</v>
      </c>
      <c r="C45" s="1">
        <f t="shared" si="2"/>
        <v>2231709.3946231836</v>
      </c>
      <c r="K45" s="1">
        <f t="shared" si="3"/>
        <v>873967.94393256353</v>
      </c>
      <c r="U45" s="1">
        <f t="shared" si="4"/>
        <v>912040.09390910564</v>
      </c>
      <c r="AH45" s="1">
        <f t="shared" si="5"/>
        <v>2441745.2458821838</v>
      </c>
      <c r="AT45" s="1">
        <f t="shared" si="6"/>
        <v>821754.77735018625</v>
      </c>
      <c r="BC45" s="1">
        <f t="shared" si="7"/>
        <v>553165.72000736231</v>
      </c>
      <c r="BI45" s="4">
        <f t="shared" si="1"/>
        <v>4771713.3479143912</v>
      </c>
      <c r="BJ45" s="2">
        <f t="shared" si="19"/>
        <v>479314.64915053843</v>
      </c>
      <c r="BK45" s="2"/>
      <c r="BL45" s="2"/>
      <c r="BM45" s="2"/>
      <c r="BN45" s="2"/>
      <c r="BO45" s="2"/>
      <c r="BP45" s="2"/>
      <c r="BQ45" s="1">
        <f t="shared" si="8"/>
        <v>452269.22061408567</v>
      </c>
      <c r="BR45" s="2"/>
      <c r="BS45" s="2"/>
      <c r="BT45" s="2"/>
      <c r="BU45" s="2"/>
      <c r="BV45" s="2"/>
      <c r="BW45" s="2"/>
      <c r="BX45" s="2"/>
      <c r="BY45" s="2"/>
      <c r="BZ45" s="1">
        <f t="shared" si="9"/>
        <v>694929.88660302141</v>
      </c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1">
        <f t="shared" si="10"/>
        <v>307388.28204207867</v>
      </c>
      <c r="CU45" s="2"/>
      <c r="CV45" s="2"/>
      <c r="CW45" s="2"/>
      <c r="CX45" s="1">
        <f t="shared" si="11"/>
        <v>979696.36761425121</v>
      </c>
      <c r="CY45" s="2"/>
      <c r="CZ45" s="2"/>
      <c r="DA45" s="2"/>
      <c r="DB45" s="2"/>
      <c r="DC45" s="2"/>
      <c r="DD45" s="2"/>
      <c r="DE45" s="1">
        <f t="shared" si="12"/>
        <v>548478.51415326225</v>
      </c>
      <c r="DF45" s="2"/>
      <c r="DG45" s="2"/>
      <c r="DH45" s="2"/>
      <c r="DI45" s="2"/>
      <c r="DJ45" s="2"/>
      <c r="DK45" s="2"/>
      <c r="DL45" s="1">
        <f t="shared" si="13"/>
        <v>645703.81703142857</v>
      </c>
      <c r="DM45" s="2"/>
      <c r="DN45" s="2"/>
      <c r="DO45" s="2"/>
      <c r="DP45" s="2"/>
      <c r="DQ45" s="2"/>
      <c r="DR45" s="2"/>
      <c r="DS45" s="1">
        <f t="shared" si="14"/>
        <v>259516.15168408354</v>
      </c>
      <c r="DT45" s="2"/>
      <c r="DU45" s="2"/>
      <c r="DV45" s="2"/>
      <c r="DW45" s="2"/>
      <c r="DX45" s="2"/>
      <c r="DY45" s="2"/>
      <c r="DZ45" s="2"/>
      <c r="EA45" s="2"/>
      <c r="EB45" s="1">
        <f t="shared" si="15"/>
        <v>30399.382616055183</v>
      </c>
      <c r="EC45" s="2"/>
      <c r="ED45" s="2"/>
      <c r="EE45" s="1">
        <f t="shared" si="16"/>
        <v>81573.738985102522</v>
      </c>
      <c r="EF45" s="2"/>
      <c r="EG45" s="1">
        <f t="shared" si="16"/>
        <v>292443.33742048335</v>
      </c>
      <c r="EH45" s="2"/>
      <c r="HW45" s="4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1">
        <f t="shared" si="17"/>
        <v>1780785.4446218091</v>
      </c>
      <c r="LU45" s="1">
        <f t="shared" si="18"/>
        <v>1310610.3040997919</v>
      </c>
    </row>
    <row r="46" spans="1:333">
      <c r="A46" s="1">
        <v>1409</v>
      </c>
      <c r="B46" s="1">
        <f t="shared" si="0"/>
        <v>7862984.6873436067</v>
      </c>
      <c r="C46" s="1">
        <f t="shared" si="2"/>
        <v>2239297.2065649028</v>
      </c>
      <c r="K46" s="1">
        <f t="shared" si="3"/>
        <v>877900.79968026001</v>
      </c>
      <c r="U46" s="1">
        <f t="shared" si="4"/>
        <v>916144.27433169656</v>
      </c>
      <c r="AH46" s="1">
        <f t="shared" si="5"/>
        <v>2450047.1797181834</v>
      </c>
      <c r="AT46" s="1">
        <f t="shared" si="6"/>
        <v>824548.74359317694</v>
      </c>
      <c r="BC46" s="1">
        <f t="shared" si="7"/>
        <v>555046.48345538741</v>
      </c>
      <c r="BI46" s="4">
        <f t="shared" si="1"/>
        <v>4791501.5486125257</v>
      </c>
      <c r="BJ46" s="2">
        <f t="shared" si="19"/>
        <v>481279.83921205561</v>
      </c>
      <c r="BK46" s="2"/>
      <c r="BL46" s="2"/>
      <c r="BM46" s="2"/>
      <c r="BN46" s="2"/>
      <c r="BO46" s="2"/>
      <c r="BP46" s="2"/>
      <c r="BQ46" s="1">
        <f t="shared" si="8"/>
        <v>453490.34750974365</v>
      </c>
      <c r="BR46" s="2"/>
      <c r="BS46" s="2"/>
      <c r="BT46" s="2"/>
      <c r="BU46" s="2"/>
      <c r="BV46" s="2"/>
      <c r="BW46" s="2"/>
      <c r="BX46" s="2"/>
      <c r="BY46" s="2"/>
      <c r="BZ46" s="1">
        <f t="shared" si="9"/>
        <v>699794.3958092425</v>
      </c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1">
        <f t="shared" si="10"/>
        <v>308433.40220102179</v>
      </c>
      <c r="CU46" s="2"/>
      <c r="CV46" s="2"/>
      <c r="CW46" s="2"/>
      <c r="CX46" s="1">
        <f t="shared" si="11"/>
        <v>983027.33526413969</v>
      </c>
      <c r="CY46" s="2"/>
      <c r="CZ46" s="2"/>
      <c r="DA46" s="2"/>
      <c r="DB46" s="2"/>
      <c r="DC46" s="2"/>
      <c r="DD46" s="2"/>
      <c r="DE46" s="1">
        <f t="shared" si="12"/>
        <v>550343.34110138332</v>
      </c>
      <c r="DF46" s="2"/>
      <c r="DG46" s="2"/>
      <c r="DH46" s="2"/>
      <c r="DI46" s="2"/>
      <c r="DJ46" s="2"/>
      <c r="DK46" s="2"/>
      <c r="DL46" s="1">
        <f t="shared" si="13"/>
        <v>647899.21000933542</v>
      </c>
      <c r="DM46" s="2"/>
      <c r="DN46" s="2"/>
      <c r="DO46" s="2"/>
      <c r="DP46" s="2"/>
      <c r="DQ46" s="2"/>
      <c r="DR46" s="2"/>
      <c r="DS46" s="1">
        <f t="shared" si="14"/>
        <v>261332.76474587209</v>
      </c>
      <c r="DT46" s="2"/>
      <c r="DU46" s="2"/>
      <c r="DV46" s="2"/>
      <c r="DW46" s="2"/>
      <c r="DX46" s="2"/>
      <c r="DY46" s="2"/>
      <c r="DZ46" s="2"/>
      <c r="EA46" s="2"/>
      <c r="EB46" s="1">
        <f t="shared" si="15"/>
        <v>30612.178294367568</v>
      </c>
      <c r="EC46" s="2"/>
      <c r="ED46" s="2"/>
      <c r="EE46" s="1">
        <f t="shared" si="16"/>
        <v>81851.089697651871</v>
      </c>
      <c r="EF46" s="2"/>
      <c r="EG46" s="1">
        <f t="shared" si="16"/>
        <v>293437.64476771303</v>
      </c>
      <c r="EH46" s="2"/>
      <c r="HW46" s="4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1">
        <f t="shared" si="17"/>
        <v>1786840.1151335232</v>
      </c>
      <c r="LU46" s="1">
        <f t="shared" si="18"/>
        <v>1315066.3791337314</v>
      </c>
    </row>
    <row r="47" spans="1:333">
      <c r="A47" s="1">
        <v>1410</v>
      </c>
      <c r="B47" s="1">
        <f t="shared" si="0"/>
        <v>7891692.2848619884</v>
      </c>
      <c r="C47" s="1">
        <f t="shared" si="2"/>
        <v>2246910.8170672236</v>
      </c>
      <c r="K47" s="1">
        <f t="shared" si="3"/>
        <v>881851.3532788211</v>
      </c>
      <c r="U47" s="1">
        <f t="shared" si="4"/>
        <v>920266.92356618913</v>
      </c>
      <c r="AH47" s="1">
        <f t="shared" si="5"/>
        <v>2458377.3401292255</v>
      </c>
      <c r="AT47" s="1">
        <f t="shared" si="6"/>
        <v>827352.20932139375</v>
      </c>
      <c r="BC47" s="1">
        <f t="shared" si="7"/>
        <v>556933.64149913576</v>
      </c>
      <c r="BI47" s="4">
        <f t="shared" si="1"/>
        <v>4811382.3681418588</v>
      </c>
      <c r="BJ47" s="2">
        <f t="shared" si="19"/>
        <v>483253.08655282506</v>
      </c>
      <c r="BK47" s="2"/>
      <c r="BL47" s="2"/>
      <c r="BM47" s="2"/>
      <c r="BN47" s="2"/>
      <c r="BO47" s="2"/>
      <c r="BP47" s="2"/>
      <c r="BQ47" s="1">
        <f t="shared" si="8"/>
        <v>454714.77144801989</v>
      </c>
      <c r="BR47" s="2"/>
      <c r="BS47" s="2"/>
      <c r="BT47" s="2"/>
      <c r="BU47" s="2"/>
      <c r="BV47" s="2"/>
      <c r="BW47" s="2"/>
      <c r="BX47" s="2"/>
      <c r="BY47" s="2"/>
      <c r="BZ47" s="1">
        <f t="shared" si="9"/>
        <v>704692.9565799071</v>
      </c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1">
        <f t="shared" si="10"/>
        <v>309482.07576850528</v>
      </c>
      <c r="CU47" s="2"/>
      <c r="CV47" s="2"/>
      <c r="CW47" s="2"/>
      <c r="CX47" s="1">
        <f t="shared" si="11"/>
        <v>986369.62820403778</v>
      </c>
      <c r="CY47" s="2"/>
      <c r="CZ47" s="2"/>
      <c r="DA47" s="2"/>
      <c r="DB47" s="2"/>
      <c r="DC47" s="2"/>
      <c r="DD47" s="2"/>
      <c r="DE47" s="1">
        <f t="shared" si="12"/>
        <v>552214.50846112811</v>
      </c>
      <c r="DF47" s="2"/>
      <c r="DG47" s="2"/>
      <c r="DH47" s="2"/>
      <c r="DI47" s="2"/>
      <c r="DJ47" s="2"/>
      <c r="DK47" s="2"/>
      <c r="DL47" s="1">
        <f t="shared" si="13"/>
        <v>650102.06732336723</v>
      </c>
      <c r="DM47" s="2"/>
      <c r="DN47" s="2"/>
      <c r="DO47" s="2"/>
      <c r="DP47" s="2"/>
      <c r="DQ47" s="2"/>
      <c r="DR47" s="2"/>
      <c r="DS47" s="1">
        <f t="shared" si="14"/>
        <v>263162.09409909317</v>
      </c>
      <c r="DT47" s="2"/>
      <c r="DU47" s="2"/>
      <c r="DV47" s="2"/>
      <c r="DW47" s="2"/>
      <c r="DX47" s="2"/>
      <c r="DY47" s="2"/>
      <c r="DZ47" s="2"/>
      <c r="EA47" s="2"/>
      <c r="EB47" s="1">
        <f t="shared" si="15"/>
        <v>30826.463542428137</v>
      </c>
      <c r="EC47" s="2"/>
      <c r="ED47" s="2"/>
      <c r="EE47" s="1">
        <f t="shared" si="16"/>
        <v>82129.383402623891</v>
      </c>
      <c r="EF47" s="2"/>
      <c r="EG47" s="1">
        <f t="shared" si="16"/>
        <v>294435.3327599233</v>
      </c>
      <c r="EH47" s="2"/>
      <c r="HW47" s="4"/>
      <c r="HX47" s="2"/>
      <c r="HY47" s="2"/>
      <c r="HZ47" s="2"/>
      <c r="IA47" s="2"/>
      <c r="IB47" s="2"/>
      <c r="IC47" s="2"/>
      <c r="ID47" s="2"/>
      <c r="IE47" s="15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1">
        <f t="shared" si="17"/>
        <v>1792915.3715249773</v>
      </c>
      <c r="LU47" s="1">
        <f t="shared" si="18"/>
        <v>1319537.6048227861</v>
      </c>
    </row>
    <row r="48" spans="1:333">
      <c r="A48" s="1">
        <v>1411</v>
      </c>
      <c r="B48" s="1">
        <f t="shared" si="0"/>
        <v>7920506.3687350499</v>
      </c>
      <c r="C48" s="1">
        <f t="shared" si="2"/>
        <v>2254550.3138452522</v>
      </c>
      <c r="K48" s="1">
        <f t="shared" si="3"/>
        <v>885819.68436857581</v>
      </c>
      <c r="U48" s="1">
        <f t="shared" si="4"/>
        <v>924408.12472223688</v>
      </c>
      <c r="AH48" s="1">
        <f t="shared" si="5"/>
        <v>2466735.8230856652</v>
      </c>
      <c r="AT48" s="1">
        <f t="shared" si="6"/>
        <v>830165.20683308656</v>
      </c>
      <c r="BC48" s="1">
        <f t="shared" si="7"/>
        <v>558827.21588023286</v>
      </c>
      <c r="BI48" s="4">
        <f t="shared" si="1"/>
        <v>4831356.2984653115</v>
      </c>
      <c r="BJ48" s="2">
        <f t="shared" si="19"/>
        <v>485234.42420769163</v>
      </c>
      <c r="BK48" s="2"/>
      <c r="BL48" s="2"/>
      <c r="BM48" s="2"/>
      <c r="BN48" s="2"/>
      <c r="BO48" s="2"/>
      <c r="BP48" s="2"/>
      <c r="BQ48" s="1">
        <f t="shared" si="8"/>
        <v>455942.50133092952</v>
      </c>
      <c r="BR48" s="2"/>
      <c r="BS48" s="2"/>
      <c r="BT48" s="2"/>
      <c r="BU48" s="2"/>
      <c r="BV48" s="2"/>
      <c r="BW48" s="2"/>
      <c r="BX48" s="2"/>
      <c r="BY48" s="2"/>
      <c r="BZ48" s="1">
        <f t="shared" si="9"/>
        <v>709625.80727596639</v>
      </c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1">
        <f t="shared" si="10"/>
        <v>310534.31482611824</v>
      </c>
      <c r="CU48" s="2"/>
      <c r="CV48" s="2"/>
      <c r="CW48" s="2"/>
      <c r="CX48" s="1">
        <f t="shared" si="11"/>
        <v>989723.28493993159</v>
      </c>
      <c r="CY48" s="2"/>
      <c r="CZ48" s="2"/>
      <c r="DA48" s="2"/>
      <c r="DB48" s="2"/>
      <c r="DC48" s="2"/>
      <c r="DD48" s="2"/>
      <c r="DE48" s="1">
        <f t="shared" si="12"/>
        <v>554092.03778989601</v>
      </c>
      <c r="DF48" s="2"/>
      <c r="DG48" s="2"/>
      <c r="DH48" s="2"/>
      <c r="DI48" s="2"/>
      <c r="DJ48" s="2"/>
      <c r="DK48" s="2"/>
      <c r="DL48" s="1">
        <f t="shared" si="13"/>
        <v>652312.4143522667</v>
      </c>
      <c r="DM48" s="2"/>
      <c r="DN48" s="2"/>
      <c r="DO48" s="2"/>
      <c r="DP48" s="2"/>
      <c r="DQ48" s="2"/>
      <c r="DR48" s="2"/>
      <c r="DS48" s="1">
        <f t="shared" si="14"/>
        <v>265004.2287577868</v>
      </c>
      <c r="DT48" s="2"/>
      <c r="DU48" s="2"/>
      <c r="DV48" s="2"/>
      <c r="DW48" s="2"/>
      <c r="DX48" s="2"/>
      <c r="DY48" s="2"/>
      <c r="DZ48" s="2"/>
      <c r="EA48" s="2"/>
      <c r="EB48" s="1">
        <f t="shared" si="15"/>
        <v>31042.248787225129</v>
      </c>
      <c r="EC48" s="2"/>
      <c r="ED48" s="2"/>
      <c r="EE48" s="1">
        <f t="shared" si="16"/>
        <v>82408.623306192821</v>
      </c>
      <c r="EF48" s="2"/>
      <c r="EG48" s="1">
        <f t="shared" si="16"/>
        <v>295436.41289130709</v>
      </c>
      <c r="EH48" s="2"/>
      <c r="HW48" s="4"/>
      <c r="HX48" s="15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1">
        <f t="shared" si="17"/>
        <v>1799011.2837881623</v>
      </c>
      <c r="LU48" s="1">
        <f t="shared" si="18"/>
        <v>1324024.0326791836</v>
      </c>
    </row>
    <row r="49" spans="1:333">
      <c r="A49" s="1">
        <v>1412</v>
      </c>
      <c r="B49" s="1">
        <f t="shared" si="0"/>
        <v>7949427.3409787491</v>
      </c>
      <c r="C49" s="1">
        <f t="shared" si="2"/>
        <v>2262215.7849123264</v>
      </c>
      <c r="K49" s="1">
        <f t="shared" si="3"/>
        <v>889805.87294823432</v>
      </c>
      <c r="U49" s="1">
        <f t="shared" si="4"/>
        <v>928567.96128348692</v>
      </c>
      <c r="AH49" s="1">
        <f t="shared" si="5"/>
        <v>2475122.7248841566</v>
      </c>
      <c r="AT49" s="1">
        <f t="shared" si="6"/>
        <v>832987.76853631914</v>
      </c>
      <c r="BC49" s="1">
        <f t="shared" si="7"/>
        <v>560727.22841422574</v>
      </c>
      <c r="BI49" s="4">
        <f t="shared" si="1"/>
        <v>4851423.834451464</v>
      </c>
      <c r="BJ49" s="2">
        <f t="shared" si="19"/>
        <v>487223.88534694316</v>
      </c>
      <c r="BK49" s="2"/>
      <c r="BL49" s="2"/>
      <c r="BM49" s="2"/>
      <c r="BN49" s="2"/>
      <c r="BO49" s="2"/>
      <c r="BP49" s="2"/>
      <c r="BQ49" s="1">
        <f t="shared" si="8"/>
        <v>457173.54608452297</v>
      </c>
      <c r="BR49" s="2"/>
      <c r="BS49" s="2"/>
      <c r="BT49" s="2"/>
      <c r="BU49" s="2"/>
      <c r="BV49" s="2"/>
      <c r="BW49" s="2"/>
      <c r="BX49" s="2"/>
      <c r="BY49" s="2"/>
      <c r="BZ49" s="1">
        <f t="shared" si="9"/>
        <v>714593.18792689813</v>
      </c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1">
        <f t="shared" si="10"/>
        <v>311590.13149652706</v>
      </c>
      <c r="CU49" s="2"/>
      <c r="CV49" s="2"/>
      <c r="CW49" s="2"/>
      <c r="CX49" s="1">
        <f t="shared" si="11"/>
        <v>993088.34410872741</v>
      </c>
      <c r="CY49" s="2"/>
      <c r="CZ49" s="2"/>
      <c r="DA49" s="2"/>
      <c r="DB49" s="2"/>
      <c r="DC49" s="2"/>
      <c r="DD49" s="2"/>
      <c r="DE49" s="1">
        <f t="shared" si="12"/>
        <v>555975.95071838167</v>
      </c>
      <c r="DF49" s="2"/>
      <c r="DG49" s="2"/>
      <c r="DH49" s="2"/>
      <c r="DI49" s="2"/>
      <c r="DJ49" s="2"/>
      <c r="DK49" s="2"/>
      <c r="DL49" s="1">
        <f t="shared" si="13"/>
        <v>654530.27656106441</v>
      </c>
      <c r="DM49" s="2"/>
      <c r="DN49" s="2"/>
      <c r="DO49" s="2"/>
      <c r="DP49" s="2"/>
      <c r="DQ49" s="2"/>
      <c r="DR49" s="2"/>
      <c r="DS49" s="1">
        <f t="shared" si="14"/>
        <v>266859.2583590913</v>
      </c>
      <c r="DT49" s="2"/>
      <c r="DU49" s="2"/>
      <c r="DV49" s="2"/>
      <c r="DW49" s="2"/>
      <c r="DX49" s="2"/>
      <c r="DY49" s="2"/>
      <c r="DZ49" s="2"/>
      <c r="EA49" s="2"/>
      <c r="EB49" s="1">
        <f t="shared" si="15"/>
        <v>31259.544528735703</v>
      </c>
      <c r="EC49" s="2"/>
      <c r="ED49" s="2"/>
      <c r="EE49" s="1">
        <f t="shared" si="16"/>
        <v>82688.812625433886</v>
      </c>
      <c r="EF49" s="2"/>
      <c r="EG49" s="1">
        <f t="shared" si="16"/>
        <v>296440.89669513755</v>
      </c>
      <c r="EH49" s="2"/>
      <c r="HW49" s="4"/>
      <c r="HX49" s="2">
        <v>1126119</v>
      </c>
      <c r="HY49" s="2"/>
      <c r="HZ49" s="2"/>
      <c r="IA49" s="2"/>
      <c r="IB49" s="2"/>
      <c r="IC49" s="2"/>
      <c r="ID49" s="2"/>
      <c r="IE49" s="15"/>
      <c r="IF49" s="15"/>
      <c r="IG49" s="2"/>
      <c r="IH49" s="2"/>
      <c r="II49" s="15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15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15"/>
      <c r="KR49" s="2"/>
      <c r="KS49" s="2"/>
      <c r="KT49" s="15"/>
      <c r="KU49" s="2"/>
      <c r="KV49" s="2"/>
      <c r="KW49" s="2"/>
      <c r="KX49" s="2"/>
      <c r="KY49" s="15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15"/>
      <c r="LM49" s="2"/>
      <c r="LN49" s="2"/>
      <c r="LO49" s="1">
        <f t="shared" si="17"/>
        <v>1805127.9221530422</v>
      </c>
      <c r="LU49" s="1">
        <f t="shared" si="18"/>
        <v>1328525.714390293</v>
      </c>
    </row>
    <row r="50" spans="1:333">
      <c r="A50" s="1">
        <v>1413</v>
      </c>
      <c r="B50" s="1">
        <f t="shared" si="0"/>
        <v>7978455.6051557325</v>
      </c>
      <c r="C50" s="1">
        <f t="shared" si="2"/>
        <v>2269907.3185810284</v>
      </c>
      <c r="K50" s="1">
        <f t="shared" si="3"/>
        <v>893809.99937650131</v>
      </c>
      <c r="U50" s="1">
        <f t="shared" si="4"/>
        <v>932746.51710926252</v>
      </c>
      <c r="AH50" s="1">
        <f t="shared" si="5"/>
        <v>2483538.1421487629</v>
      </c>
      <c r="AT50" s="1">
        <f t="shared" si="6"/>
        <v>835819.92694934271</v>
      </c>
      <c r="BC50" s="1">
        <f t="shared" si="7"/>
        <v>562633.70099083416</v>
      </c>
      <c r="BI50" s="4">
        <f t="shared" si="1"/>
        <v>4871585.4738930147</v>
      </c>
      <c r="BJ50" s="2">
        <f t="shared" si="19"/>
        <v>489221.50327686564</v>
      </c>
      <c r="BK50" s="2"/>
      <c r="BL50" s="2"/>
      <c r="BM50" s="2"/>
      <c r="BN50" s="2"/>
      <c r="BO50" s="2"/>
      <c r="BP50" s="2"/>
      <c r="BQ50" s="1">
        <f t="shared" si="8"/>
        <v>458407.91465895117</v>
      </c>
      <c r="BR50" s="2"/>
      <c r="BS50" s="2"/>
      <c r="BT50" s="2"/>
      <c r="BU50" s="2"/>
      <c r="BV50" s="2"/>
      <c r="BW50" s="2"/>
      <c r="BX50" s="2"/>
      <c r="BY50" s="2"/>
      <c r="BZ50" s="1">
        <f t="shared" si="9"/>
        <v>719595.34024238633</v>
      </c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1">
        <f t="shared" si="10"/>
        <v>312649.53794361529</v>
      </c>
      <c r="CU50" s="2"/>
      <c r="CV50" s="2"/>
      <c r="CW50" s="2"/>
      <c r="CX50" s="1">
        <f t="shared" si="11"/>
        <v>996464.84447869717</v>
      </c>
      <c r="CY50" s="2"/>
      <c r="CZ50" s="2"/>
      <c r="DA50" s="2"/>
      <c r="DB50" s="2"/>
      <c r="DC50" s="2"/>
      <c r="DD50" s="2"/>
      <c r="DE50" s="1">
        <f t="shared" si="12"/>
        <v>557866.26895082416</v>
      </c>
      <c r="DF50" s="2"/>
      <c r="DG50" s="2"/>
      <c r="DH50" s="2"/>
      <c r="DI50" s="2"/>
      <c r="DJ50" s="2"/>
      <c r="DK50" s="2"/>
      <c r="DL50" s="1">
        <f t="shared" si="13"/>
        <v>656755.67950137204</v>
      </c>
      <c r="DM50" s="2"/>
      <c r="DN50" s="2"/>
      <c r="DO50" s="2"/>
      <c r="DP50" s="2"/>
      <c r="DQ50" s="2"/>
      <c r="DR50" s="2"/>
      <c r="DS50" s="1">
        <f t="shared" si="14"/>
        <v>268727.27316760493</v>
      </c>
      <c r="DT50" s="2"/>
      <c r="DU50" s="2"/>
      <c r="DV50" s="2"/>
      <c r="DW50" s="2"/>
      <c r="DX50" s="2"/>
      <c r="DY50" s="2"/>
      <c r="DZ50" s="2"/>
      <c r="EA50" s="2"/>
      <c r="EB50" s="1">
        <f t="shared" si="15"/>
        <v>31478.361340436852</v>
      </c>
      <c r="EC50" s="2"/>
      <c r="ED50" s="2"/>
      <c r="EE50" s="1">
        <f t="shared" si="16"/>
        <v>82969.954588360371</v>
      </c>
      <c r="EF50" s="2"/>
      <c r="EG50" s="1">
        <f t="shared" si="16"/>
        <v>297448.79574390105</v>
      </c>
      <c r="EH50" s="2"/>
      <c r="HW50" s="4"/>
      <c r="HX50" s="2">
        <f>HX49*1.0045</f>
        <v>1131186.5355</v>
      </c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1">
        <f t="shared" si="17"/>
        <v>1811265.3570883626</v>
      </c>
      <c r="LU50" s="1">
        <f t="shared" si="18"/>
        <v>1333042.7018192201</v>
      </c>
    </row>
    <row r="51" spans="1:333">
      <c r="A51" s="1">
        <v>1414</v>
      </c>
      <c r="B51" s="1">
        <f t="shared" si="0"/>
        <v>8007591.5663813967</v>
      </c>
      <c r="C51" s="1">
        <f t="shared" si="2"/>
        <v>2277625.0034642043</v>
      </c>
      <c r="K51" s="1">
        <f t="shared" si="3"/>
        <v>897832.14437369548</v>
      </c>
      <c r="U51" s="1">
        <f t="shared" si="4"/>
        <v>936943.87643625413</v>
      </c>
      <c r="AH51" s="1">
        <f t="shared" si="5"/>
        <v>2491982.1718320688</v>
      </c>
      <c r="AT51" s="1">
        <f t="shared" si="6"/>
        <v>838661.71470097057</v>
      </c>
      <c r="BC51" s="1">
        <f t="shared" si="7"/>
        <v>564546.655574203</v>
      </c>
      <c r="BI51" s="4">
        <f t="shared" si="1"/>
        <v>4891841.7175253853</v>
      </c>
      <c r="BJ51" s="2">
        <f t="shared" si="19"/>
        <v>491227.31144030078</v>
      </c>
      <c r="BK51" s="2"/>
      <c r="BL51" s="2"/>
      <c r="BM51" s="2"/>
      <c r="BN51" s="2"/>
      <c r="BO51" s="2"/>
      <c r="BP51" s="2"/>
      <c r="BQ51" s="1">
        <f t="shared" si="8"/>
        <v>459645.61602853029</v>
      </c>
      <c r="BR51" s="2"/>
      <c r="BS51" s="2"/>
      <c r="BT51" s="2"/>
      <c r="BU51" s="2"/>
      <c r="BV51" s="2"/>
      <c r="BW51" s="2"/>
      <c r="BX51" s="2"/>
      <c r="BY51" s="2"/>
      <c r="BZ51" s="1">
        <f t="shared" si="9"/>
        <v>724632.50762408297</v>
      </c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1">
        <f t="shared" si="10"/>
        <v>313712.54637262359</v>
      </c>
      <c r="CU51" s="2"/>
      <c r="CV51" s="2"/>
      <c r="CW51" s="2"/>
      <c r="CX51" s="1">
        <f t="shared" si="11"/>
        <v>999852.82494992483</v>
      </c>
      <c r="CY51" s="2"/>
      <c r="CZ51" s="2"/>
      <c r="DA51" s="2"/>
      <c r="DB51" s="2"/>
      <c r="DC51" s="2"/>
      <c r="DD51" s="2"/>
      <c r="DE51" s="1">
        <f t="shared" si="12"/>
        <v>559763.01426525705</v>
      </c>
      <c r="DF51" s="2"/>
      <c r="DG51" s="2"/>
      <c r="DH51" s="2"/>
      <c r="DI51" s="2"/>
      <c r="DJ51" s="2"/>
      <c r="DK51" s="2"/>
      <c r="DL51" s="1">
        <f t="shared" si="13"/>
        <v>658988.64881167677</v>
      </c>
      <c r="DM51" s="2"/>
      <c r="DN51" s="2"/>
      <c r="DO51" s="2"/>
      <c r="DP51" s="2"/>
      <c r="DQ51" s="2"/>
      <c r="DR51" s="2"/>
      <c r="DS51" s="1">
        <f t="shared" si="14"/>
        <v>270608.36407977814</v>
      </c>
      <c r="DT51" s="2"/>
      <c r="DU51" s="2"/>
      <c r="DV51" s="2"/>
      <c r="DW51" s="2"/>
      <c r="DX51" s="2"/>
      <c r="DY51" s="2"/>
      <c r="DZ51" s="2"/>
      <c r="EA51" s="2"/>
      <c r="EB51" s="1">
        <f t="shared" si="15"/>
        <v>31698.709869819908</v>
      </c>
      <c r="EC51" s="2"/>
      <c r="ED51" s="2"/>
      <c r="EE51" s="1">
        <f t="shared" si="16"/>
        <v>83252.052433960809</v>
      </c>
      <c r="EF51" s="2"/>
      <c r="EG51" s="1">
        <f t="shared" si="16"/>
        <v>298460.12164943031</v>
      </c>
      <c r="EH51" s="2"/>
      <c r="HW51" s="4"/>
      <c r="HX51" s="2">
        <f t="shared" ref="HX51:HX114" si="20">HX50*1.0045</f>
        <v>1136276.87490975</v>
      </c>
      <c r="HY51" s="2"/>
      <c r="HZ51" s="2"/>
      <c r="IA51" s="15"/>
      <c r="IB51" s="15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15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1">
        <f t="shared" si="17"/>
        <v>1817423.6593024631</v>
      </c>
      <c r="LU51" s="1">
        <f t="shared" si="18"/>
        <v>1337575.0470054056</v>
      </c>
    </row>
    <row r="52" spans="1:333">
      <c r="A52" s="1">
        <v>1415</v>
      </c>
      <c r="B52" s="1">
        <f t="shared" si="0"/>
        <v>8036835.6313299844</v>
      </c>
      <c r="C52" s="1">
        <f t="shared" si="2"/>
        <v>2285368.9284759825</v>
      </c>
      <c r="K52" s="1">
        <f t="shared" si="3"/>
        <v>901872.38902337709</v>
      </c>
      <c r="U52" s="1">
        <f t="shared" si="4"/>
        <v>941160.1238802172</v>
      </c>
      <c r="AH52" s="1">
        <f t="shared" si="5"/>
        <v>2500454.9112162981</v>
      </c>
      <c r="AT52" s="1">
        <f t="shared" si="6"/>
        <v>841513.16453095397</v>
      </c>
      <c r="BC52" s="1">
        <f t="shared" si="7"/>
        <v>566466.11420315539</v>
      </c>
      <c r="BI52" s="4">
        <f t="shared" si="1"/>
        <v>4912193.0690454254</v>
      </c>
      <c r="BJ52" s="2">
        <f t="shared" si="19"/>
        <v>493241.34341720602</v>
      </c>
      <c r="BK52" s="2"/>
      <c r="BL52" s="2"/>
      <c r="BM52" s="2"/>
      <c r="BN52" s="2"/>
      <c r="BO52" s="2"/>
      <c r="BP52" s="2"/>
      <c r="BQ52" s="1">
        <f t="shared" si="8"/>
        <v>460886.65919180727</v>
      </c>
      <c r="BR52" s="2"/>
      <c r="BS52" s="2"/>
      <c r="BT52" s="2"/>
      <c r="BU52" s="2"/>
      <c r="BV52" s="2"/>
      <c r="BW52" s="2"/>
      <c r="BX52" s="2"/>
      <c r="BY52" s="2"/>
      <c r="BZ52" s="1">
        <f t="shared" si="9"/>
        <v>729704.93517745147</v>
      </c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1">
        <f t="shared" si="10"/>
        <v>314779.1690302905</v>
      </c>
      <c r="CU52" s="2"/>
      <c r="CV52" s="2"/>
      <c r="CW52" s="2"/>
      <c r="CX52" s="1">
        <f t="shared" si="11"/>
        <v>1003252.3245547547</v>
      </c>
      <c r="CY52" s="2"/>
      <c r="CZ52" s="2"/>
      <c r="DA52" s="2"/>
      <c r="DB52" s="2"/>
      <c r="DC52" s="2"/>
      <c r="DD52" s="2"/>
      <c r="DE52" s="1">
        <f t="shared" si="12"/>
        <v>561666.20851375896</v>
      </c>
      <c r="DF52" s="2"/>
      <c r="DG52" s="2"/>
      <c r="DH52" s="2"/>
      <c r="DI52" s="2"/>
      <c r="DJ52" s="2"/>
      <c r="DK52" s="2"/>
      <c r="DL52" s="1">
        <f t="shared" si="13"/>
        <v>661229.21021763654</v>
      </c>
      <c r="DM52" s="2"/>
      <c r="DN52" s="2"/>
      <c r="DO52" s="2"/>
      <c r="DP52" s="2"/>
      <c r="DQ52" s="2"/>
      <c r="DR52" s="2"/>
      <c r="DS52" s="1">
        <f t="shared" si="14"/>
        <v>272502.62262833654</v>
      </c>
      <c r="DT52" s="2"/>
      <c r="DU52" s="2"/>
      <c r="DV52" s="2"/>
      <c r="DW52" s="2"/>
      <c r="DX52" s="2"/>
      <c r="DY52" s="2"/>
      <c r="DZ52" s="2"/>
      <c r="EA52" s="2"/>
      <c r="EB52" s="1">
        <f t="shared" si="15"/>
        <v>31920.600838908646</v>
      </c>
      <c r="EC52" s="2"/>
      <c r="ED52" s="2"/>
      <c r="EE52" s="1">
        <f t="shared" si="16"/>
        <v>83535.109412236285</v>
      </c>
      <c r="EF52" s="2"/>
      <c r="EG52" s="1">
        <f t="shared" si="16"/>
        <v>299474.88606303837</v>
      </c>
      <c r="EH52" s="2"/>
      <c r="HW52" s="4"/>
      <c r="HX52" s="2">
        <f t="shared" si="20"/>
        <v>1141390.1208468438</v>
      </c>
      <c r="HY52" s="2"/>
      <c r="HZ52" s="2"/>
      <c r="IA52" s="2"/>
      <c r="IB52" s="15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15"/>
      <c r="LM52" s="2"/>
      <c r="LN52" s="2"/>
      <c r="LO52" s="1">
        <f t="shared" si="17"/>
        <v>1823602.8997440916</v>
      </c>
      <c r="LU52" s="1">
        <f t="shared" si="18"/>
        <v>1342122.8021652242</v>
      </c>
    </row>
    <row r="53" spans="1:333">
      <c r="A53" s="1">
        <v>1416</v>
      </c>
      <c r="B53" s="1">
        <f t="shared" si="0"/>
        <v>8066188.2082407009</v>
      </c>
      <c r="C53" s="1">
        <f t="shared" si="2"/>
        <v>2293139.1828328008</v>
      </c>
      <c r="K53" s="1">
        <f t="shared" si="3"/>
        <v>905930.81477398227</v>
      </c>
      <c r="U53" s="1">
        <f t="shared" si="4"/>
        <v>945395.34443767811</v>
      </c>
      <c r="AH53" s="1">
        <f t="shared" si="5"/>
        <v>2508956.4579144339</v>
      </c>
      <c r="AT53" s="1">
        <f t="shared" si="6"/>
        <v>844374.30929035926</v>
      </c>
      <c r="BC53" s="1">
        <f t="shared" si="7"/>
        <v>568392.0989914462</v>
      </c>
      <c r="BI53" s="4">
        <f t="shared" si="1"/>
        <v>4932640.0351302577</v>
      </c>
      <c r="BJ53" s="2">
        <f t="shared" si="19"/>
        <v>495263.63292521657</v>
      </c>
      <c r="BK53" s="2"/>
      <c r="BL53" s="2"/>
      <c r="BM53" s="2"/>
      <c r="BN53" s="2"/>
      <c r="BO53" s="2"/>
      <c r="BP53" s="2"/>
      <c r="BQ53" s="1">
        <f t="shared" si="8"/>
        <v>462131.05317162513</v>
      </c>
      <c r="BR53" s="2"/>
      <c r="BS53" s="2"/>
      <c r="BT53" s="2"/>
      <c r="BU53" s="2"/>
      <c r="BV53" s="2"/>
      <c r="BW53" s="2"/>
      <c r="BX53" s="2"/>
      <c r="BY53" s="2"/>
      <c r="BZ53" s="1">
        <f t="shared" si="9"/>
        <v>734812.86972369358</v>
      </c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1">
        <f t="shared" si="10"/>
        <v>315849.41820499353</v>
      </c>
      <c r="CU53" s="2"/>
      <c r="CV53" s="2"/>
      <c r="CW53" s="2"/>
      <c r="CX53" s="1">
        <f t="shared" si="11"/>
        <v>1006663.3824582408</v>
      </c>
      <c r="CY53" s="2"/>
      <c r="CZ53" s="2"/>
      <c r="DA53" s="2"/>
      <c r="DB53" s="2"/>
      <c r="DC53" s="2"/>
      <c r="DD53" s="2"/>
      <c r="DE53" s="1">
        <f t="shared" si="12"/>
        <v>563575.87362270581</v>
      </c>
      <c r="DF53" s="2"/>
      <c r="DG53" s="2"/>
      <c r="DH53" s="2"/>
      <c r="DI53" s="2"/>
      <c r="DJ53" s="2"/>
      <c r="DK53" s="2"/>
      <c r="DL53" s="1">
        <f t="shared" si="13"/>
        <v>663477.38953237655</v>
      </c>
      <c r="DM53" s="2"/>
      <c r="DN53" s="2"/>
      <c r="DO53" s="2"/>
      <c r="DP53" s="2"/>
      <c r="DQ53" s="2"/>
      <c r="DR53" s="2"/>
      <c r="DS53" s="1">
        <f t="shared" si="14"/>
        <v>274410.14098673488</v>
      </c>
      <c r="DT53" s="2"/>
      <c r="DU53" s="2"/>
      <c r="DV53" s="2"/>
      <c r="DW53" s="2"/>
      <c r="DX53" s="2"/>
      <c r="DY53" s="2"/>
      <c r="DZ53" s="2"/>
      <c r="EA53" s="2"/>
      <c r="EB53" s="1">
        <f t="shared" si="15"/>
        <v>32144.045044781004</v>
      </c>
      <c r="EC53" s="2"/>
      <c r="ED53" s="2"/>
      <c r="EE53" s="1">
        <f t="shared" si="16"/>
        <v>83819.128784237895</v>
      </c>
      <c r="EF53" s="2"/>
      <c r="EG53" s="1">
        <f t="shared" si="16"/>
        <v>300493.10067565273</v>
      </c>
      <c r="EH53" s="2"/>
      <c r="HW53" s="4"/>
      <c r="HX53" s="2">
        <f t="shared" si="20"/>
        <v>1146526.3763906546</v>
      </c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15"/>
      <c r="IX53" s="15"/>
      <c r="IY53" s="2"/>
      <c r="IZ53" s="2"/>
      <c r="JA53" s="2"/>
      <c r="JB53" s="2"/>
      <c r="JC53" s="2"/>
      <c r="JD53" s="2"/>
      <c r="JE53" s="15"/>
      <c r="JF53" s="15"/>
      <c r="JG53" s="2"/>
      <c r="JH53" s="15"/>
      <c r="JI53" s="15"/>
      <c r="JJ53" s="15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1">
        <f t="shared" si="17"/>
        <v>1829803.1496032216</v>
      </c>
      <c r="LU53" s="1">
        <f t="shared" si="18"/>
        <v>1346686.019692586</v>
      </c>
    </row>
    <row r="54" spans="1:333">
      <c r="A54" s="1">
        <v>1417</v>
      </c>
      <c r="B54" s="1">
        <f t="shared" si="0"/>
        <v>8095649.7069238517</v>
      </c>
      <c r="C54" s="1">
        <f t="shared" si="2"/>
        <v>2300935.8560544327</v>
      </c>
      <c r="K54" s="1">
        <f t="shared" si="3"/>
        <v>910007.5034404652</v>
      </c>
      <c r="U54" s="1">
        <f t="shared" si="4"/>
        <v>949649.62348764762</v>
      </c>
      <c r="AH54" s="1">
        <f t="shared" si="5"/>
        <v>2517486.9098713431</v>
      </c>
      <c r="AT54" s="1">
        <f t="shared" si="6"/>
        <v>847245.1819419465</v>
      </c>
      <c r="BC54" s="1">
        <f t="shared" si="7"/>
        <v>570324.63212801714</v>
      </c>
      <c r="BI54" s="4">
        <f t="shared" si="1"/>
        <v>4953183.1254562475</v>
      </c>
      <c r="BJ54" s="2">
        <f t="shared" si="19"/>
        <v>497294.21382020996</v>
      </c>
      <c r="BK54" s="2"/>
      <c r="BL54" s="2"/>
      <c r="BM54" s="2"/>
      <c r="BN54" s="2"/>
      <c r="BO54" s="2"/>
      <c r="BP54" s="2"/>
      <c r="BQ54" s="1">
        <f t="shared" si="8"/>
        <v>463378.8070151885</v>
      </c>
      <c r="BR54" s="2"/>
      <c r="BS54" s="2"/>
      <c r="BT54" s="2"/>
      <c r="BU54" s="2"/>
      <c r="BV54" s="2"/>
      <c r="BW54" s="2"/>
      <c r="BX54" s="2"/>
      <c r="BY54" s="2"/>
      <c r="BZ54" s="1">
        <f t="shared" si="9"/>
        <v>739956.55981175939</v>
      </c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1">
        <f t="shared" si="10"/>
        <v>316923.30622689053</v>
      </c>
      <c r="CU54" s="2"/>
      <c r="CV54" s="2"/>
      <c r="CW54" s="2"/>
      <c r="CX54" s="1">
        <f t="shared" si="11"/>
        <v>1010086.0379585989</v>
      </c>
      <c r="CY54" s="2"/>
      <c r="CZ54" s="2"/>
      <c r="DA54" s="2"/>
      <c r="DB54" s="2"/>
      <c r="DC54" s="2"/>
      <c r="DD54" s="2"/>
      <c r="DE54" s="1">
        <f t="shared" si="12"/>
        <v>565492.0315930231</v>
      </c>
      <c r="DF54" s="2"/>
      <c r="DG54" s="2"/>
      <c r="DH54" s="2"/>
      <c r="DI54" s="2"/>
      <c r="DJ54" s="2"/>
      <c r="DK54" s="2"/>
      <c r="DL54" s="1">
        <f t="shared" si="13"/>
        <v>665733.21265678667</v>
      </c>
      <c r="DM54" s="2"/>
      <c r="DN54" s="2"/>
      <c r="DO54" s="2"/>
      <c r="DP54" s="2"/>
      <c r="DQ54" s="2"/>
      <c r="DR54" s="2"/>
      <c r="DS54" s="1">
        <f t="shared" si="14"/>
        <v>276331.01197364199</v>
      </c>
      <c r="DT54" s="2"/>
      <c r="DU54" s="2"/>
      <c r="DV54" s="2"/>
      <c r="DW54" s="2"/>
      <c r="DX54" s="2"/>
      <c r="DY54" s="2"/>
      <c r="DZ54" s="2"/>
      <c r="EA54" s="2"/>
      <c r="EB54" s="1">
        <f t="shared" si="15"/>
        <v>32369.053360094465</v>
      </c>
      <c r="EC54" s="2"/>
      <c r="ED54" s="2"/>
      <c r="EE54" s="1">
        <f t="shared" si="16"/>
        <v>84104.113822104307</v>
      </c>
      <c r="EF54" s="2"/>
      <c r="EG54" s="1">
        <f t="shared" si="16"/>
        <v>301514.77721794997</v>
      </c>
      <c r="EH54" s="2"/>
      <c r="HW54" s="4"/>
      <c r="HX54" s="2">
        <f t="shared" si="20"/>
        <v>1151685.7450844124</v>
      </c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1">
        <f t="shared" si="17"/>
        <v>1836024.4803118727</v>
      </c>
      <c r="LU54" s="1">
        <f t="shared" si="18"/>
        <v>1351264.752159541</v>
      </c>
    </row>
    <row r="55" spans="1:333">
      <c r="A55" s="1">
        <v>1418</v>
      </c>
      <c r="B55" s="1">
        <f t="shared" si="0"/>
        <v>8125220.5387670146</v>
      </c>
      <c r="C55" s="1">
        <f t="shared" si="2"/>
        <v>2308759.0379650178</v>
      </c>
      <c r="K55" s="1">
        <f t="shared" si="3"/>
        <v>914102.53720594721</v>
      </c>
      <c r="U55" s="1">
        <f t="shared" si="4"/>
        <v>953923.04679334199</v>
      </c>
      <c r="AH55" s="1">
        <f t="shared" si="5"/>
        <v>2526046.3653649059</v>
      </c>
      <c r="AT55" s="1">
        <f t="shared" si="6"/>
        <v>850125.81556054915</v>
      </c>
      <c r="BC55" s="1">
        <f t="shared" si="7"/>
        <v>572263.73587725242</v>
      </c>
      <c r="BI55" s="4">
        <f t="shared" si="1"/>
        <v>4973822.852718086</v>
      </c>
      <c r="BJ55" s="2">
        <f t="shared" si="19"/>
        <v>499333.12009687279</v>
      </c>
      <c r="BK55" s="2"/>
      <c r="BL55" s="2"/>
      <c r="BM55" s="2"/>
      <c r="BN55" s="2"/>
      <c r="BO55" s="2"/>
      <c r="BP55" s="2"/>
      <c r="BQ55" s="1">
        <f t="shared" si="8"/>
        <v>464629.92979412945</v>
      </c>
      <c r="BR55" s="2"/>
      <c r="BS55" s="2"/>
      <c r="BT55" s="2"/>
      <c r="BU55" s="2"/>
      <c r="BV55" s="2"/>
      <c r="BW55" s="2"/>
      <c r="BX55" s="2"/>
      <c r="BY55" s="2"/>
      <c r="BZ55" s="1">
        <f t="shared" si="9"/>
        <v>745136.25573044166</v>
      </c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1">
        <f t="shared" si="10"/>
        <v>318000.84546806198</v>
      </c>
      <c r="CU55" s="2"/>
      <c r="CV55" s="2"/>
      <c r="CW55" s="2"/>
      <c r="CX55" s="1">
        <f t="shared" si="11"/>
        <v>1013520.3304876583</v>
      </c>
      <c r="CY55" s="2"/>
      <c r="CZ55" s="2"/>
      <c r="DA55" s="2"/>
      <c r="DB55" s="2"/>
      <c r="DC55" s="2"/>
      <c r="DD55" s="2"/>
      <c r="DE55" s="1">
        <f t="shared" si="12"/>
        <v>567414.70450043946</v>
      </c>
      <c r="DF55" s="2"/>
      <c r="DG55" s="2"/>
      <c r="DH55" s="2"/>
      <c r="DI55" s="2"/>
      <c r="DJ55" s="2"/>
      <c r="DK55" s="2"/>
      <c r="DL55" s="1">
        <f t="shared" si="13"/>
        <v>667996.70557981974</v>
      </c>
      <c r="DM55" s="2"/>
      <c r="DN55" s="2"/>
      <c r="DO55" s="2"/>
      <c r="DP55" s="2"/>
      <c r="DQ55" s="2"/>
      <c r="DR55" s="2"/>
      <c r="DS55" s="1">
        <f t="shared" si="14"/>
        <v>278265.32905745745</v>
      </c>
      <c r="DT55" s="2"/>
      <c r="DU55" s="2"/>
      <c r="DV55" s="2"/>
      <c r="DW55" s="2"/>
      <c r="DX55" s="2"/>
      <c r="DY55" s="2"/>
      <c r="DZ55" s="2"/>
      <c r="EA55" s="2"/>
      <c r="EB55" s="1">
        <f t="shared" si="15"/>
        <v>32595.636733615123</v>
      </c>
      <c r="EC55" s="2"/>
      <c r="ED55" s="2"/>
      <c r="EE55" s="1">
        <f t="shared" si="16"/>
        <v>84390.067809099462</v>
      </c>
      <c r="EF55" s="2"/>
      <c r="EG55" s="1">
        <f t="shared" si="16"/>
        <v>302539.92746049102</v>
      </c>
      <c r="EH55" s="2"/>
      <c r="HW55" s="4"/>
      <c r="HX55" s="2">
        <f t="shared" si="20"/>
        <v>1156868.3309372922</v>
      </c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1">
        <f t="shared" si="17"/>
        <v>1842266.9635449331</v>
      </c>
      <c r="LU55" s="1">
        <f t="shared" si="18"/>
        <v>1355859.0523168836</v>
      </c>
    </row>
    <row r="56" spans="1:333">
      <c r="A56" s="1">
        <v>1419</v>
      </c>
      <c r="B56" s="1">
        <f t="shared" si="0"/>
        <v>8154901.1167412223</v>
      </c>
      <c r="C56" s="1">
        <f t="shared" si="2"/>
        <v>2316608.8186940989</v>
      </c>
      <c r="K56" s="1">
        <f t="shared" si="3"/>
        <v>918215.99862337392</v>
      </c>
      <c r="U56" s="1">
        <f t="shared" si="4"/>
        <v>958215.70050391194</v>
      </c>
      <c r="AH56" s="1">
        <f t="shared" si="5"/>
        <v>2534634.9230071469</v>
      </c>
      <c r="AT56" s="1">
        <f t="shared" si="6"/>
        <v>853016.24333345506</v>
      </c>
      <c r="BC56" s="1">
        <f t="shared" si="7"/>
        <v>574209.43257923506</v>
      </c>
      <c r="BI56" s="4">
        <f t="shared" si="1"/>
        <v>4994559.7326480178</v>
      </c>
      <c r="BJ56" s="2">
        <f t="shared" si="19"/>
        <v>501380.38588926999</v>
      </c>
      <c r="BK56" s="2"/>
      <c r="BL56" s="2"/>
      <c r="BM56" s="2"/>
      <c r="BN56" s="2"/>
      <c r="BO56" s="2"/>
      <c r="BP56" s="2"/>
      <c r="BQ56" s="1">
        <f t="shared" si="8"/>
        <v>465884.43060457357</v>
      </c>
      <c r="BR56" s="2"/>
      <c r="BS56" s="2"/>
      <c r="BT56" s="2"/>
      <c r="BU56" s="2"/>
      <c r="BV56" s="2"/>
      <c r="BW56" s="2"/>
      <c r="BX56" s="2"/>
      <c r="BY56" s="2"/>
      <c r="BZ56" s="1">
        <f t="shared" si="9"/>
        <v>750352.20952055464</v>
      </c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1">
        <f t="shared" si="10"/>
        <v>319082.04834265343</v>
      </c>
      <c r="CU56" s="2"/>
      <c r="CV56" s="2"/>
      <c r="CW56" s="2"/>
      <c r="CX56" s="1">
        <f t="shared" si="11"/>
        <v>1016966.2996113164</v>
      </c>
      <c r="CY56" s="2"/>
      <c r="CZ56" s="2"/>
      <c r="DA56" s="2"/>
      <c r="DB56" s="2"/>
      <c r="DC56" s="2"/>
      <c r="DD56" s="2"/>
      <c r="DE56" s="1">
        <f t="shared" si="12"/>
        <v>569343.91449574102</v>
      </c>
      <c r="DF56" s="2"/>
      <c r="DG56" s="2"/>
      <c r="DH56" s="2"/>
      <c r="DI56" s="2"/>
      <c r="DJ56" s="2"/>
      <c r="DK56" s="2"/>
      <c r="DL56" s="1">
        <f t="shared" si="13"/>
        <v>670267.89437879121</v>
      </c>
      <c r="DM56" s="2"/>
      <c r="DN56" s="2"/>
      <c r="DO56" s="2"/>
      <c r="DP56" s="2"/>
      <c r="DQ56" s="2"/>
      <c r="DR56" s="2"/>
      <c r="DS56" s="1">
        <f t="shared" si="14"/>
        <v>280213.1863608596</v>
      </c>
      <c r="DT56" s="2"/>
      <c r="DU56" s="2"/>
      <c r="DV56" s="2"/>
      <c r="DW56" s="2"/>
      <c r="DX56" s="2"/>
      <c r="DY56" s="2"/>
      <c r="DZ56" s="2"/>
      <c r="EA56" s="2"/>
      <c r="EB56" s="1">
        <f t="shared" si="15"/>
        <v>32823.806190750423</v>
      </c>
      <c r="EC56" s="2"/>
      <c r="ED56" s="2"/>
      <c r="EE56" s="1">
        <f t="shared" si="16"/>
        <v>84676.99403965041</v>
      </c>
      <c r="EF56" s="2"/>
      <c r="EG56" s="1">
        <f t="shared" si="16"/>
        <v>303568.56321385672</v>
      </c>
      <c r="EH56" s="2"/>
      <c r="HW56" s="4"/>
      <c r="HX56" s="2">
        <f t="shared" si="20"/>
        <v>1162074.23842651</v>
      </c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1">
        <f t="shared" si="17"/>
        <v>1848530.6712209859</v>
      </c>
      <c r="LU56" s="1">
        <f t="shared" si="18"/>
        <v>1360468.9730947611</v>
      </c>
    </row>
    <row r="57" spans="1:333">
      <c r="A57" s="1">
        <v>1420</v>
      </c>
      <c r="B57" s="1">
        <f t="shared" si="0"/>
        <v>8184691.8554071812</v>
      </c>
      <c r="C57" s="1">
        <f t="shared" si="2"/>
        <v>2324485.2886776589</v>
      </c>
      <c r="K57" s="1">
        <f t="shared" si="3"/>
        <v>922347.97061717906</v>
      </c>
      <c r="U57" s="1">
        <f t="shared" si="4"/>
        <v>962527.67115617951</v>
      </c>
      <c r="AH57" s="1">
        <f t="shared" si="5"/>
        <v>2543252.6817453713</v>
      </c>
      <c r="AT57" s="1">
        <f t="shared" si="6"/>
        <v>855916.49856078881</v>
      </c>
      <c r="BC57" s="1">
        <f t="shared" si="7"/>
        <v>576161.74465000455</v>
      </c>
      <c r="BI57" s="4">
        <f t="shared" si="1"/>
        <v>5015394.2840351798</v>
      </c>
      <c r="BJ57" s="2">
        <f t="shared" si="19"/>
        <v>503436.04547141597</v>
      </c>
      <c r="BK57" s="2"/>
      <c r="BL57" s="2"/>
      <c r="BM57" s="2"/>
      <c r="BN57" s="2"/>
      <c r="BO57" s="2"/>
      <c r="BP57" s="2"/>
      <c r="BQ57" s="1">
        <f t="shared" si="8"/>
        <v>467142.31856720586</v>
      </c>
      <c r="BR57" s="2"/>
      <c r="BS57" s="2"/>
      <c r="BT57" s="2"/>
      <c r="BU57" s="2"/>
      <c r="BV57" s="2"/>
      <c r="BW57" s="2"/>
      <c r="BX57" s="2"/>
      <c r="BY57" s="2"/>
      <c r="BZ57" s="1">
        <f t="shared" si="9"/>
        <v>755604.67498719844</v>
      </c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1">
        <f t="shared" si="10"/>
        <v>320166.92730701849</v>
      </c>
      <c r="CU57" s="2"/>
      <c r="CV57" s="2"/>
      <c r="CW57" s="2"/>
      <c r="CX57" s="1">
        <f t="shared" si="11"/>
        <v>1020423.985029995</v>
      </c>
      <c r="CY57" s="2"/>
      <c r="CZ57" s="2"/>
      <c r="DA57" s="2"/>
      <c r="DB57" s="2"/>
      <c r="DC57" s="2"/>
      <c r="DD57" s="2"/>
      <c r="DE57" s="1">
        <f t="shared" si="12"/>
        <v>571279.68380502658</v>
      </c>
      <c r="DF57" s="2"/>
      <c r="DG57" s="2"/>
      <c r="DH57" s="2"/>
      <c r="DI57" s="2"/>
      <c r="DJ57" s="2"/>
      <c r="DK57" s="2"/>
      <c r="DL57" s="1">
        <f t="shared" si="13"/>
        <v>672546.80521967914</v>
      </c>
      <c r="DM57" s="2"/>
      <c r="DN57" s="2"/>
      <c r="DO57" s="2"/>
      <c r="DP57" s="2"/>
      <c r="DQ57" s="2"/>
      <c r="DR57" s="2"/>
      <c r="DS57" s="1">
        <f t="shared" si="14"/>
        <v>282174.67866538558</v>
      </c>
      <c r="DT57" s="2"/>
      <c r="DU57" s="2"/>
      <c r="DV57" s="2"/>
      <c r="DW57" s="2"/>
      <c r="DX57" s="2"/>
      <c r="DY57" s="2"/>
      <c r="DZ57" s="2"/>
      <c r="EA57" s="2"/>
      <c r="EB57" s="1">
        <f t="shared" si="15"/>
        <v>33053.572834085673</v>
      </c>
      <c r="EC57" s="2"/>
      <c r="ED57" s="2"/>
      <c r="EE57" s="1">
        <f t="shared" si="16"/>
        <v>84964.89581938523</v>
      </c>
      <c r="EF57" s="2"/>
      <c r="EG57" s="1">
        <f t="shared" si="16"/>
        <v>304600.69632878387</v>
      </c>
      <c r="EH57" s="2"/>
      <c r="HW57" s="4"/>
      <c r="HX57" s="2">
        <f t="shared" si="20"/>
        <v>1167303.5724994293</v>
      </c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1">
        <f t="shared" si="17"/>
        <v>1854815.6755031375</v>
      </c>
      <c r="LU57" s="1">
        <f t="shared" si="18"/>
        <v>1365094.5676032833</v>
      </c>
    </row>
    <row r="58" spans="1:333">
      <c r="A58" s="1">
        <v>1421</v>
      </c>
      <c r="B58" s="1">
        <f t="shared" si="0"/>
        <v>8214593.1709215175</v>
      </c>
      <c r="C58" s="1">
        <f t="shared" si="2"/>
        <v>2332388.5386591633</v>
      </c>
      <c r="K58" s="1">
        <f t="shared" si="3"/>
        <v>926498.53648495628</v>
      </c>
      <c r="U58" s="1">
        <f t="shared" si="4"/>
        <v>966859.04567638226</v>
      </c>
      <c r="AH58" s="1">
        <f t="shared" si="5"/>
        <v>2551899.740863306</v>
      </c>
      <c r="AT58" s="1">
        <f t="shared" si="6"/>
        <v>858826.61465589551</v>
      </c>
      <c r="BC58" s="1">
        <f t="shared" si="7"/>
        <v>578120.69458181458</v>
      </c>
      <c r="BI58" s="4">
        <f t="shared" si="1"/>
        <v>5036327.0287450841</v>
      </c>
      <c r="BJ58" s="2">
        <f t="shared" si="19"/>
        <v>505500.13325784879</v>
      </c>
      <c r="BK58" s="2"/>
      <c r="BL58" s="2"/>
      <c r="BM58" s="2"/>
      <c r="BN58" s="2"/>
      <c r="BO58" s="2"/>
      <c r="BP58" s="2"/>
      <c r="BQ58" s="1">
        <f t="shared" si="8"/>
        <v>468403.60282733728</v>
      </c>
      <c r="BR58" s="2"/>
      <c r="BS58" s="2"/>
      <c r="BT58" s="2"/>
      <c r="BU58" s="2"/>
      <c r="BV58" s="2"/>
      <c r="BW58" s="2"/>
      <c r="BX58" s="2"/>
      <c r="BY58" s="2"/>
      <c r="BZ58" s="1">
        <f t="shared" si="9"/>
        <v>760893.90771210869</v>
      </c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1">
        <f t="shared" si="10"/>
        <v>321255.49485986237</v>
      </c>
      <c r="CU58" s="2"/>
      <c r="CV58" s="2"/>
      <c r="CW58" s="2"/>
      <c r="CX58" s="1">
        <f t="shared" si="11"/>
        <v>1023893.4265790971</v>
      </c>
      <c r="CY58" s="2"/>
      <c r="CZ58" s="2"/>
      <c r="DA58" s="2"/>
      <c r="DB58" s="2"/>
      <c r="DC58" s="2"/>
      <c r="DD58" s="2"/>
      <c r="DE58" s="1">
        <f t="shared" si="12"/>
        <v>573222.03472996375</v>
      </c>
      <c r="DF58" s="2"/>
      <c r="DG58" s="2"/>
      <c r="DH58" s="2"/>
      <c r="DI58" s="2"/>
      <c r="DJ58" s="2"/>
      <c r="DK58" s="2"/>
      <c r="DL58" s="1">
        <f t="shared" si="13"/>
        <v>674833.46435742604</v>
      </c>
      <c r="DM58" s="2"/>
      <c r="DN58" s="2"/>
      <c r="DO58" s="2"/>
      <c r="DP58" s="2"/>
      <c r="DQ58" s="2"/>
      <c r="DR58" s="2"/>
      <c r="DS58" s="1">
        <f t="shared" si="14"/>
        <v>284149.90141604323</v>
      </c>
      <c r="DT58" s="2"/>
      <c r="DU58" s="2"/>
      <c r="DV58" s="2"/>
      <c r="DW58" s="2"/>
      <c r="DX58" s="2"/>
      <c r="DY58" s="2"/>
      <c r="DZ58" s="2"/>
      <c r="EA58" s="2"/>
      <c r="EB58" s="1">
        <f t="shared" si="15"/>
        <v>33284.947843924267</v>
      </c>
      <c r="EC58" s="2"/>
      <c r="ED58" s="2"/>
      <c r="EE58" s="1">
        <f t="shared" si="16"/>
        <v>85253.776465171148</v>
      </c>
      <c r="EF58" s="2"/>
      <c r="EG58" s="1">
        <f t="shared" si="16"/>
        <v>305636.33869630174</v>
      </c>
      <c r="EH58" s="2"/>
      <c r="HW58" s="4"/>
      <c r="HX58" s="2">
        <f t="shared" si="20"/>
        <v>1172556.4385756766</v>
      </c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1">
        <f t="shared" si="17"/>
        <v>1861122.0487998484</v>
      </c>
      <c r="LU58" s="1">
        <f t="shared" si="18"/>
        <v>1369735.8891331346</v>
      </c>
    </row>
    <row r="59" spans="1:333">
      <c r="A59" s="1">
        <v>1422</v>
      </c>
      <c r="B59" s="1">
        <f t="shared" si="0"/>
        <v>8244605.4810430286</v>
      </c>
      <c r="C59" s="1">
        <f t="shared" si="2"/>
        <v>2340318.6596906045</v>
      </c>
      <c r="K59" s="1">
        <f t="shared" si="3"/>
        <v>930667.77989913849</v>
      </c>
      <c r="U59" s="1">
        <f t="shared" si="4"/>
        <v>971209.91138192592</v>
      </c>
      <c r="AH59" s="1">
        <f t="shared" si="5"/>
        <v>2560576.1999822413</v>
      </c>
      <c r="AT59" s="1">
        <f t="shared" si="6"/>
        <v>861746.62514572556</v>
      </c>
      <c r="BC59" s="1">
        <f t="shared" si="7"/>
        <v>580086.30494339275</v>
      </c>
      <c r="BI59" s="4">
        <f t="shared" si="1"/>
        <v>5057358.4917392191</v>
      </c>
      <c r="BJ59" s="2">
        <f t="shared" si="19"/>
        <v>507572.68380420597</v>
      </c>
      <c r="BK59" s="2"/>
      <c r="BL59" s="2"/>
      <c r="BM59" s="2"/>
      <c r="BN59" s="2"/>
      <c r="BO59" s="2"/>
      <c r="BP59" s="2"/>
      <c r="BQ59" s="1">
        <f t="shared" si="8"/>
        <v>469668.29255497106</v>
      </c>
      <c r="BR59" s="2"/>
      <c r="BS59" s="2"/>
      <c r="BT59" s="2"/>
      <c r="BU59" s="2"/>
      <c r="BV59" s="2"/>
      <c r="BW59" s="2"/>
      <c r="BX59" s="2"/>
      <c r="BY59" s="2"/>
      <c r="BZ59" s="1">
        <f t="shared" si="9"/>
        <v>766220.16506609332</v>
      </c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1">
        <f t="shared" si="10"/>
        <v>322347.76354238595</v>
      </c>
      <c r="CU59" s="2"/>
      <c r="CV59" s="2"/>
      <c r="CW59" s="2"/>
      <c r="CX59" s="1">
        <f t="shared" si="11"/>
        <v>1027374.664229466</v>
      </c>
      <c r="CY59" s="2"/>
      <c r="CZ59" s="2"/>
      <c r="DA59" s="2"/>
      <c r="DB59" s="2"/>
      <c r="DC59" s="2"/>
      <c r="DD59" s="2"/>
      <c r="DE59" s="1">
        <f t="shared" si="12"/>
        <v>575170.98964804562</v>
      </c>
      <c r="DF59" s="2"/>
      <c r="DG59" s="2"/>
      <c r="DH59" s="2"/>
      <c r="DI59" s="2"/>
      <c r="DJ59" s="2"/>
      <c r="DK59" s="2"/>
      <c r="DL59" s="1">
        <f t="shared" si="13"/>
        <v>677127.89813624136</v>
      </c>
      <c r="DM59" s="2"/>
      <c r="DN59" s="2"/>
      <c r="DO59" s="2"/>
      <c r="DP59" s="2"/>
      <c r="DQ59" s="2"/>
      <c r="DR59" s="2"/>
      <c r="DS59" s="1">
        <f t="shared" si="14"/>
        <v>286138.95072595548</v>
      </c>
      <c r="DT59" s="2"/>
      <c r="DU59" s="2"/>
      <c r="DV59" s="2"/>
      <c r="DW59" s="2"/>
      <c r="DX59" s="2"/>
      <c r="DY59" s="2"/>
      <c r="DZ59" s="2"/>
      <c r="EA59" s="2"/>
      <c r="EB59" s="1">
        <f t="shared" si="15"/>
        <v>33517.942478831734</v>
      </c>
      <c r="EC59" s="2"/>
      <c r="ED59" s="2"/>
      <c r="EE59" s="1">
        <f t="shared" si="16"/>
        <v>85543.639305152741</v>
      </c>
      <c r="EF59" s="2"/>
      <c r="EG59" s="1">
        <f t="shared" si="16"/>
        <v>306675.50224786921</v>
      </c>
      <c r="EH59" s="2"/>
      <c r="HW59" s="4"/>
      <c r="HX59" s="2">
        <f t="shared" si="20"/>
        <v>1177832.9425492671</v>
      </c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1">
        <f t="shared" si="17"/>
        <v>1867449.863765768</v>
      </c>
      <c r="LU59" s="1">
        <f t="shared" si="18"/>
        <v>1374392.9911561874</v>
      </c>
    </row>
    <row r="60" spans="1:333">
      <c r="A60" s="1">
        <v>1423</v>
      </c>
      <c r="B60" s="1">
        <f t="shared" si="0"/>
        <v>8274729.2051389841</v>
      </c>
      <c r="C60" s="1">
        <f t="shared" si="2"/>
        <v>2348275.7431335528</v>
      </c>
      <c r="K60" s="1">
        <f t="shared" si="3"/>
        <v>934855.78490868455</v>
      </c>
      <c r="U60" s="1">
        <f t="shared" si="4"/>
        <v>975580.35598314449</v>
      </c>
      <c r="AH60" s="1">
        <f t="shared" si="5"/>
        <v>2569282.1590621811</v>
      </c>
      <c r="AT60" s="1">
        <f t="shared" si="6"/>
        <v>864676.56367122114</v>
      </c>
      <c r="BC60" s="1">
        <f t="shared" si="7"/>
        <v>582058.59838020033</v>
      </c>
      <c r="BI60" s="4">
        <f t="shared" si="1"/>
        <v>5078489.201094782</v>
      </c>
      <c r="BJ60" s="2">
        <f t="shared" si="19"/>
        <v>509653.73180780321</v>
      </c>
      <c r="BK60" s="2"/>
      <c r="BL60" s="2"/>
      <c r="BM60" s="2"/>
      <c r="BN60" s="2"/>
      <c r="BO60" s="2"/>
      <c r="BP60" s="2"/>
      <c r="BQ60" s="1">
        <f t="shared" si="8"/>
        <v>470936.39694486943</v>
      </c>
      <c r="BR60" s="2"/>
      <c r="BS60" s="2"/>
      <c r="BT60" s="2"/>
      <c r="BU60" s="2"/>
      <c r="BV60" s="2"/>
      <c r="BW60" s="2"/>
      <c r="BX60" s="2"/>
      <c r="BY60" s="2"/>
      <c r="BZ60" s="1">
        <f t="shared" si="9"/>
        <v>771583.70622155594</v>
      </c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1">
        <f t="shared" si="10"/>
        <v>323443.74593843007</v>
      </c>
      <c r="CU60" s="2"/>
      <c r="CV60" s="2"/>
      <c r="CW60" s="2"/>
      <c r="CX60" s="1">
        <f t="shared" si="11"/>
        <v>1030867.7380878462</v>
      </c>
      <c r="CY60" s="2"/>
      <c r="CZ60" s="2"/>
      <c r="DA60" s="2"/>
      <c r="DB60" s="2"/>
      <c r="DC60" s="2"/>
      <c r="DD60" s="2"/>
      <c r="DE60" s="1">
        <f t="shared" si="12"/>
        <v>577126.57101284899</v>
      </c>
      <c r="DF60" s="2"/>
      <c r="DG60" s="2"/>
      <c r="DH60" s="2"/>
      <c r="DI60" s="2"/>
      <c r="DJ60" s="2"/>
      <c r="DK60" s="2"/>
      <c r="DL60" s="1">
        <f t="shared" si="13"/>
        <v>679430.13298990461</v>
      </c>
      <c r="DM60" s="2"/>
      <c r="DN60" s="2"/>
      <c r="DO60" s="2"/>
      <c r="DP60" s="2"/>
      <c r="DQ60" s="2"/>
      <c r="DR60" s="2"/>
      <c r="DS60" s="1">
        <f t="shared" si="14"/>
        <v>288141.92338103714</v>
      </c>
      <c r="DT60" s="2"/>
      <c r="DU60" s="2"/>
      <c r="DV60" s="2"/>
      <c r="DW60" s="2"/>
      <c r="DX60" s="2"/>
      <c r="DY60" s="2"/>
      <c r="DZ60" s="2"/>
      <c r="EA60" s="2"/>
      <c r="EB60" s="1">
        <f t="shared" si="15"/>
        <v>33752.568076183554</v>
      </c>
      <c r="EC60" s="2"/>
      <c r="ED60" s="2"/>
      <c r="EE60" s="1">
        <f t="shared" si="16"/>
        <v>85834.487678790261</v>
      </c>
      <c r="EF60" s="2"/>
      <c r="EG60" s="1">
        <f t="shared" si="16"/>
        <v>307718.19895551197</v>
      </c>
      <c r="EH60" s="2"/>
      <c r="HW60" s="4"/>
      <c r="HX60" s="2">
        <f t="shared" si="20"/>
        <v>1183133.1907907387</v>
      </c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1">
        <f t="shared" si="17"/>
        <v>1873799.1933025718</v>
      </c>
      <c r="LU60" s="1">
        <f t="shared" si="18"/>
        <v>1379065.9273261186</v>
      </c>
    </row>
    <row r="61" spans="1:333">
      <c r="A61" s="1">
        <v>1424</v>
      </c>
      <c r="B61" s="1">
        <f t="shared" si="0"/>
        <v>8304964.7641914384</v>
      </c>
      <c r="C61" s="1">
        <f t="shared" si="2"/>
        <v>2356259.880660207</v>
      </c>
      <c r="K61" s="1">
        <f t="shared" si="3"/>
        <v>939062.63594077353</v>
      </c>
      <c r="U61" s="1">
        <f t="shared" si="4"/>
        <v>979970.46758506855</v>
      </c>
      <c r="AH61" s="1">
        <f t="shared" si="5"/>
        <v>2578017.7184029929</v>
      </c>
      <c r="AT61" s="1">
        <f t="shared" si="6"/>
        <v>867616.46398770332</v>
      </c>
      <c r="BC61" s="1">
        <f t="shared" si="7"/>
        <v>584037.59761469311</v>
      </c>
      <c r="BI61" s="4">
        <f t="shared" si="1"/>
        <v>5099719.6880245516</v>
      </c>
      <c r="BJ61" s="2">
        <f t="shared" si="19"/>
        <v>511743.31210821518</v>
      </c>
      <c r="BK61" s="2"/>
      <c r="BL61" s="2"/>
      <c r="BM61" s="2"/>
      <c r="BN61" s="2"/>
      <c r="BO61" s="2"/>
      <c r="BP61" s="2"/>
      <c r="BQ61" s="1">
        <f t="shared" si="8"/>
        <v>472207.92521662056</v>
      </c>
      <c r="BR61" s="2"/>
      <c r="BS61" s="2"/>
      <c r="BT61" s="2"/>
      <c r="BU61" s="2"/>
      <c r="BV61" s="2"/>
      <c r="BW61" s="2"/>
      <c r="BX61" s="2"/>
      <c r="BY61" s="2"/>
      <c r="BZ61" s="1">
        <f t="shared" si="9"/>
        <v>776984.79216510674</v>
      </c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1">
        <f t="shared" si="10"/>
        <v>324543.45467462076</v>
      </c>
      <c r="CU61" s="2"/>
      <c r="CV61" s="2"/>
      <c r="CW61" s="2"/>
      <c r="CX61" s="1">
        <f t="shared" si="11"/>
        <v>1034372.6883973449</v>
      </c>
      <c r="CY61" s="2"/>
      <c r="CZ61" s="2"/>
      <c r="DA61" s="2"/>
      <c r="DB61" s="2"/>
      <c r="DC61" s="2"/>
      <c r="DD61" s="2"/>
      <c r="DE61" s="1">
        <f t="shared" si="12"/>
        <v>579088.80135429266</v>
      </c>
      <c r="DF61" s="2"/>
      <c r="DG61" s="2"/>
      <c r="DH61" s="2"/>
      <c r="DI61" s="2"/>
      <c r="DJ61" s="2"/>
      <c r="DK61" s="2"/>
      <c r="DL61" s="1">
        <f t="shared" si="13"/>
        <v>681740.19544207037</v>
      </c>
      <c r="DM61" s="2"/>
      <c r="DN61" s="2"/>
      <c r="DO61" s="2"/>
      <c r="DP61" s="2"/>
      <c r="DQ61" s="2"/>
      <c r="DR61" s="2"/>
      <c r="DS61" s="1">
        <f t="shared" si="14"/>
        <v>290158.91684470436</v>
      </c>
      <c r="DT61" s="2"/>
      <c r="DU61" s="2"/>
      <c r="DV61" s="2"/>
      <c r="DW61" s="2"/>
      <c r="DX61" s="2"/>
      <c r="DY61" s="2"/>
      <c r="DZ61" s="2"/>
      <c r="EA61" s="2"/>
      <c r="EB61" s="1">
        <f t="shared" si="15"/>
        <v>33988.836052716833</v>
      </c>
      <c r="EC61" s="2"/>
      <c r="ED61" s="2"/>
      <c r="EE61" s="1">
        <f t="shared" si="16"/>
        <v>86126.324936898149</v>
      </c>
      <c r="EF61" s="2"/>
      <c r="EG61" s="1">
        <f t="shared" si="16"/>
        <v>308764.4408319607</v>
      </c>
      <c r="EH61" s="2"/>
      <c r="HW61" s="4"/>
      <c r="HX61" s="2">
        <f t="shared" si="20"/>
        <v>1188457.2901492969</v>
      </c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15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1">
        <f t="shared" si="17"/>
        <v>1880170.1105598006</v>
      </c>
      <c r="LU61" s="1">
        <f t="shared" si="18"/>
        <v>1383754.7514790276</v>
      </c>
    </row>
    <row r="62" spans="1:333">
      <c r="A62" s="1">
        <v>1425</v>
      </c>
      <c r="B62" s="1">
        <f t="shared" si="0"/>
        <v>8335312.5808035675</v>
      </c>
      <c r="C62" s="1">
        <f t="shared" si="2"/>
        <v>2364271.1642544521</v>
      </c>
      <c r="K62" s="1">
        <f t="shared" si="3"/>
        <v>943288.41780250694</v>
      </c>
      <c r="U62" s="1">
        <f t="shared" si="4"/>
        <v>984380.33468920132</v>
      </c>
      <c r="AH62" s="1">
        <f t="shared" si="5"/>
        <v>2586782.9786455631</v>
      </c>
      <c r="AT62" s="1">
        <f t="shared" si="6"/>
        <v>870566.35996526154</v>
      </c>
      <c r="BC62" s="1">
        <f t="shared" si="7"/>
        <v>586023.3254465831</v>
      </c>
      <c r="BI62" s="4">
        <f t="shared" si="1"/>
        <v>5121050.4868968837</v>
      </c>
      <c r="BJ62" s="2">
        <f t="shared" si="19"/>
        <v>513841.45968785888</v>
      </c>
      <c r="BK62" s="2"/>
      <c r="BL62" s="2"/>
      <c r="BM62" s="2"/>
      <c r="BN62" s="2"/>
      <c r="BO62" s="2"/>
      <c r="BP62" s="2"/>
      <c r="BQ62" s="1">
        <f t="shared" si="8"/>
        <v>473482.88661470538</v>
      </c>
      <c r="BR62" s="2"/>
      <c r="BS62" s="2"/>
      <c r="BT62" s="2"/>
      <c r="BU62" s="2"/>
      <c r="BV62" s="2"/>
      <c r="BW62" s="2"/>
      <c r="BX62" s="2"/>
      <c r="BY62" s="2"/>
      <c r="BZ62" s="1">
        <f t="shared" si="9"/>
        <v>782423.68571026239</v>
      </c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1">
        <f t="shared" si="10"/>
        <v>325646.9024205145</v>
      </c>
      <c r="CU62" s="2"/>
      <c r="CV62" s="2"/>
      <c r="CW62" s="2"/>
      <c r="CX62" s="1">
        <f t="shared" si="11"/>
        <v>1037889.555537896</v>
      </c>
      <c r="CY62" s="2"/>
      <c r="CZ62" s="2"/>
      <c r="DA62" s="2"/>
      <c r="DB62" s="2"/>
      <c r="DC62" s="2"/>
      <c r="DD62" s="2"/>
      <c r="DE62" s="1">
        <f t="shared" si="12"/>
        <v>581057.70327889733</v>
      </c>
      <c r="DF62" s="2"/>
      <c r="DG62" s="2"/>
      <c r="DH62" s="2"/>
      <c r="DI62" s="2"/>
      <c r="DJ62" s="2"/>
      <c r="DK62" s="2"/>
      <c r="DL62" s="1">
        <f t="shared" si="13"/>
        <v>684058.11210657342</v>
      </c>
      <c r="DM62" s="2"/>
      <c r="DN62" s="2"/>
      <c r="DO62" s="2"/>
      <c r="DP62" s="2"/>
      <c r="DQ62" s="2"/>
      <c r="DR62" s="2"/>
      <c r="DS62" s="1">
        <f t="shared" si="14"/>
        <v>292190.02926261729</v>
      </c>
      <c r="DT62" s="2"/>
      <c r="DU62" s="2"/>
      <c r="DV62" s="2"/>
      <c r="DW62" s="2"/>
      <c r="DX62" s="2"/>
      <c r="DY62" s="2"/>
      <c r="DZ62" s="2"/>
      <c r="EA62" s="2"/>
      <c r="EB62" s="1">
        <f t="shared" si="15"/>
        <v>34226.757905085848</v>
      </c>
      <c r="EC62" s="2"/>
      <c r="ED62" s="2"/>
      <c r="EE62" s="1">
        <f t="shared" si="16"/>
        <v>86419.154441683611</v>
      </c>
      <c r="EF62" s="2"/>
      <c r="EG62" s="1">
        <f t="shared" si="16"/>
        <v>309814.23993078939</v>
      </c>
      <c r="EH62" s="2"/>
      <c r="HW62" s="4"/>
      <c r="HX62" s="2">
        <f t="shared" si="20"/>
        <v>1193805.3479549687</v>
      </c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15"/>
      <c r="JN62" s="2"/>
      <c r="JO62" s="2"/>
      <c r="JP62" s="2"/>
      <c r="JQ62" s="2"/>
      <c r="JR62" s="2"/>
      <c r="JS62" s="2"/>
      <c r="JT62" s="15"/>
      <c r="JU62" s="2"/>
      <c r="JV62" s="2"/>
      <c r="JW62" s="15"/>
      <c r="JX62" s="2"/>
      <c r="JY62" s="2"/>
      <c r="JZ62" s="2"/>
      <c r="KA62" s="2"/>
      <c r="KB62" s="2"/>
      <c r="KC62" s="2"/>
      <c r="KD62" s="2"/>
      <c r="KE62" s="2"/>
      <c r="KF62" s="2"/>
      <c r="KG62" s="15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15"/>
      <c r="LM62" s="2"/>
      <c r="LN62" s="2"/>
      <c r="LO62" s="1">
        <f t="shared" si="17"/>
        <v>1886562.6889357041</v>
      </c>
      <c r="LU62" s="1">
        <f t="shared" si="18"/>
        <v>1388459.5176340563</v>
      </c>
    </row>
    <row r="63" spans="1:333">
      <c r="A63" s="1">
        <v>1426</v>
      </c>
      <c r="B63" s="1">
        <f t="shared" si="0"/>
        <v>8365773.0792060411</v>
      </c>
      <c r="C63" s="1">
        <f t="shared" si="2"/>
        <v>2372309.6862129173</v>
      </c>
      <c r="K63" s="1">
        <f t="shared" si="3"/>
        <v>947533.2156826182</v>
      </c>
      <c r="U63" s="1">
        <f t="shared" si="4"/>
        <v>988810.04619530262</v>
      </c>
      <c r="AH63" s="1">
        <f t="shared" si="5"/>
        <v>2595578.0407729582</v>
      </c>
      <c r="AT63" s="1">
        <f t="shared" si="6"/>
        <v>873526.28558914352</v>
      </c>
      <c r="BC63" s="1">
        <f t="shared" si="7"/>
        <v>588015.80475310155</v>
      </c>
      <c r="BI63" s="4">
        <f t="shared" si="1"/>
        <v>5142482.1352558462</v>
      </c>
      <c r="BJ63" s="2">
        <f t="shared" si="19"/>
        <v>515948.20967257908</v>
      </c>
      <c r="BK63" s="2"/>
      <c r="BL63" s="2"/>
      <c r="BM63" s="2"/>
      <c r="BN63" s="2"/>
      <c r="BO63" s="2"/>
      <c r="BP63" s="2"/>
      <c r="BQ63" s="1">
        <f t="shared" si="8"/>
        <v>474761.29040856502</v>
      </c>
      <c r="BR63" s="2"/>
      <c r="BS63" s="2"/>
      <c r="BT63" s="2"/>
      <c r="BU63" s="2"/>
      <c r="BV63" s="2"/>
      <c r="BW63" s="2"/>
      <c r="BX63" s="2"/>
      <c r="BY63" s="2"/>
      <c r="BZ63" s="1">
        <f t="shared" si="9"/>
        <v>787900.65151023411</v>
      </c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1">
        <f t="shared" si="10"/>
        <v>326754.10188874428</v>
      </c>
      <c r="CU63" s="2"/>
      <c r="CV63" s="2"/>
      <c r="CW63" s="2"/>
      <c r="CX63" s="1">
        <f t="shared" si="11"/>
        <v>1041418.3800267249</v>
      </c>
      <c r="CY63" s="2"/>
      <c r="CZ63" s="2"/>
      <c r="DA63" s="2"/>
      <c r="DB63" s="2"/>
      <c r="DC63" s="2"/>
      <c r="DD63" s="2"/>
      <c r="DE63" s="1">
        <f t="shared" si="12"/>
        <v>583033.2994700456</v>
      </c>
      <c r="DF63" s="2"/>
      <c r="DG63" s="2"/>
      <c r="DH63" s="2"/>
      <c r="DI63" s="2"/>
      <c r="DJ63" s="2"/>
      <c r="DK63" s="2"/>
      <c r="DL63" s="1">
        <f t="shared" si="13"/>
        <v>686383.90968773584</v>
      </c>
      <c r="DM63" s="2"/>
      <c r="DN63" s="2"/>
      <c r="DO63" s="2"/>
      <c r="DP63" s="2"/>
      <c r="DQ63" s="2"/>
      <c r="DR63" s="2"/>
      <c r="DS63" s="1">
        <f t="shared" si="14"/>
        <v>294235.35946745559</v>
      </c>
      <c r="DT63" s="2"/>
      <c r="DU63" s="2"/>
      <c r="DV63" s="2"/>
      <c r="DW63" s="2"/>
      <c r="DX63" s="2"/>
      <c r="DY63" s="2"/>
      <c r="DZ63" s="2"/>
      <c r="EA63" s="2"/>
      <c r="EB63" s="1">
        <f t="shared" si="15"/>
        <v>34466.345210421445</v>
      </c>
      <c r="EC63" s="2"/>
      <c r="ED63" s="2"/>
      <c r="EE63" s="1">
        <f t="shared" si="16"/>
        <v>86712.979566785347</v>
      </c>
      <c r="EF63" s="2"/>
      <c r="EG63" s="1">
        <f t="shared" si="16"/>
        <v>310867.6083465541</v>
      </c>
      <c r="EH63" s="2"/>
      <c r="HW63" s="4"/>
      <c r="HX63" s="2">
        <f t="shared" si="20"/>
        <v>1199177.472020766</v>
      </c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1">
        <f t="shared" si="17"/>
        <v>1892977.0020780857</v>
      </c>
      <c r="LU63" s="1">
        <f t="shared" si="18"/>
        <v>1393180.2799940121</v>
      </c>
    </row>
    <row r="64" spans="1:333">
      <c r="A64" s="1">
        <v>1427</v>
      </c>
      <c r="B64" s="1">
        <f t="shared" si="0"/>
        <v>8396346.6852634065</v>
      </c>
      <c r="C64" s="1">
        <f t="shared" si="2"/>
        <v>2380375.5391460415</v>
      </c>
      <c r="K64" s="1">
        <f t="shared" si="3"/>
        <v>951797.11515318998</v>
      </c>
      <c r="U64" s="1">
        <f t="shared" si="4"/>
        <v>993259.69140318141</v>
      </c>
      <c r="AH64" s="1">
        <f t="shared" si="5"/>
        <v>2604403.0061115865</v>
      </c>
      <c r="AT64" s="1">
        <f t="shared" si="6"/>
        <v>876496.27496014663</v>
      </c>
      <c r="BC64" s="1">
        <f t="shared" si="7"/>
        <v>590015.05848926213</v>
      </c>
      <c r="BI64" s="4">
        <f t="shared" si="1"/>
        <v>5164015.1738414783</v>
      </c>
      <c r="BJ64" s="2">
        <f t="shared" si="19"/>
        <v>518063.59733223665</v>
      </c>
      <c r="BK64" s="2"/>
      <c r="BL64" s="2"/>
      <c r="BM64" s="2"/>
      <c r="BN64" s="2"/>
      <c r="BO64" s="2"/>
      <c r="BP64" s="2"/>
      <c r="BQ64" s="1">
        <f t="shared" si="8"/>
        <v>476043.14589266811</v>
      </c>
      <c r="BR64" s="2"/>
      <c r="BS64" s="2"/>
      <c r="BT64" s="2"/>
      <c r="BU64" s="2"/>
      <c r="BV64" s="2"/>
      <c r="BW64" s="2"/>
      <c r="BX64" s="2"/>
      <c r="BY64" s="2"/>
      <c r="BZ64" s="1">
        <f t="shared" si="9"/>
        <v>793415.95607080567</v>
      </c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1">
        <f t="shared" si="10"/>
        <v>327865.06583516602</v>
      </c>
      <c r="CU64" s="2"/>
      <c r="CV64" s="2"/>
      <c r="CW64" s="2"/>
      <c r="CX64" s="1">
        <f t="shared" si="11"/>
        <v>1044959.2025188159</v>
      </c>
      <c r="CY64" s="2"/>
      <c r="CZ64" s="2"/>
      <c r="DA64" s="2"/>
      <c r="DB64" s="2"/>
      <c r="DC64" s="2"/>
      <c r="DD64" s="2"/>
      <c r="DE64" s="1">
        <f t="shared" si="12"/>
        <v>585015.61268824385</v>
      </c>
      <c r="DF64" s="2"/>
      <c r="DG64" s="2"/>
      <c r="DH64" s="2"/>
      <c r="DI64" s="2"/>
      <c r="DJ64" s="2"/>
      <c r="DK64" s="2"/>
      <c r="DL64" s="1">
        <f t="shared" si="13"/>
        <v>688717.61498067423</v>
      </c>
      <c r="DM64" s="2"/>
      <c r="DN64" s="2"/>
      <c r="DO64" s="2"/>
      <c r="DP64" s="2"/>
      <c r="DQ64" s="2"/>
      <c r="DR64" s="2"/>
      <c r="DS64" s="1">
        <f t="shared" si="14"/>
        <v>296295.00698372774</v>
      </c>
      <c r="DT64" s="2"/>
      <c r="DU64" s="2"/>
      <c r="DV64" s="2"/>
      <c r="DW64" s="2"/>
      <c r="DX64" s="2"/>
      <c r="DY64" s="2"/>
      <c r="DZ64" s="2"/>
      <c r="EA64" s="2"/>
      <c r="EB64" s="1">
        <f t="shared" si="15"/>
        <v>34707.609626894395</v>
      </c>
      <c r="EC64" s="2"/>
      <c r="ED64" s="2"/>
      <c r="EE64" s="1">
        <f t="shared" si="16"/>
        <v>87007.803697312425</v>
      </c>
      <c r="EF64" s="2"/>
      <c r="EG64" s="1">
        <f t="shared" si="16"/>
        <v>311924.55821493239</v>
      </c>
      <c r="EH64" s="2"/>
      <c r="HW64" s="4"/>
      <c r="HX64" s="2">
        <f t="shared" si="20"/>
        <v>1204573.7706448594</v>
      </c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1">
        <f t="shared" si="17"/>
        <v>1899413.1238851512</v>
      </c>
      <c r="LU64" s="1">
        <f t="shared" si="18"/>
        <v>1397917.0929459918</v>
      </c>
    </row>
    <row r="65" spans="1:333">
      <c r="A65" s="1">
        <v>1428</v>
      </c>
      <c r="B65" s="1">
        <f t="shared" si="0"/>
        <v>8427033.8264805153</v>
      </c>
      <c r="C65" s="1">
        <f t="shared" si="2"/>
        <v>2388468.815979138</v>
      </c>
      <c r="K65" s="1">
        <f t="shared" si="3"/>
        <v>956080.20217137923</v>
      </c>
      <c r="U65" s="1">
        <f t="shared" si="4"/>
        <v>997729.36001449567</v>
      </c>
      <c r="AH65" s="1">
        <f t="shared" si="5"/>
        <v>2613257.976332366</v>
      </c>
      <c r="AT65" s="1">
        <f t="shared" si="6"/>
        <v>879476.36229501117</v>
      </c>
      <c r="BC65" s="1">
        <f t="shared" si="7"/>
        <v>592021.10968812567</v>
      </c>
      <c r="BI65" s="4">
        <f t="shared" si="1"/>
        <v>5185650.1466101985</v>
      </c>
      <c r="BJ65" s="2">
        <f t="shared" si="19"/>
        <v>520187.65808129881</v>
      </c>
      <c r="BK65" s="2"/>
      <c r="BL65" s="2"/>
      <c r="BM65" s="2"/>
      <c r="BN65" s="2"/>
      <c r="BO65" s="2"/>
      <c r="BP65" s="2"/>
      <c r="BQ65" s="1">
        <f t="shared" si="8"/>
        <v>477328.46238657826</v>
      </c>
      <c r="BR65" s="2"/>
      <c r="BS65" s="2"/>
      <c r="BT65" s="2"/>
      <c r="BU65" s="2"/>
      <c r="BV65" s="2"/>
      <c r="BW65" s="2"/>
      <c r="BX65" s="2"/>
      <c r="BY65" s="2"/>
      <c r="BZ65" s="1">
        <f t="shared" si="9"/>
        <v>798969.86776330124</v>
      </c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1">
        <f t="shared" si="10"/>
        <v>328979.8070590056</v>
      </c>
      <c r="CU65" s="2"/>
      <c r="CV65" s="2"/>
      <c r="CW65" s="2"/>
      <c r="CX65" s="1">
        <f t="shared" si="11"/>
        <v>1048512.0638073799</v>
      </c>
      <c r="CY65" s="2"/>
      <c r="CZ65" s="2"/>
      <c r="DA65" s="2"/>
      <c r="DB65" s="2"/>
      <c r="DC65" s="2"/>
      <c r="DD65" s="2"/>
      <c r="DE65" s="1">
        <f t="shared" si="12"/>
        <v>587004.66577138391</v>
      </c>
      <c r="DF65" s="2"/>
      <c r="DG65" s="2"/>
      <c r="DH65" s="2"/>
      <c r="DI65" s="2"/>
      <c r="DJ65" s="2"/>
      <c r="DK65" s="2"/>
      <c r="DL65" s="1">
        <f t="shared" si="13"/>
        <v>691059.25487160857</v>
      </c>
      <c r="DM65" s="2"/>
      <c r="DN65" s="2"/>
      <c r="DO65" s="2"/>
      <c r="DP65" s="2"/>
      <c r="DQ65" s="2"/>
      <c r="DR65" s="2"/>
      <c r="DS65" s="1">
        <f t="shared" si="14"/>
        <v>298369.0720326138</v>
      </c>
      <c r="DT65" s="2"/>
      <c r="DU65" s="2"/>
      <c r="DV65" s="2"/>
      <c r="DW65" s="2"/>
      <c r="DX65" s="2"/>
      <c r="DY65" s="2"/>
      <c r="DZ65" s="2"/>
      <c r="EA65" s="2"/>
      <c r="EB65" s="1">
        <f t="shared" si="15"/>
        <v>34950.562894282652</v>
      </c>
      <c r="EC65" s="2"/>
      <c r="ED65" s="2"/>
      <c r="EE65" s="1">
        <f t="shared" si="16"/>
        <v>87303.630229883289</v>
      </c>
      <c r="EF65" s="2"/>
      <c r="EG65" s="1">
        <f t="shared" si="16"/>
        <v>312985.10171286319</v>
      </c>
      <c r="EH65" s="2"/>
      <c r="HW65" s="4"/>
      <c r="HX65" s="2">
        <f t="shared" si="20"/>
        <v>1209994.3526127613</v>
      </c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1">
        <f t="shared" si="17"/>
        <v>1905871.1285063608</v>
      </c>
      <c r="LU65" s="1">
        <f t="shared" si="18"/>
        <v>1402670.0110620083</v>
      </c>
    </row>
    <row r="66" spans="1:333">
      <c r="A66" s="1">
        <v>1429</v>
      </c>
      <c r="B66" s="1">
        <f t="shared" si="0"/>
        <v>8457834.9320089556</v>
      </c>
      <c r="C66" s="1">
        <f t="shared" si="2"/>
        <v>2396589.6099534673</v>
      </c>
      <c r="K66" s="1">
        <f t="shared" si="3"/>
        <v>960382.56308115041</v>
      </c>
      <c r="U66" s="1">
        <f t="shared" si="4"/>
        <v>1002219.1421345609</v>
      </c>
      <c r="AH66" s="1">
        <f t="shared" si="5"/>
        <v>2622143.0534518962</v>
      </c>
      <c r="AT66" s="1">
        <f t="shared" si="6"/>
        <v>882466.58192681428</v>
      </c>
      <c r="BC66" s="1">
        <f t="shared" si="7"/>
        <v>594033.98146106536</v>
      </c>
      <c r="BI66" s="4">
        <f t="shared" si="1"/>
        <v>5207387.6007553432</v>
      </c>
      <c r="BJ66" s="2">
        <f t="shared" si="19"/>
        <v>522320.42747943214</v>
      </c>
      <c r="BK66" s="2"/>
      <c r="BL66" s="2"/>
      <c r="BM66" s="2"/>
      <c r="BN66" s="2"/>
      <c r="BO66" s="2"/>
      <c r="BP66" s="2"/>
      <c r="BQ66" s="1">
        <f t="shared" si="8"/>
        <v>478617.249235022</v>
      </c>
      <c r="BR66" s="2"/>
      <c r="BS66" s="2"/>
      <c r="BT66" s="2"/>
      <c r="BU66" s="2"/>
      <c r="BV66" s="2"/>
      <c r="BW66" s="2"/>
      <c r="BX66" s="2"/>
      <c r="BY66" s="2"/>
      <c r="BZ66" s="1">
        <f t="shared" si="9"/>
        <v>804562.65683764429</v>
      </c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1">
        <f t="shared" si="10"/>
        <v>330098.33840300626</v>
      </c>
      <c r="CU66" s="2"/>
      <c r="CV66" s="2"/>
      <c r="CW66" s="2"/>
      <c r="CX66" s="1">
        <f t="shared" si="11"/>
        <v>1052077.004824325</v>
      </c>
      <c r="CY66" s="2"/>
      <c r="CZ66" s="2"/>
      <c r="DA66" s="2"/>
      <c r="DB66" s="2"/>
      <c r="DC66" s="2"/>
      <c r="DD66" s="2"/>
      <c r="DE66" s="1">
        <f t="shared" si="12"/>
        <v>589000.48163500661</v>
      </c>
      <c r="DF66" s="2"/>
      <c r="DG66" s="2"/>
      <c r="DH66" s="2"/>
      <c r="DI66" s="2"/>
      <c r="DJ66" s="2"/>
      <c r="DK66" s="2"/>
      <c r="DL66" s="1">
        <f t="shared" si="13"/>
        <v>693408.8563381721</v>
      </c>
      <c r="DM66" s="2"/>
      <c r="DN66" s="2"/>
      <c r="DO66" s="2"/>
      <c r="DP66" s="2"/>
      <c r="DQ66" s="2"/>
      <c r="DR66" s="2"/>
      <c r="DS66" s="1">
        <f t="shared" si="14"/>
        <v>300457.65553684207</v>
      </c>
      <c r="DT66" s="2"/>
      <c r="DU66" s="2"/>
      <c r="DV66" s="2"/>
      <c r="DW66" s="2"/>
      <c r="DX66" s="2"/>
      <c r="DY66" s="2"/>
      <c r="DZ66" s="2"/>
      <c r="EA66" s="2"/>
      <c r="EB66" s="1">
        <f t="shared" si="15"/>
        <v>35195.216834542625</v>
      </c>
      <c r="EC66" s="2"/>
      <c r="ED66" s="2"/>
      <c r="EE66" s="1">
        <f t="shared" si="16"/>
        <v>87600.462572664896</v>
      </c>
      <c r="EF66" s="2"/>
      <c r="EG66" s="1">
        <f t="shared" si="16"/>
        <v>314049.25105868693</v>
      </c>
      <c r="EH66" s="2"/>
      <c r="HW66" s="4"/>
      <c r="HX66" s="2">
        <f t="shared" si="20"/>
        <v>1215439.3271995187</v>
      </c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1">
        <f t="shared" si="17"/>
        <v>1912351.0903432826</v>
      </c>
      <c r="LU66" s="1">
        <f t="shared" si="18"/>
        <v>1407439.0890996193</v>
      </c>
    </row>
    <row r="67" spans="1:333">
      <c r="A67" s="1">
        <v>1430</v>
      </c>
      <c r="B67" s="1">
        <f t="shared" si="0"/>
        <v>8488750.4326535221</v>
      </c>
      <c r="C67" s="1">
        <f t="shared" si="2"/>
        <v>2404738.0146273091</v>
      </c>
      <c r="K67" s="1">
        <f t="shared" si="3"/>
        <v>964704.28461501549</v>
      </c>
      <c r="U67" s="1">
        <f t="shared" si="4"/>
        <v>1006729.1282741664</v>
      </c>
      <c r="AH67" s="1">
        <f t="shared" si="5"/>
        <v>2631058.3398336326</v>
      </c>
      <c r="AT67" s="1">
        <f t="shared" si="6"/>
        <v>885466.96830536553</v>
      </c>
      <c r="BC67" s="1">
        <f t="shared" si="7"/>
        <v>596053.69699803297</v>
      </c>
      <c r="BI67" s="4">
        <f t="shared" si="1"/>
        <v>5229228.0867278362</v>
      </c>
      <c r="BJ67" s="2">
        <f t="shared" si="19"/>
        <v>524461.9412320978</v>
      </c>
      <c r="BK67" s="2"/>
      <c r="BL67" s="2"/>
      <c r="BM67" s="2"/>
      <c r="BN67" s="2"/>
      <c r="BO67" s="2"/>
      <c r="BP67" s="2"/>
      <c r="BQ67" s="1">
        <f t="shared" si="8"/>
        <v>479909.51580795652</v>
      </c>
      <c r="BR67" s="2"/>
      <c r="BS67" s="2"/>
      <c r="BT67" s="2"/>
      <c r="BU67" s="2"/>
      <c r="BV67" s="2"/>
      <c r="BW67" s="2"/>
      <c r="BX67" s="2"/>
      <c r="BY67" s="2"/>
      <c r="BZ67" s="1">
        <f t="shared" si="9"/>
        <v>810194.59543550771</v>
      </c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1">
        <f t="shared" si="10"/>
        <v>331220.67275357648</v>
      </c>
      <c r="CU67" s="2"/>
      <c r="CV67" s="2"/>
      <c r="CW67" s="2"/>
      <c r="CX67" s="1">
        <f t="shared" si="11"/>
        <v>1055654.0666407277</v>
      </c>
      <c r="CY67" s="2"/>
      <c r="CZ67" s="2"/>
      <c r="DA67" s="2"/>
      <c r="DB67" s="2"/>
      <c r="DC67" s="2"/>
      <c r="DD67" s="2"/>
      <c r="DE67" s="1">
        <f t="shared" si="12"/>
        <v>591003.08327256562</v>
      </c>
      <c r="DF67" s="2"/>
      <c r="DG67" s="2"/>
      <c r="DH67" s="2"/>
      <c r="DI67" s="2"/>
      <c r="DJ67" s="2"/>
      <c r="DK67" s="2"/>
      <c r="DL67" s="1">
        <f t="shared" si="13"/>
        <v>695766.44644972193</v>
      </c>
      <c r="DM67" s="2"/>
      <c r="DN67" s="2"/>
      <c r="DO67" s="2"/>
      <c r="DP67" s="2"/>
      <c r="DQ67" s="2"/>
      <c r="DR67" s="2"/>
      <c r="DS67" s="1">
        <f t="shared" si="14"/>
        <v>302560.85912559991</v>
      </c>
      <c r="DT67" s="2"/>
      <c r="DU67" s="2"/>
      <c r="DV67" s="2"/>
      <c r="DW67" s="2"/>
      <c r="DX67" s="2"/>
      <c r="DY67" s="2"/>
      <c r="DZ67" s="2"/>
      <c r="EA67" s="2"/>
      <c r="EB67" s="1">
        <f t="shared" si="15"/>
        <v>35441.583352384419</v>
      </c>
      <c r="EC67" s="2"/>
      <c r="ED67" s="2"/>
      <c r="EE67" s="1">
        <f t="shared" si="16"/>
        <v>87898.304145411967</v>
      </c>
      <c r="EF67" s="2"/>
      <c r="EG67" s="1">
        <f t="shared" si="16"/>
        <v>315117.01851228648</v>
      </c>
      <c r="EH67" s="2"/>
      <c r="HW67" s="4"/>
      <c r="HX67" s="2">
        <f t="shared" si="20"/>
        <v>1220908.8041719166</v>
      </c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1">
        <f t="shared" si="17"/>
        <v>1918853.0840504498</v>
      </c>
      <c r="LU67" s="1">
        <f t="shared" si="18"/>
        <v>1412224.3820025581</v>
      </c>
    </row>
    <row r="68" spans="1:333">
      <c r="A68" s="1">
        <v>1431</v>
      </c>
      <c r="B68" s="1">
        <f t="shared" si="0"/>
        <v>8519780.7608787213</v>
      </c>
      <c r="C68" s="1">
        <f t="shared" si="2"/>
        <v>2412914.123877042</v>
      </c>
      <c r="K68" s="1">
        <f t="shared" si="3"/>
        <v>969045.45389578305</v>
      </c>
      <c r="U68" s="1">
        <f t="shared" si="4"/>
        <v>1011259.4093514001</v>
      </c>
      <c r="AH68" s="1">
        <f t="shared" si="5"/>
        <v>2640003.9381890669</v>
      </c>
      <c r="AT68" s="1">
        <f t="shared" si="6"/>
        <v>888477.55599760381</v>
      </c>
      <c r="BC68" s="1">
        <f t="shared" si="7"/>
        <v>598080.27956782631</v>
      </c>
      <c r="BI68" s="4">
        <f t="shared" si="1"/>
        <v>5251172.1582569964</v>
      </c>
      <c r="BJ68" s="2">
        <f t="shared" si="19"/>
        <v>526612.2351911494</v>
      </c>
      <c r="BK68" s="2"/>
      <c r="BL68" s="2"/>
      <c r="BM68" s="2"/>
      <c r="BN68" s="2"/>
      <c r="BO68" s="2"/>
      <c r="BP68" s="2"/>
      <c r="BQ68" s="1">
        <f t="shared" si="8"/>
        <v>481205.27150063799</v>
      </c>
      <c r="BR68" s="2"/>
      <c r="BS68" s="2"/>
      <c r="BT68" s="2"/>
      <c r="BU68" s="2"/>
      <c r="BV68" s="2"/>
      <c r="BW68" s="2"/>
      <c r="BX68" s="2"/>
      <c r="BY68" s="2"/>
      <c r="BZ68" s="1">
        <f t="shared" si="9"/>
        <v>815865.95760355622</v>
      </c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1">
        <f t="shared" si="10"/>
        <v>332346.82304093865</v>
      </c>
      <c r="CU68" s="2"/>
      <c r="CV68" s="2"/>
      <c r="CW68" s="2"/>
      <c r="CX68" s="1">
        <f t="shared" si="11"/>
        <v>1059243.2904673063</v>
      </c>
      <c r="CY68" s="2"/>
      <c r="CZ68" s="2"/>
      <c r="DA68" s="2"/>
      <c r="DB68" s="2"/>
      <c r="DC68" s="2"/>
      <c r="DD68" s="2"/>
      <c r="DE68" s="1">
        <f t="shared" si="12"/>
        <v>593012.49375569238</v>
      </c>
      <c r="DF68" s="2"/>
      <c r="DG68" s="2"/>
      <c r="DH68" s="2"/>
      <c r="DI68" s="2"/>
      <c r="DJ68" s="2"/>
      <c r="DK68" s="2"/>
      <c r="DL68" s="1">
        <f t="shared" si="13"/>
        <v>698132.05236765102</v>
      </c>
      <c r="DM68" s="2"/>
      <c r="DN68" s="2"/>
      <c r="DO68" s="2"/>
      <c r="DP68" s="2"/>
      <c r="DQ68" s="2"/>
      <c r="DR68" s="2"/>
      <c r="DS68" s="1">
        <f t="shared" si="14"/>
        <v>304678.78513947909</v>
      </c>
      <c r="DT68" s="2"/>
      <c r="DU68" s="2"/>
      <c r="DV68" s="2"/>
      <c r="DW68" s="2"/>
      <c r="DX68" s="2"/>
      <c r="DY68" s="2"/>
      <c r="DZ68" s="2"/>
      <c r="EA68" s="2"/>
      <c r="EB68" s="1">
        <f t="shared" si="15"/>
        <v>35689.674435851106</v>
      </c>
      <c r="EC68" s="2"/>
      <c r="ED68" s="2"/>
      <c r="EE68" s="1">
        <f t="shared" si="16"/>
        <v>88197.158379506378</v>
      </c>
      <c r="EF68" s="2"/>
      <c r="EG68" s="1">
        <f t="shared" si="16"/>
        <v>316188.41637522826</v>
      </c>
      <c r="EH68" s="2"/>
      <c r="HW68" s="4"/>
      <c r="HX68" s="2">
        <f t="shared" si="20"/>
        <v>1226402.8937906902</v>
      </c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1">
        <f t="shared" si="17"/>
        <v>1925377.1845362214</v>
      </c>
      <c r="LU68" s="1">
        <f t="shared" si="18"/>
        <v>1417025.944901367</v>
      </c>
    </row>
    <row r="69" spans="1:333">
      <c r="A69" s="1">
        <v>1432</v>
      </c>
      <c r="B69" s="1">
        <f t="shared" si="0"/>
        <v>8550926.3508152813</v>
      </c>
      <c r="C69" s="1">
        <f t="shared" si="2"/>
        <v>2421118.0318982243</v>
      </c>
      <c r="K69" s="1">
        <f t="shared" si="3"/>
        <v>973406.15843831399</v>
      </c>
      <c r="U69" s="1">
        <f t="shared" si="4"/>
        <v>1015810.0766934813</v>
      </c>
      <c r="AH69" s="1">
        <f t="shared" si="5"/>
        <v>2648979.95157891</v>
      </c>
      <c r="AT69" s="1">
        <f t="shared" si="6"/>
        <v>891498.37968799577</v>
      </c>
      <c r="BC69" s="1">
        <f t="shared" si="7"/>
        <v>600113.75251835701</v>
      </c>
      <c r="BI69" s="4">
        <f t="shared" si="1"/>
        <v>5273220.3723714976</v>
      </c>
      <c r="BJ69" s="2">
        <f t="shared" si="19"/>
        <v>528771.34535543306</v>
      </c>
      <c r="BK69" s="2"/>
      <c r="BL69" s="2"/>
      <c r="BM69" s="2"/>
      <c r="BN69" s="2"/>
      <c r="BO69" s="2"/>
      <c r="BP69" s="2"/>
      <c r="BQ69" s="1">
        <f t="shared" si="8"/>
        <v>482504.52573368966</v>
      </c>
      <c r="BR69" s="2"/>
      <c r="BS69" s="2"/>
      <c r="BT69" s="2"/>
      <c r="BU69" s="2"/>
      <c r="BV69" s="2"/>
      <c r="BW69" s="2"/>
      <c r="BX69" s="2"/>
      <c r="BY69" s="2"/>
      <c r="BZ69" s="1">
        <f t="shared" si="9"/>
        <v>821577.019306781</v>
      </c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1">
        <f t="shared" si="10"/>
        <v>333476.80223927787</v>
      </c>
      <c r="CU69" s="2"/>
      <c r="CV69" s="2"/>
      <c r="CW69" s="2"/>
      <c r="CX69" s="1">
        <f t="shared" si="11"/>
        <v>1062844.7176548953</v>
      </c>
      <c r="CY69" s="2"/>
      <c r="CZ69" s="2"/>
      <c r="DA69" s="2"/>
      <c r="DB69" s="2"/>
      <c r="DC69" s="2"/>
      <c r="DD69" s="2"/>
      <c r="DE69" s="1">
        <f t="shared" si="12"/>
        <v>595028.73623446177</v>
      </c>
      <c r="DF69" s="2"/>
      <c r="DG69" s="2"/>
      <c r="DH69" s="2"/>
      <c r="DI69" s="2"/>
      <c r="DJ69" s="2"/>
      <c r="DK69" s="2"/>
      <c r="DL69" s="1">
        <f t="shared" si="13"/>
        <v>700505.70134570112</v>
      </c>
      <c r="DM69" s="2"/>
      <c r="DN69" s="2"/>
      <c r="DO69" s="2"/>
      <c r="DP69" s="2"/>
      <c r="DQ69" s="2"/>
      <c r="DR69" s="2"/>
      <c r="DS69" s="1">
        <f t="shared" si="14"/>
        <v>306811.53663545544</v>
      </c>
      <c r="DT69" s="2"/>
      <c r="DU69" s="2"/>
      <c r="DV69" s="2"/>
      <c r="DW69" s="2"/>
      <c r="DX69" s="2"/>
      <c r="DY69" s="2"/>
      <c r="DZ69" s="2"/>
      <c r="EA69" s="2"/>
      <c r="EB69" s="1">
        <f t="shared" si="15"/>
        <v>35939.502156902061</v>
      </c>
      <c r="EC69" s="2"/>
      <c r="ED69" s="2"/>
      <c r="EE69" s="1">
        <f t="shared" si="16"/>
        <v>88497.028717996713</v>
      </c>
      <c r="EF69" s="2"/>
      <c r="EG69" s="1">
        <f t="shared" si="16"/>
        <v>317263.45699090406</v>
      </c>
      <c r="EH69" s="2"/>
      <c r="HW69" s="4"/>
      <c r="HX69" s="2">
        <f t="shared" si="20"/>
        <v>1231921.7068127482</v>
      </c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1">
        <f t="shared" si="17"/>
        <v>1931923.4669636448</v>
      </c>
      <c r="LU69" s="1">
        <f t="shared" si="18"/>
        <v>1421843.8331140317</v>
      </c>
    </row>
    <row r="70" spans="1:333">
      <c r="A70" s="1">
        <v>1433</v>
      </c>
      <c r="B70" s="1">
        <f t="shared" si="0"/>
        <v>8582187.6382666994</v>
      </c>
      <c r="C70" s="1">
        <f t="shared" si="2"/>
        <v>2429349.8332066783</v>
      </c>
      <c r="K70" s="1">
        <f t="shared" si="3"/>
        <v>977786.4861512864</v>
      </c>
      <c r="U70" s="1">
        <f t="shared" si="4"/>
        <v>1020381.2220386019</v>
      </c>
      <c r="AH70" s="1">
        <f t="shared" si="5"/>
        <v>2657986.4834142784</v>
      </c>
      <c r="AT70" s="1">
        <f t="shared" si="6"/>
        <v>894529.47417893505</v>
      </c>
      <c r="BC70" s="1">
        <f t="shared" si="7"/>
        <v>602154.13927691942</v>
      </c>
      <c r="BI70" s="4">
        <f t="shared" si="1"/>
        <v>5295373.2894204529</v>
      </c>
      <c r="BJ70" s="2">
        <f t="shared" si="19"/>
        <v>530939.30787139037</v>
      </c>
      <c r="BK70" s="2"/>
      <c r="BL70" s="2"/>
      <c r="BM70" s="2"/>
      <c r="BN70" s="2"/>
      <c r="BO70" s="2"/>
      <c r="BP70" s="2"/>
      <c r="BQ70" s="1">
        <f t="shared" si="8"/>
        <v>483807.2879531706</v>
      </c>
      <c r="BR70" s="2"/>
      <c r="BS70" s="2"/>
      <c r="BT70" s="2"/>
      <c r="BU70" s="2"/>
      <c r="BV70" s="2"/>
      <c r="BW70" s="2"/>
      <c r="BX70" s="2"/>
      <c r="BY70" s="2"/>
      <c r="BZ70" s="1">
        <f t="shared" si="9"/>
        <v>827328.05844192836</v>
      </c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1">
        <f t="shared" si="10"/>
        <v>334610.62336689141</v>
      </c>
      <c r="CU70" s="2"/>
      <c r="CV70" s="2"/>
      <c r="CW70" s="2"/>
      <c r="CX70" s="1">
        <f t="shared" si="11"/>
        <v>1066458.3896949219</v>
      </c>
      <c r="CY70" s="2"/>
      <c r="CZ70" s="2"/>
      <c r="DA70" s="2"/>
      <c r="DB70" s="2"/>
      <c r="DC70" s="2"/>
      <c r="DD70" s="2"/>
      <c r="DE70" s="1">
        <f t="shared" si="12"/>
        <v>597051.83393765893</v>
      </c>
      <c r="DF70" s="2"/>
      <c r="DG70" s="2"/>
      <c r="DH70" s="2"/>
      <c r="DI70" s="2"/>
      <c r="DJ70" s="2"/>
      <c r="DK70" s="2"/>
      <c r="DL70" s="1">
        <f t="shared" si="13"/>
        <v>702887.4207302765</v>
      </c>
      <c r="DM70" s="2"/>
      <c r="DN70" s="2"/>
      <c r="DO70" s="2"/>
      <c r="DP70" s="2"/>
      <c r="DQ70" s="2"/>
      <c r="DR70" s="2"/>
      <c r="DS70" s="1">
        <f t="shared" si="14"/>
        <v>308959.21739190357</v>
      </c>
      <c r="DT70" s="2"/>
      <c r="DU70" s="2"/>
      <c r="DV70" s="2"/>
      <c r="DW70" s="2"/>
      <c r="DX70" s="2"/>
      <c r="DY70" s="2"/>
      <c r="DZ70" s="2"/>
      <c r="EA70" s="2"/>
      <c r="EB70" s="1">
        <f t="shared" si="15"/>
        <v>36191.078672000374</v>
      </c>
      <c r="EC70" s="2"/>
      <c r="ED70" s="2"/>
      <c r="EE70" s="1">
        <f t="shared" si="16"/>
        <v>88797.918615637915</v>
      </c>
      <c r="EF70" s="2"/>
      <c r="EG70" s="1">
        <f t="shared" si="16"/>
        <v>318342.15274467313</v>
      </c>
      <c r="EH70" s="2"/>
      <c r="HW70" s="4"/>
      <c r="HX70" s="2">
        <f t="shared" si="20"/>
        <v>1237465.3544934054</v>
      </c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1">
        <f t="shared" si="17"/>
        <v>1938492.0067513213</v>
      </c>
      <c r="LU70" s="1">
        <f t="shared" si="18"/>
        <v>1426678.1021466195</v>
      </c>
    </row>
    <row r="71" spans="1:333">
      <c r="A71" s="1">
        <v>1434</v>
      </c>
      <c r="B71" s="1">
        <f t="shared" si="0"/>
        <v>8613565.0607158151</v>
      </c>
      <c r="C71" s="1">
        <f t="shared" si="2"/>
        <v>2437609.6226395811</v>
      </c>
      <c r="K71" s="1">
        <f t="shared" si="3"/>
        <v>982186.5253389671</v>
      </c>
      <c r="U71" s="1">
        <f t="shared" si="4"/>
        <v>1024972.9375377755</v>
      </c>
      <c r="AH71" s="1">
        <f t="shared" si="5"/>
        <v>2667023.6374578872</v>
      </c>
      <c r="AT71" s="1">
        <f t="shared" si="6"/>
        <v>897570.87439114344</v>
      </c>
      <c r="BC71" s="1">
        <f t="shared" si="7"/>
        <v>604201.46335046098</v>
      </c>
      <c r="BI71" s="4">
        <f t="shared" si="1"/>
        <v>5317631.4730946468</v>
      </c>
      <c r="BJ71" s="2">
        <f t="shared" si="19"/>
        <v>533116.15903366311</v>
      </c>
      <c r="BK71" s="2"/>
      <c r="BL71" s="2"/>
      <c r="BM71" s="2"/>
      <c r="BN71" s="2"/>
      <c r="BO71" s="2"/>
      <c r="BP71" s="2"/>
      <c r="BQ71" s="1">
        <f t="shared" si="8"/>
        <v>485113.56763064413</v>
      </c>
      <c r="BR71" s="2"/>
      <c r="BS71" s="2"/>
      <c r="BT71" s="2"/>
      <c r="BU71" s="2"/>
      <c r="BV71" s="2"/>
      <c r="BW71" s="2"/>
      <c r="BX71" s="2"/>
      <c r="BY71" s="2"/>
      <c r="BZ71" s="1">
        <f t="shared" si="9"/>
        <v>833119.35485102178</v>
      </c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1">
        <f t="shared" si="10"/>
        <v>335748.29948633886</v>
      </c>
      <c r="CU71" s="2"/>
      <c r="CV71" s="2"/>
      <c r="CW71" s="2"/>
      <c r="CX71" s="1">
        <f t="shared" si="11"/>
        <v>1070084.3482198848</v>
      </c>
      <c r="CY71" s="2"/>
      <c r="CZ71" s="2"/>
      <c r="DA71" s="2"/>
      <c r="DB71" s="2"/>
      <c r="DC71" s="2"/>
      <c r="DD71" s="2"/>
      <c r="DE71" s="1">
        <f t="shared" si="12"/>
        <v>599081.81017304701</v>
      </c>
      <c r="DF71" s="2"/>
      <c r="DG71" s="2"/>
      <c r="DH71" s="2"/>
      <c r="DI71" s="2"/>
      <c r="DJ71" s="2"/>
      <c r="DK71" s="2"/>
      <c r="DL71" s="1">
        <f t="shared" si="13"/>
        <v>705277.23796075943</v>
      </c>
      <c r="DM71" s="2"/>
      <c r="DN71" s="2"/>
      <c r="DO71" s="2"/>
      <c r="DP71" s="2"/>
      <c r="DQ71" s="2"/>
      <c r="DR71" s="2"/>
      <c r="DS71" s="1">
        <f t="shared" si="14"/>
        <v>311121.93191364687</v>
      </c>
      <c r="DT71" s="2"/>
      <c r="DU71" s="2"/>
      <c r="DV71" s="2"/>
      <c r="DW71" s="2"/>
      <c r="DX71" s="2"/>
      <c r="DY71" s="2"/>
      <c r="DZ71" s="2"/>
      <c r="EA71" s="2"/>
      <c r="EB71" s="1">
        <f t="shared" si="15"/>
        <v>36444.416222704371</v>
      </c>
      <c r="EC71" s="2"/>
      <c r="ED71" s="2"/>
      <c r="EE71" s="1">
        <f t="shared" si="16"/>
        <v>89099.831538931088</v>
      </c>
      <c r="EF71" s="2"/>
      <c r="EG71" s="1">
        <f t="shared" si="16"/>
        <v>319424.51606400503</v>
      </c>
      <c r="EH71" s="2"/>
      <c r="HW71" s="4"/>
      <c r="HX71" s="2">
        <f t="shared" si="20"/>
        <v>1243033.9485886258</v>
      </c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1">
        <f t="shared" si="17"/>
        <v>1945082.8795742758</v>
      </c>
      <c r="LU71" s="1">
        <f t="shared" si="18"/>
        <v>1431528.807693918</v>
      </c>
    </row>
    <row r="72" spans="1:333">
      <c r="A72" s="1">
        <v>1435</v>
      </c>
      <c r="B72" s="1">
        <f t="shared" si="0"/>
        <v>8645059.057331413</v>
      </c>
      <c r="C72" s="1">
        <f t="shared" si="2"/>
        <v>2445897.495356556</v>
      </c>
      <c r="K72" s="1">
        <f t="shared" si="3"/>
        <v>986606.36470299237</v>
      </c>
      <c r="U72" s="1">
        <f t="shared" si="4"/>
        <v>1029585.3157566955</v>
      </c>
      <c r="AH72" s="1">
        <f t="shared" si="5"/>
        <v>2676091.517825244</v>
      </c>
      <c r="AT72" s="1">
        <f t="shared" si="6"/>
        <v>900622.61536407343</v>
      </c>
      <c r="BC72" s="1">
        <f t="shared" si="7"/>
        <v>606255.74832585256</v>
      </c>
      <c r="BI72" s="4">
        <f t="shared" si="1"/>
        <v>5339995.4904479049</v>
      </c>
      <c r="BJ72" s="2">
        <f t="shared" si="19"/>
        <v>535301.93528570107</v>
      </c>
      <c r="BK72" s="2"/>
      <c r="BL72" s="2"/>
      <c r="BM72" s="2"/>
      <c r="BN72" s="2"/>
      <c r="BO72" s="2"/>
      <c r="BP72" s="2"/>
      <c r="BQ72" s="1">
        <f t="shared" si="8"/>
        <v>486423.37426324683</v>
      </c>
      <c r="BR72" s="2"/>
      <c r="BS72" s="2"/>
      <c r="BT72" s="2"/>
      <c r="BU72" s="2"/>
      <c r="BV72" s="2"/>
      <c r="BW72" s="2"/>
      <c r="BX72" s="2"/>
      <c r="BY72" s="2"/>
      <c r="BZ72" s="1">
        <f t="shared" si="9"/>
        <v>838951.19033497886</v>
      </c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1">
        <f t="shared" si="10"/>
        <v>336889.84370459244</v>
      </c>
      <c r="CU72" s="2"/>
      <c r="CV72" s="2"/>
      <c r="CW72" s="2"/>
      <c r="CX72" s="1">
        <f t="shared" si="11"/>
        <v>1073722.6350038324</v>
      </c>
      <c r="CY72" s="2"/>
      <c r="CZ72" s="2"/>
      <c r="DA72" s="2"/>
      <c r="DB72" s="2"/>
      <c r="DC72" s="2"/>
      <c r="DD72" s="2"/>
      <c r="DE72" s="1">
        <f t="shared" si="12"/>
        <v>601118.68832763541</v>
      </c>
      <c r="DF72" s="2"/>
      <c r="DG72" s="2"/>
      <c r="DH72" s="2"/>
      <c r="DI72" s="2"/>
      <c r="DJ72" s="2"/>
      <c r="DK72" s="2"/>
      <c r="DL72" s="1">
        <f t="shared" si="13"/>
        <v>707675.18056982604</v>
      </c>
      <c r="DM72" s="2"/>
      <c r="DN72" s="2"/>
      <c r="DO72" s="2"/>
      <c r="DP72" s="2"/>
      <c r="DQ72" s="2"/>
      <c r="DR72" s="2"/>
      <c r="DS72" s="1">
        <f t="shared" si="14"/>
        <v>313299.78543704236</v>
      </c>
      <c r="DT72" s="2"/>
      <c r="DU72" s="2"/>
      <c r="DV72" s="2"/>
      <c r="DW72" s="2"/>
      <c r="DX72" s="2"/>
      <c r="DY72" s="2"/>
      <c r="DZ72" s="2"/>
      <c r="EA72" s="2"/>
      <c r="EB72" s="1">
        <f t="shared" si="15"/>
        <v>36699.527136263299</v>
      </c>
      <c r="EC72" s="2"/>
      <c r="ED72" s="2"/>
      <c r="EE72" s="1">
        <f t="shared" si="16"/>
        <v>89402.770966163458</v>
      </c>
      <c r="EF72" s="2"/>
      <c r="EG72" s="1">
        <f t="shared" si="16"/>
        <v>320510.5594186227</v>
      </c>
      <c r="EH72" s="2"/>
      <c r="HW72" s="4"/>
      <c r="HX72" s="2">
        <f t="shared" si="20"/>
        <v>1248627.6013572745</v>
      </c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1">
        <f t="shared" si="17"/>
        <v>1951696.1613648285</v>
      </c>
      <c r="LU72" s="1">
        <f t="shared" si="18"/>
        <v>1436396.0056400774</v>
      </c>
    </row>
    <row r="73" spans="1:333">
      <c r="A73" s="1">
        <v>1436</v>
      </c>
      <c r="B73" s="1">
        <f t="shared" si="0"/>
        <v>8676670.068974847</v>
      </c>
      <c r="C73" s="1">
        <f t="shared" si="2"/>
        <v>2454213.5468407683</v>
      </c>
      <c r="K73" s="1">
        <f t="shared" si="3"/>
        <v>991046.09334415582</v>
      </c>
      <c r="U73" s="1">
        <f t="shared" si="4"/>
        <v>1034218.4496776005</v>
      </c>
      <c r="AH73" s="1">
        <f t="shared" si="5"/>
        <v>2685190.2289858502</v>
      </c>
      <c r="AT73" s="1">
        <f t="shared" si="6"/>
        <v>903684.73225631134</v>
      </c>
      <c r="BC73" s="1">
        <f t="shared" si="7"/>
        <v>608317.01787016052</v>
      </c>
      <c r="BI73" s="4">
        <f t="shared" si="1"/>
        <v>5362465.9119186122</v>
      </c>
      <c r="BJ73" s="2">
        <f t="shared" si="19"/>
        <v>537496.67322037241</v>
      </c>
      <c r="BK73" s="2"/>
      <c r="BL73" s="2"/>
      <c r="BM73" s="2"/>
      <c r="BN73" s="2"/>
      <c r="BO73" s="2"/>
      <c r="BP73" s="2"/>
      <c r="BQ73" s="1">
        <f t="shared" si="8"/>
        <v>487736.71737375756</v>
      </c>
      <c r="BR73" s="2"/>
      <c r="BS73" s="2"/>
      <c r="BT73" s="2"/>
      <c r="BU73" s="2"/>
      <c r="BV73" s="2"/>
      <c r="BW73" s="2"/>
      <c r="BX73" s="2"/>
      <c r="BY73" s="2"/>
      <c r="BZ73" s="1">
        <f t="shared" si="9"/>
        <v>844823.84866732359</v>
      </c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1">
        <f t="shared" si="10"/>
        <v>338035.26917318808</v>
      </c>
      <c r="CU73" s="2"/>
      <c r="CV73" s="2"/>
      <c r="CW73" s="2"/>
      <c r="CX73" s="1">
        <f t="shared" si="11"/>
        <v>1077373.2919628455</v>
      </c>
      <c r="CY73" s="2"/>
      <c r="CZ73" s="2"/>
      <c r="DA73" s="2"/>
      <c r="DB73" s="2"/>
      <c r="DC73" s="2"/>
      <c r="DD73" s="2"/>
      <c r="DE73" s="1">
        <f t="shared" si="12"/>
        <v>603162.49186794937</v>
      </c>
      <c r="DF73" s="2"/>
      <c r="DG73" s="2"/>
      <c r="DH73" s="2"/>
      <c r="DI73" s="2"/>
      <c r="DJ73" s="2"/>
      <c r="DK73" s="2"/>
      <c r="DL73" s="1">
        <f t="shared" si="13"/>
        <v>710081.27618376352</v>
      </c>
      <c r="DM73" s="2"/>
      <c r="DN73" s="2"/>
      <c r="DO73" s="2"/>
      <c r="DP73" s="2"/>
      <c r="DQ73" s="2"/>
      <c r="DR73" s="2"/>
      <c r="DS73" s="1">
        <f t="shared" si="14"/>
        <v>315492.88393510162</v>
      </c>
      <c r="DT73" s="2"/>
      <c r="DU73" s="2"/>
      <c r="DV73" s="2"/>
      <c r="DW73" s="2"/>
      <c r="DX73" s="2"/>
      <c r="DY73" s="2"/>
      <c r="DZ73" s="2"/>
      <c r="EA73" s="2"/>
      <c r="EB73" s="1">
        <f t="shared" si="15"/>
        <v>36956.423826217142</v>
      </c>
      <c r="EC73" s="2"/>
      <c r="ED73" s="2"/>
      <c r="EE73" s="1">
        <f t="shared" si="16"/>
        <v>89706.740387448415</v>
      </c>
      <c r="EF73" s="2"/>
      <c r="EG73" s="1">
        <f t="shared" si="16"/>
        <v>321600.29532064602</v>
      </c>
      <c r="EH73" s="2"/>
      <c r="HW73" s="4"/>
      <c r="HX73" s="2">
        <f t="shared" si="20"/>
        <v>1254246.4255633822</v>
      </c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1">
        <f t="shared" si="17"/>
        <v>1958331.928313469</v>
      </c>
      <c r="LU73" s="1">
        <f t="shared" si="18"/>
        <v>1441279.7520592539</v>
      </c>
    </row>
    <row r="74" spans="1:333">
      <c r="A74" s="1">
        <v>1437</v>
      </c>
      <c r="B74" s="1">
        <f t="shared" si="0"/>
        <v>8708398.5382066853</v>
      </c>
      <c r="C74" s="1">
        <f t="shared" si="2"/>
        <v>2462557.8729000273</v>
      </c>
      <c r="K74" s="1">
        <f t="shared" si="3"/>
        <v>995505.80076420447</v>
      </c>
      <c r="U74" s="1">
        <f t="shared" si="4"/>
        <v>1038872.4327011497</v>
      </c>
      <c r="AH74" s="1">
        <f t="shared" si="5"/>
        <v>2694319.8757644021</v>
      </c>
      <c r="AT74" s="1">
        <f t="shared" si="6"/>
        <v>906757.26034598285</v>
      </c>
      <c r="BC74" s="1">
        <f t="shared" si="7"/>
        <v>610385.29573091911</v>
      </c>
      <c r="BI74" s="4">
        <f t="shared" si="1"/>
        <v>5385043.3113513719</v>
      </c>
      <c r="BJ74" s="2">
        <f t="shared" si="19"/>
        <v>539700.40958057588</v>
      </c>
      <c r="BK74" s="2"/>
      <c r="BL74" s="2"/>
      <c r="BM74" s="2"/>
      <c r="BN74" s="2"/>
      <c r="BO74" s="2"/>
      <c r="BP74" s="2"/>
      <c r="BQ74" s="1">
        <f t="shared" si="8"/>
        <v>489053.60651066666</v>
      </c>
      <c r="BR74" s="2"/>
      <c r="BS74" s="2"/>
      <c r="BT74" s="2"/>
      <c r="BU74" s="2"/>
      <c r="BV74" s="2"/>
      <c r="BW74" s="2"/>
      <c r="BX74" s="2"/>
      <c r="BY74" s="2"/>
      <c r="BZ74" s="1">
        <f t="shared" si="9"/>
        <v>850737.61560799472</v>
      </c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1">
        <f t="shared" si="10"/>
        <v>339184.58908837696</v>
      </c>
      <c r="CU74" s="2"/>
      <c r="CV74" s="2"/>
      <c r="CW74" s="2"/>
      <c r="CX74" s="1">
        <f t="shared" si="11"/>
        <v>1081036.3611555193</v>
      </c>
      <c r="CY74" s="2"/>
      <c r="CZ74" s="2"/>
      <c r="DA74" s="2"/>
      <c r="DB74" s="2"/>
      <c r="DC74" s="2"/>
      <c r="DD74" s="2"/>
      <c r="DE74" s="1">
        <f t="shared" si="12"/>
        <v>605213.24434030044</v>
      </c>
      <c r="DF74" s="2"/>
      <c r="DG74" s="2"/>
      <c r="DH74" s="2"/>
      <c r="DI74" s="2"/>
      <c r="DJ74" s="2"/>
      <c r="DK74" s="2"/>
      <c r="DL74" s="1">
        <f t="shared" si="13"/>
        <v>712495.55252278841</v>
      </c>
      <c r="DM74" s="2"/>
      <c r="DN74" s="2"/>
      <c r="DO74" s="2"/>
      <c r="DP74" s="2"/>
      <c r="DQ74" s="2"/>
      <c r="DR74" s="2"/>
      <c r="DS74" s="1">
        <f t="shared" si="14"/>
        <v>317701.3341226473</v>
      </c>
      <c r="DT74" s="2"/>
      <c r="DU74" s="2"/>
      <c r="DV74" s="2"/>
      <c r="DW74" s="2"/>
      <c r="DX74" s="2"/>
      <c r="DY74" s="2"/>
      <c r="DZ74" s="2"/>
      <c r="EA74" s="2"/>
      <c r="EB74" s="1">
        <f t="shared" si="15"/>
        <v>37215.118793000656</v>
      </c>
      <c r="EC74" s="2"/>
      <c r="ED74" s="2"/>
      <c r="EE74" s="1">
        <f t="shared" si="16"/>
        <v>90011.74330476574</v>
      </c>
      <c r="EF74" s="2"/>
      <c r="EG74" s="1">
        <f t="shared" si="16"/>
        <v>322693.73632473627</v>
      </c>
      <c r="EH74" s="2"/>
      <c r="HW74" s="4"/>
      <c r="HX74" s="2">
        <f t="shared" si="20"/>
        <v>1259890.5344784174</v>
      </c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1">
        <f t="shared" si="17"/>
        <v>1964990.256869735</v>
      </c>
      <c r="LU74" s="1">
        <f t="shared" si="18"/>
        <v>1446180.1032162553</v>
      </c>
    </row>
    <row r="75" spans="1:333">
      <c r="A75" s="1">
        <v>1438</v>
      </c>
      <c r="B75" s="1">
        <f t="shared" si="0"/>
        <v>8740244.9092934001</v>
      </c>
      <c r="C75" s="1">
        <f t="shared" si="2"/>
        <v>2470930.5696678874</v>
      </c>
      <c r="K75" s="1">
        <f t="shared" si="3"/>
        <v>999985.57686764339</v>
      </c>
      <c r="U75" s="1">
        <f t="shared" si="4"/>
        <v>1043547.3586483048</v>
      </c>
      <c r="AH75" s="1">
        <f t="shared" si="5"/>
        <v>2703480.5633420013</v>
      </c>
      <c r="AT75" s="1">
        <f t="shared" si="6"/>
        <v>909840.23503115925</v>
      </c>
      <c r="BC75" s="1">
        <f t="shared" si="7"/>
        <v>612460.60573640431</v>
      </c>
      <c r="BI75" s="4">
        <f t="shared" si="1"/>
        <v>5407728.2660187995</v>
      </c>
      <c r="BJ75" s="2">
        <f t="shared" si="19"/>
        <v>541913.18125985621</v>
      </c>
      <c r="BK75" s="2"/>
      <c r="BL75" s="2"/>
      <c r="BM75" s="2"/>
      <c r="BN75" s="2"/>
      <c r="BO75" s="2"/>
      <c r="BP75" s="2"/>
      <c r="BQ75" s="1">
        <f t="shared" si="8"/>
        <v>490374.05124824541</v>
      </c>
      <c r="BR75" s="2"/>
      <c r="BS75" s="2"/>
      <c r="BT75" s="2"/>
      <c r="BU75" s="2"/>
      <c r="BV75" s="2"/>
      <c r="BW75" s="2"/>
      <c r="BX75" s="2"/>
      <c r="BY75" s="2"/>
      <c r="BZ75" s="1">
        <f t="shared" si="9"/>
        <v>856692.77891725057</v>
      </c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1">
        <f t="shared" si="10"/>
        <v>340337.81669127749</v>
      </c>
      <c r="CU75" s="2"/>
      <c r="CV75" s="2"/>
      <c r="CW75" s="2"/>
      <c r="CX75" s="1">
        <f t="shared" si="11"/>
        <v>1084711.8847834482</v>
      </c>
      <c r="CY75" s="2"/>
      <c r="CZ75" s="2"/>
      <c r="DA75" s="2"/>
      <c r="DB75" s="2"/>
      <c r="DC75" s="2"/>
      <c r="DD75" s="2"/>
      <c r="DE75" s="1">
        <f t="shared" si="12"/>
        <v>607270.96937105746</v>
      </c>
      <c r="DF75" s="2"/>
      <c r="DG75" s="2"/>
      <c r="DH75" s="2"/>
      <c r="DI75" s="2"/>
      <c r="DJ75" s="2"/>
      <c r="DK75" s="2"/>
      <c r="DL75" s="1">
        <f t="shared" si="13"/>
        <v>714918.03740136593</v>
      </c>
      <c r="DM75" s="2"/>
      <c r="DN75" s="2"/>
      <c r="DO75" s="2"/>
      <c r="DP75" s="2"/>
      <c r="DQ75" s="2"/>
      <c r="DR75" s="2"/>
      <c r="DS75" s="1">
        <f t="shared" si="14"/>
        <v>319925.2434615058</v>
      </c>
      <c r="DT75" s="2"/>
      <c r="DU75" s="2"/>
      <c r="DV75" s="2"/>
      <c r="DW75" s="2"/>
      <c r="DX75" s="2"/>
      <c r="DY75" s="2"/>
      <c r="DZ75" s="2"/>
      <c r="EA75" s="2"/>
      <c r="EB75" s="1">
        <f t="shared" si="15"/>
        <v>37475.62462455166</v>
      </c>
      <c r="EC75" s="2"/>
      <c r="ED75" s="2"/>
      <c r="EE75" s="1">
        <f t="shared" si="16"/>
        <v>90317.783232001952</v>
      </c>
      <c r="EF75" s="2"/>
      <c r="EG75" s="1">
        <f t="shared" si="16"/>
        <v>323790.8950282404</v>
      </c>
      <c r="EH75" s="2"/>
      <c r="HW75" s="4"/>
      <c r="HX75" s="2">
        <f t="shared" si="20"/>
        <v>1265560.0418835701</v>
      </c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1">
        <f t="shared" si="17"/>
        <v>1971671.2237430923</v>
      </c>
      <c r="LU75" s="1">
        <f t="shared" si="18"/>
        <v>1451097.1155671906</v>
      </c>
    </row>
    <row r="76" spans="1:333">
      <c r="A76" s="1">
        <v>1439</v>
      </c>
      <c r="B76" s="1">
        <f t="shared" si="0"/>
        <v>8772209.628214065</v>
      </c>
      <c r="C76" s="1">
        <f t="shared" si="2"/>
        <v>2479331.7336047585</v>
      </c>
      <c r="K76" s="1">
        <f t="shared" si="3"/>
        <v>1004485.5119635478</v>
      </c>
      <c r="U76" s="1">
        <f t="shared" si="4"/>
        <v>1048243.3217622221</v>
      </c>
      <c r="AH76" s="1">
        <f t="shared" si="5"/>
        <v>2712672.3972573644</v>
      </c>
      <c r="AT76" s="1">
        <f t="shared" si="6"/>
        <v>912933.69183026522</v>
      </c>
      <c r="BC76" s="1">
        <f t="shared" si="7"/>
        <v>614542.97179590818</v>
      </c>
      <c r="BI76" s="4">
        <f t="shared" si="1"/>
        <v>5430521.3566434858</v>
      </c>
      <c r="BJ76" s="2">
        <f t="shared" si="19"/>
        <v>544135.02530302166</v>
      </c>
      <c r="BK76" s="2"/>
      <c r="BL76" s="2"/>
      <c r="BM76" s="2"/>
      <c r="BN76" s="2"/>
      <c r="BO76" s="2"/>
      <c r="BP76" s="2"/>
      <c r="BQ76" s="1">
        <f t="shared" si="8"/>
        <v>491698.06118661561</v>
      </c>
      <c r="BR76" s="2"/>
      <c r="BS76" s="2"/>
      <c r="BT76" s="2"/>
      <c r="BU76" s="2"/>
      <c r="BV76" s="2"/>
      <c r="BW76" s="2"/>
      <c r="BX76" s="2"/>
      <c r="BY76" s="2"/>
      <c r="BZ76" s="1">
        <f t="shared" si="9"/>
        <v>862689.62836967129</v>
      </c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1">
        <f t="shared" si="10"/>
        <v>341494.96526802785</v>
      </c>
      <c r="CU76" s="2"/>
      <c r="CV76" s="2"/>
      <c r="CW76" s="2"/>
      <c r="CX76" s="1">
        <f t="shared" si="11"/>
        <v>1088399.9051917121</v>
      </c>
      <c r="CY76" s="2"/>
      <c r="CZ76" s="2"/>
      <c r="DA76" s="2"/>
      <c r="DB76" s="2"/>
      <c r="DC76" s="2"/>
      <c r="DD76" s="2"/>
      <c r="DE76" s="1">
        <f t="shared" si="12"/>
        <v>609335.69066691911</v>
      </c>
      <c r="DF76" s="2"/>
      <c r="DG76" s="2"/>
      <c r="DH76" s="2"/>
      <c r="DI76" s="2"/>
      <c r="DJ76" s="2"/>
      <c r="DK76" s="2"/>
      <c r="DL76" s="1">
        <f t="shared" si="13"/>
        <v>717348.75872853061</v>
      </c>
      <c r="DM76" s="2"/>
      <c r="DN76" s="2"/>
      <c r="DO76" s="2"/>
      <c r="DP76" s="2"/>
      <c r="DQ76" s="2"/>
      <c r="DR76" s="2"/>
      <c r="DS76" s="1">
        <f t="shared" si="14"/>
        <v>322164.72016573633</v>
      </c>
      <c r="DT76" s="2"/>
      <c r="DU76" s="2"/>
      <c r="DV76" s="2"/>
      <c r="DW76" s="2"/>
      <c r="DX76" s="2"/>
      <c r="DY76" s="2"/>
      <c r="DZ76" s="2"/>
      <c r="EA76" s="2"/>
      <c r="EB76" s="1">
        <f t="shared" si="15"/>
        <v>37737.953996923519</v>
      </c>
      <c r="EC76" s="2"/>
      <c r="ED76" s="2"/>
      <c r="EE76" s="1">
        <f t="shared" si="16"/>
        <v>90624.863694990767</v>
      </c>
      <c r="EF76" s="2"/>
      <c r="EG76" s="1">
        <f t="shared" si="16"/>
        <v>324891.78407133644</v>
      </c>
      <c r="EH76" s="2"/>
      <c r="HW76" s="4"/>
      <c r="HX76" s="2">
        <f t="shared" si="20"/>
        <v>1271255.0620720461</v>
      </c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1">
        <f t="shared" si="17"/>
        <v>1978374.905903819</v>
      </c>
      <c r="LU76" s="1">
        <f t="shared" si="18"/>
        <v>1456030.8457601191</v>
      </c>
    </row>
    <row r="77" spans="1:333">
      <c r="A77" s="1">
        <v>1440</v>
      </c>
      <c r="B77" s="1">
        <f t="shared" si="0"/>
        <v>8804293.1426670924</v>
      </c>
      <c r="C77" s="1">
        <f t="shared" si="2"/>
        <v>2487761.4614990149</v>
      </c>
      <c r="K77" s="1">
        <f t="shared" si="3"/>
        <v>1009005.6967673837</v>
      </c>
      <c r="U77" s="1">
        <f t="shared" si="4"/>
        <v>1052960.4167101521</v>
      </c>
      <c r="AH77" s="1">
        <f t="shared" si="5"/>
        <v>2721895.4834080394</v>
      </c>
      <c r="AT77" s="1">
        <f t="shared" si="6"/>
        <v>916037.66638248821</v>
      </c>
      <c r="BC77" s="1">
        <f t="shared" si="7"/>
        <v>616632.41790001432</v>
      </c>
      <c r="BI77" s="4">
        <f t="shared" si="1"/>
        <v>5453423.1674200715</v>
      </c>
      <c r="BJ77" s="2">
        <f t="shared" si="19"/>
        <v>546365.97890676407</v>
      </c>
      <c r="BK77" s="2"/>
      <c r="BL77" s="2"/>
      <c r="BM77" s="2"/>
      <c r="BN77" s="2"/>
      <c r="BO77" s="2"/>
      <c r="BP77" s="2"/>
      <c r="BQ77" s="1">
        <f t="shared" si="8"/>
        <v>493025.64595181943</v>
      </c>
      <c r="BR77" s="2"/>
      <c r="BS77" s="2"/>
      <c r="BT77" s="2"/>
      <c r="BU77" s="2"/>
      <c r="BV77" s="2"/>
      <c r="BW77" s="2"/>
      <c r="BX77" s="2"/>
      <c r="BY77" s="2"/>
      <c r="BZ77" s="1">
        <f t="shared" si="9"/>
        <v>868728.45576825889</v>
      </c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1">
        <f t="shared" si="10"/>
        <v>342656.04814993916</v>
      </c>
      <c r="CU77" s="2"/>
      <c r="CV77" s="2"/>
      <c r="CW77" s="2"/>
      <c r="CX77" s="1">
        <f t="shared" si="11"/>
        <v>1092100.4648693639</v>
      </c>
      <c r="CY77" s="2"/>
      <c r="CZ77" s="2"/>
      <c r="DA77" s="2"/>
      <c r="DB77" s="2"/>
      <c r="DC77" s="2"/>
      <c r="DD77" s="2"/>
      <c r="DE77" s="1">
        <f t="shared" si="12"/>
        <v>611407.43201518664</v>
      </c>
      <c r="DF77" s="2"/>
      <c r="DG77" s="2"/>
      <c r="DH77" s="2"/>
      <c r="DI77" s="2"/>
      <c r="DJ77" s="2"/>
      <c r="DK77" s="2"/>
      <c r="DL77" s="1">
        <f t="shared" si="13"/>
        <v>719787.74450820766</v>
      </c>
      <c r="DM77" s="2"/>
      <c r="DN77" s="2"/>
      <c r="DO77" s="2"/>
      <c r="DP77" s="2"/>
      <c r="DQ77" s="2"/>
      <c r="DR77" s="2"/>
      <c r="DS77" s="1">
        <f t="shared" si="14"/>
        <v>324419.87320689647</v>
      </c>
      <c r="DT77" s="2"/>
      <c r="DU77" s="2"/>
      <c r="DV77" s="2"/>
      <c r="DW77" s="2"/>
      <c r="DX77" s="2"/>
      <c r="DY77" s="2"/>
      <c r="DZ77" s="2"/>
      <c r="EA77" s="2"/>
      <c r="EB77" s="1">
        <f t="shared" si="15"/>
        <v>38002.11967490198</v>
      </c>
      <c r="EC77" s="2"/>
      <c r="ED77" s="2"/>
      <c r="EE77" s="1">
        <f t="shared" si="16"/>
        <v>90932.98823155374</v>
      </c>
      <c r="EF77" s="2"/>
      <c r="EG77" s="1">
        <f t="shared" si="16"/>
        <v>325996.41613717901</v>
      </c>
      <c r="EH77" s="2"/>
      <c r="HW77" s="4"/>
      <c r="HX77" s="2">
        <f t="shared" si="20"/>
        <v>1276975.7098513702</v>
      </c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1">
        <f t="shared" si="17"/>
        <v>1985101.3805838921</v>
      </c>
      <c r="LU77" s="1">
        <f t="shared" si="18"/>
        <v>1460981.3506357037</v>
      </c>
    </row>
    <row r="78" spans="1:333">
      <c r="A78" s="1">
        <v>1441</v>
      </c>
      <c r="B78" s="1">
        <f t="shared" si="0"/>
        <v>8836495.9020769857</v>
      </c>
      <c r="C78" s="1">
        <f t="shared" si="2"/>
        <v>2496219.8504681117</v>
      </c>
      <c r="K78" s="1">
        <f t="shared" si="3"/>
        <v>1013546.2224028369</v>
      </c>
      <c r="U78" s="1">
        <f t="shared" si="4"/>
        <v>1057698.7385853478</v>
      </c>
      <c r="AH78" s="1">
        <f t="shared" si="5"/>
        <v>2731149.9280516268</v>
      </c>
      <c r="AT78" s="1">
        <f t="shared" si="6"/>
        <v>919152.19444818876</v>
      </c>
      <c r="BC78" s="1">
        <f t="shared" si="7"/>
        <v>618728.96812087437</v>
      </c>
      <c r="BI78" s="4">
        <f t="shared" si="1"/>
        <v>5476434.2860375084</v>
      </c>
      <c r="BJ78" s="2">
        <f t="shared" si="19"/>
        <v>548606.07942028181</v>
      </c>
      <c r="BK78" s="2"/>
      <c r="BL78" s="2"/>
      <c r="BM78" s="2"/>
      <c r="BN78" s="2"/>
      <c r="BO78" s="2"/>
      <c r="BP78" s="2"/>
      <c r="BQ78" s="1">
        <f t="shared" si="8"/>
        <v>494356.81519588933</v>
      </c>
      <c r="BR78" s="2"/>
      <c r="BS78" s="2"/>
      <c r="BT78" s="2"/>
      <c r="BU78" s="2"/>
      <c r="BV78" s="2"/>
      <c r="BW78" s="2"/>
      <c r="BX78" s="2"/>
      <c r="BY78" s="2"/>
      <c r="BZ78" s="1">
        <f t="shared" si="9"/>
        <v>874809.55495863664</v>
      </c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1">
        <f t="shared" si="10"/>
        <v>343821.07871364895</v>
      </c>
      <c r="CU78" s="2"/>
      <c r="CV78" s="2"/>
      <c r="CW78" s="2"/>
      <c r="CX78" s="1">
        <f t="shared" si="11"/>
        <v>1095813.6064499198</v>
      </c>
      <c r="CY78" s="2"/>
      <c r="CZ78" s="2"/>
      <c r="DA78" s="2"/>
      <c r="DB78" s="2"/>
      <c r="DC78" s="2"/>
      <c r="DD78" s="2"/>
      <c r="DE78" s="1">
        <f t="shared" si="12"/>
        <v>613486.21728403831</v>
      </c>
      <c r="DF78" s="2"/>
      <c r="DG78" s="2"/>
      <c r="DH78" s="2"/>
      <c r="DI78" s="2"/>
      <c r="DJ78" s="2"/>
      <c r="DK78" s="2"/>
      <c r="DL78" s="1">
        <f t="shared" si="13"/>
        <v>722235.02283953561</v>
      </c>
      <c r="DM78" s="2"/>
      <c r="DN78" s="2"/>
      <c r="DO78" s="2"/>
      <c r="DP78" s="2"/>
      <c r="DQ78" s="2"/>
      <c r="DR78" s="2"/>
      <c r="DS78" s="1">
        <f t="shared" si="14"/>
        <v>326690.81231934472</v>
      </c>
      <c r="DT78" s="2"/>
      <c r="DU78" s="2"/>
      <c r="DV78" s="2"/>
      <c r="DW78" s="2"/>
      <c r="DX78" s="2"/>
      <c r="DY78" s="2"/>
      <c r="DZ78" s="2"/>
      <c r="EA78" s="2"/>
      <c r="EB78" s="1">
        <f t="shared" si="15"/>
        <v>38268.13451262629</v>
      </c>
      <c r="EC78" s="2"/>
      <c r="ED78" s="2"/>
      <c r="EE78" s="1">
        <f t="shared" si="16"/>
        <v>91242.160391541023</v>
      </c>
      <c r="EF78" s="2"/>
      <c r="EG78" s="1">
        <f t="shared" si="16"/>
        <v>327104.80395204545</v>
      </c>
      <c r="EH78" s="2"/>
      <c r="HW78" s="4"/>
      <c r="HX78" s="2">
        <f t="shared" si="20"/>
        <v>1282722.1005457013</v>
      </c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1">
        <f t="shared" si="17"/>
        <v>1991850.7252778774</v>
      </c>
      <c r="LU78" s="1">
        <f t="shared" si="18"/>
        <v>1465948.6872278652</v>
      </c>
    </row>
    <row r="79" spans="1:333">
      <c r="A79" s="1">
        <v>1442</v>
      </c>
      <c r="B79" s="1">
        <f t="shared" si="0"/>
        <v>8868818.3576011341</v>
      </c>
      <c r="C79" s="1">
        <f t="shared" si="2"/>
        <v>2504706.9979597037</v>
      </c>
      <c r="K79" s="1">
        <f t="shared" si="3"/>
        <v>1018107.1804036496</v>
      </c>
      <c r="U79" s="1">
        <f t="shared" si="4"/>
        <v>1062458.3829089818</v>
      </c>
      <c r="AH79" s="1">
        <f t="shared" si="5"/>
        <v>2740435.8378070025</v>
      </c>
      <c r="AT79" s="1">
        <f t="shared" si="6"/>
        <v>922277.31190931262</v>
      </c>
      <c r="BC79" s="1">
        <f t="shared" si="7"/>
        <v>620832.64661248541</v>
      </c>
      <c r="BI79" s="4">
        <f t="shared" si="1"/>
        <v>5499555.303701438</v>
      </c>
      <c r="BJ79" s="2">
        <f t="shared" si="19"/>
        <v>550855.36434590491</v>
      </c>
      <c r="BK79" s="2"/>
      <c r="BL79" s="2"/>
      <c r="BM79" s="2"/>
      <c r="BN79" s="2"/>
      <c r="BO79" s="2"/>
      <c r="BP79" s="2"/>
      <c r="BQ79" s="1">
        <f t="shared" si="8"/>
        <v>495691.5785969182</v>
      </c>
      <c r="BR79" s="2"/>
      <c r="BS79" s="2"/>
      <c r="BT79" s="2"/>
      <c r="BU79" s="2"/>
      <c r="BV79" s="2"/>
      <c r="BW79" s="2"/>
      <c r="BX79" s="2"/>
      <c r="BY79" s="2"/>
      <c r="BZ79" s="1">
        <f t="shared" si="9"/>
        <v>880933.22184334695</v>
      </c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1">
        <f t="shared" si="10"/>
        <v>344990.07038127538</v>
      </c>
      <c r="CU79" s="2"/>
      <c r="CV79" s="2"/>
      <c r="CW79" s="2"/>
      <c r="CX79" s="1">
        <f t="shared" si="11"/>
        <v>1099539.3727118496</v>
      </c>
      <c r="CY79" s="2"/>
      <c r="CZ79" s="2"/>
      <c r="DA79" s="2"/>
      <c r="DB79" s="2"/>
      <c r="DC79" s="2"/>
      <c r="DD79" s="2"/>
      <c r="DE79" s="1">
        <f t="shared" si="12"/>
        <v>615572.0704228041</v>
      </c>
      <c r="DF79" s="2"/>
      <c r="DG79" s="2"/>
      <c r="DH79" s="2"/>
      <c r="DI79" s="2"/>
      <c r="DJ79" s="2"/>
      <c r="DK79" s="2"/>
      <c r="DL79" s="1">
        <f t="shared" si="13"/>
        <v>724690.62191719003</v>
      </c>
      <c r="DM79" s="2"/>
      <c r="DN79" s="2"/>
      <c r="DO79" s="2"/>
      <c r="DP79" s="2"/>
      <c r="DQ79" s="2"/>
      <c r="DR79" s="2"/>
      <c r="DS79" s="1">
        <f t="shared" si="14"/>
        <v>328977.64800558012</v>
      </c>
      <c r="DT79" s="2"/>
      <c r="DU79" s="2"/>
      <c r="DV79" s="2"/>
      <c r="DW79" s="2"/>
      <c r="DX79" s="2"/>
      <c r="DY79" s="2"/>
      <c r="DZ79" s="2"/>
      <c r="EA79" s="2"/>
      <c r="EB79" s="1">
        <f t="shared" si="15"/>
        <v>38536.011454214669</v>
      </c>
      <c r="EC79" s="2"/>
      <c r="ED79" s="2"/>
      <c r="EE79" s="1">
        <f t="shared" si="16"/>
        <v>91552.383736872274</v>
      </c>
      <c r="EF79" s="2"/>
      <c r="EG79" s="1">
        <f t="shared" si="16"/>
        <v>328216.9602854824</v>
      </c>
      <c r="EH79" s="2"/>
      <c r="HW79" s="4"/>
      <c r="HX79" s="2">
        <f t="shared" si="20"/>
        <v>1288494.349998157</v>
      </c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1">
        <f t="shared" si="17"/>
        <v>1998623.0177438224</v>
      </c>
      <c r="LU79" s="1">
        <f t="shared" si="18"/>
        <v>1470932.9127644401</v>
      </c>
    </row>
    <row r="80" spans="1:333">
      <c r="A80" s="1">
        <v>1443</v>
      </c>
      <c r="B80" s="1">
        <f t="shared" si="0"/>
        <v>8901260.9621366244</v>
      </c>
      <c r="C80" s="1">
        <f t="shared" si="2"/>
        <v>2513223.0017527668</v>
      </c>
      <c r="K80" s="1">
        <f t="shared" si="3"/>
        <v>1022688.662715466</v>
      </c>
      <c r="U80" s="1">
        <f t="shared" si="4"/>
        <v>1067239.4456320722</v>
      </c>
      <c r="AH80" s="1">
        <f t="shared" si="5"/>
        <v>2749753.3196555465</v>
      </c>
      <c r="AT80" s="1">
        <f t="shared" si="6"/>
        <v>925413.05476980435</v>
      </c>
      <c r="BC80" s="1">
        <f t="shared" si="7"/>
        <v>622943.47761096794</v>
      </c>
      <c r="BI80" s="4">
        <f t="shared" si="1"/>
        <v>5522786.8151567392</v>
      </c>
      <c r="BJ80" s="2">
        <f t="shared" si="19"/>
        <v>553113.87133972312</v>
      </c>
      <c r="BK80" s="2"/>
      <c r="BL80" s="2"/>
      <c r="BM80" s="2"/>
      <c r="BN80" s="2"/>
      <c r="BO80" s="2"/>
      <c r="BP80" s="2"/>
      <c r="BQ80" s="1">
        <f t="shared" si="8"/>
        <v>497029.94585912983</v>
      </c>
      <c r="BR80" s="2"/>
      <c r="BS80" s="2"/>
      <c r="BT80" s="2"/>
      <c r="BU80" s="2"/>
      <c r="BV80" s="2"/>
      <c r="BW80" s="2"/>
      <c r="BX80" s="2"/>
      <c r="BY80" s="2"/>
      <c r="BZ80" s="1">
        <f t="shared" si="9"/>
        <v>887099.75439625024</v>
      </c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1">
        <f t="shared" si="10"/>
        <v>346163.03662057174</v>
      </c>
      <c r="CU80" s="2"/>
      <c r="CV80" s="2"/>
      <c r="CW80" s="2"/>
      <c r="CX80" s="1">
        <f t="shared" si="11"/>
        <v>1103277.8065790699</v>
      </c>
      <c r="CY80" s="2"/>
      <c r="CZ80" s="2"/>
      <c r="DA80" s="2"/>
      <c r="DB80" s="2"/>
      <c r="DC80" s="2"/>
      <c r="DD80" s="2"/>
      <c r="DE80" s="1">
        <f t="shared" si="12"/>
        <v>617665.01546224172</v>
      </c>
      <c r="DF80" s="2"/>
      <c r="DG80" s="2"/>
      <c r="DH80" s="2"/>
      <c r="DI80" s="2"/>
      <c r="DJ80" s="2"/>
      <c r="DK80" s="2"/>
      <c r="DL80" s="1">
        <f t="shared" si="13"/>
        <v>727154.57003170857</v>
      </c>
      <c r="DM80" s="2"/>
      <c r="DN80" s="2"/>
      <c r="DO80" s="2"/>
      <c r="DP80" s="2"/>
      <c r="DQ80" s="2"/>
      <c r="DR80" s="2"/>
      <c r="DS80" s="1">
        <f t="shared" si="14"/>
        <v>331280.49154161912</v>
      </c>
      <c r="DT80" s="2"/>
      <c r="DU80" s="2"/>
      <c r="DV80" s="2"/>
      <c r="DW80" s="2"/>
      <c r="DX80" s="2"/>
      <c r="DY80" s="2"/>
      <c r="DZ80" s="2"/>
      <c r="EA80" s="2"/>
      <c r="EB80" s="1">
        <f t="shared" si="15"/>
        <v>38805.763534394166</v>
      </c>
      <c r="EC80" s="2"/>
      <c r="ED80" s="2"/>
      <c r="EE80" s="1">
        <f t="shared" si="16"/>
        <v>91863.661841577647</v>
      </c>
      <c r="EF80" s="2"/>
      <c r="EG80" s="1">
        <f t="shared" si="16"/>
        <v>329332.89795045304</v>
      </c>
      <c r="EH80" s="2"/>
      <c r="HW80" s="4"/>
      <c r="HX80" s="2">
        <f t="shared" si="20"/>
        <v>1294292.5745731487</v>
      </c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1">
        <f t="shared" si="17"/>
        <v>2005418.3360041515</v>
      </c>
      <c r="LU80" s="1">
        <f t="shared" si="18"/>
        <v>1475934.0846678393</v>
      </c>
    </row>
    <row r="81" spans="1:333">
      <c r="A81" s="1">
        <v>1444</v>
      </c>
      <c r="B81" s="1">
        <f t="shared" si="0"/>
        <v>8933824.1703270711</v>
      </c>
      <c r="C81" s="1">
        <f t="shared" si="2"/>
        <v>2521767.9599587265</v>
      </c>
      <c r="K81" s="1">
        <f t="shared" si="3"/>
        <v>1027290.7616976856</v>
      </c>
      <c r="U81" s="1">
        <f t="shared" si="4"/>
        <v>1072042.0231374165</v>
      </c>
      <c r="AH81" s="1">
        <f t="shared" si="5"/>
        <v>2759102.4809423755</v>
      </c>
      <c r="AT81" s="1">
        <f t="shared" si="6"/>
        <v>928559.45915602171</v>
      </c>
      <c r="BC81" s="1">
        <f t="shared" si="7"/>
        <v>625061.48543484532</v>
      </c>
      <c r="BI81" s="4">
        <f t="shared" si="1"/>
        <v>5546129.4187102076</v>
      </c>
      <c r="BJ81" s="2">
        <f t="shared" si="19"/>
        <v>555381.63821221597</v>
      </c>
      <c r="BK81" s="2"/>
      <c r="BL81" s="2"/>
      <c r="BM81" s="2"/>
      <c r="BN81" s="2"/>
      <c r="BO81" s="2"/>
      <c r="BP81" s="2"/>
      <c r="BQ81" s="1">
        <f t="shared" si="8"/>
        <v>498371.92671294947</v>
      </c>
      <c r="BR81" s="2"/>
      <c r="BS81" s="2"/>
      <c r="BT81" s="2"/>
      <c r="BU81" s="2"/>
      <c r="BV81" s="2"/>
      <c r="BW81" s="2"/>
      <c r="BX81" s="2"/>
      <c r="BY81" s="2"/>
      <c r="BZ81" s="1">
        <f t="shared" si="9"/>
        <v>893309.45267702395</v>
      </c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1">
        <f t="shared" si="10"/>
        <v>347339.99094508169</v>
      </c>
      <c r="CU81" s="2"/>
      <c r="CV81" s="2"/>
      <c r="CW81" s="2"/>
      <c r="CX81" s="1">
        <f t="shared" si="11"/>
        <v>1107028.9511214388</v>
      </c>
      <c r="CY81" s="2"/>
      <c r="CZ81" s="2"/>
      <c r="DA81" s="2"/>
      <c r="DB81" s="2"/>
      <c r="DC81" s="2"/>
      <c r="DD81" s="2"/>
      <c r="DE81" s="1">
        <f t="shared" si="12"/>
        <v>619765.07651481335</v>
      </c>
      <c r="DF81" s="2"/>
      <c r="DG81" s="2"/>
      <c r="DH81" s="2"/>
      <c r="DI81" s="2"/>
      <c r="DJ81" s="2"/>
      <c r="DK81" s="2"/>
      <c r="DL81" s="1">
        <f t="shared" si="13"/>
        <v>729626.89556981646</v>
      </c>
      <c r="DM81" s="2"/>
      <c r="DN81" s="2"/>
      <c r="DO81" s="2"/>
      <c r="DP81" s="2"/>
      <c r="DQ81" s="2"/>
      <c r="DR81" s="2"/>
      <c r="DS81" s="1">
        <f t="shared" si="14"/>
        <v>333599.45498241042</v>
      </c>
      <c r="DT81" s="2"/>
      <c r="DU81" s="2"/>
      <c r="DV81" s="2"/>
      <c r="DW81" s="2"/>
      <c r="DX81" s="2"/>
      <c r="DY81" s="2"/>
      <c r="DZ81" s="2"/>
      <c r="EA81" s="2"/>
      <c r="EB81" s="1">
        <f t="shared" si="15"/>
        <v>39077.403879134923</v>
      </c>
      <c r="EC81" s="2"/>
      <c r="ED81" s="2"/>
      <c r="EE81" s="1">
        <f t="shared" si="16"/>
        <v>92175.998291839016</v>
      </c>
      <c r="EF81" s="2"/>
      <c r="EG81" s="1">
        <f t="shared" si="16"/>
        <v>330452.6298034846</v>
      </c>
      <c r="EH81" s="2"/>
      <c r="HW81" s="4"/>
      <c r="HX81" s="2">
        <f t="shared" si="20"/>
        <v>1300116.8911587279</v>
      </c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1">
        <f t="shared" si="17"/>
        <v>2012236.7583465658</v>
      </c>
      <c r="LU81" s="1">
        <f t="shared" si="18"/>
        <v>1480952.2605557102</v>
      </c>
    </row>
    <row r="82" spans="1:333">
      <c r="A82" s="1">
        <v>1445</v>
      </c>
      <c r="B82" s="1">
        <f t="shared" si="0"/>
        <v>8966508.4385695029</v>
      </c>
      <c r="C82" s="1">
        <f t="shared" si="2"/>
        <v>2530341.9710225863</v>
      </c>
      <c r="K82" s="1">
        <f t="shared" si="3"/>
        <v>1031913.5701253251</v>
      </c>
      <c r="U82" s="1">
        <f t="shared" si="4"/>
        <v>1076866.2122415348</v>
      </c>
      <c r="AH82" s="1">
        <f t="shared" si="5"/>
        <v>2768483.4293775796</v>
      </c>
      <c r="AT82" s="1">
        <f t="shared" si="6"/>
        <v>931716.56131715223</v>
      </c>
      <c r="BC82" s="1">
        <f t="shared" si="7"/>
        <v>627186.69448532385</v>
      </c>
      <c r="BI82" s="4">
        <f t="shared" si="1"/>
        <v>5569583.716253412</v>
      </c>
      <c r="BJ82" s="2">
        <f t="shared" si="19"/>
        <v>557658.70292888605</v>
      </c>
      <c r="BK82" s="2"/>
      <c r="BL82" s="2"/>
      <c r="BM82" s="2"/>
      <c r="BN82" s="2"/>
      <c r="BO82" s="2"/>
      <c r="BP82" s="2"/>
      <c r="BQ82" s="1">
        <f t="shared" si="8"/>
        <v>499717.5309150744</v>
      </c>
      <c r="BR82" s="2"/>
      <c r="BS82" s="2"/>
      <c r="BT82" s="2"/>
      <c r="BU82" s="2"/>
      <c r="BV82" s="2"/>
      <c r="BW82" s="2"/>
      <c r="BX82" s="2"/>
      <c r="BY82" s="2"/>
      <c r="BZ82" s="1">
        <f t="shared" si="9"/>
        <v>899562.61884576303</v>
      </c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1">
        <f t="shared" si="10"/>
        <v>348520.94691429497</v>
      </c>
      <c r="CU82" s="2"/>
      <c r="CV82" s="2"/>
      <c r="CW82" s="2"/>
      <c r="CX82" s="1">
        <f t="shared" si="11"/>
        <v>1110792.8495552517</v>
      </c>
      <c r="CY82" s="2"/>
      <c r="CZ82" s="2"/>
      <c r="DA82" s="2"/>
      <c r="DB82" s="2"/>
      <c r="DC82" s="2"/>
      <c r="DD82" s="2"/>
      <c r="DE82" s="1">
        <f t="shared" si="12"/>
        <v>621872.27777496376</v>
      </c>
      <c r="DF82" s="2"/>
      <c r="DG82" s="2"/>
      <c r="DH82" s="2"/>
      <c r="DI82" s="2"/>
      <c r="DJ82" s="2"/>
      <c r="DK82" s="2"/>
      <c r="DL82" s="1">
        <f t="shared" si="13"/>
        <v>732107.62701475387</v>
      </c>
      <c r="DM82" s="2"/>
      <c r="DN82" s="2"/>
      <c r="DO82" s="2"/>
      <c r="DP82" s="2"/>
      <c r="DQ82" s="2"/>
      <c r="DR82" s="2"/>
      <c r="DS82" s="1">
        <f t="shared" si="14"/>
        <v>335934.65116728726</v>
      </c>
      <c r="DT82" s="2"/>
      <c r="DU82" s="2"/>
      <c r="DV82" s="2"/>
      <c r="DW82" s="2"/>
      <c r="DX82" s="2"/>
      <c r="DY82" s="2"/>
      <c r="DZ82" s="2"/>
      <c r="EA82" s="2"/>
      <c r="EB82" s="1">
        <f t="shared" si="15"/>
        <v>39350.945706288861</v>
      </c>
      <c r="EC82" s="2"/>
      <c r="ED82" s="2"/>
      <c r="EE82" s="1">
        <f t="shared" si="16"/>
        <v>92489.396686031279</v>
      </c>
      <c r="EF82" s="2"/>
      <c r="EG82" s="1">
        <f t="shared" si="16"/>
        <v>331576.16874481644</v>
      </c>
      <c r="EH82" s="2"/>
      <c r="HW82" s="4"/>
      <c r="HX82" s="2">
        <f t="shared" si="20"/>
        <v>1305967.417168942</v>
      </c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1">
        <f t="shared" si="17"/>
        <v>2019078.3633249442</v>
      </c>
      <c r="LU82" s="1">
        <f t="shared" si="18"/>
        <v>1485987.4982415996</v>
      </c>
    </row>
    <row r="83" spans="1:333">
      <c r="A83" s="1">
        <v>1446</v>
      </c>
      <c r="B83" s="1">
        <f t="shared" si="0"/>
        <v>8999314.2250212412</v>
      </c>
      <c r="C83" s="1">
        <f t="shared" si="2"/>
        <v>2538945.1337240632</v>
      </c>
      <c r="K83" s="1">
        <f t="shared" si="3"/>
        <v>1036557.181190889</v>
      </c>
      <c r="U83" s="1">
        <f t="shared" si="4"/>
        <v>1081712.1101966216</v>
      </c>
      <c r="AH83" s="1">
        <f t="shared" si="5"/>
        <v>2777896.2730374634</v>
      </c>
      <c r="AT83" s="1">
        <f t="shared" si="6"/>
        <v>934884.39762563061</v>
      </c>
      <c r="BC83" s="1">
        <f t="shared" si="7"/>
        <v>629319.12924657401</v>
      </c>
      <c r="BI83" s="4">
        <f t="shared" si="1"/>
        <v>5593150.313285673</v>
      </c>
      <c r="BJ83" s="2">
        <f t="shared" si="19"/>
        <v>559945.10361089453</v>
      </c>
      <c r="BK83" s="2"/>
      <c r="BL83" s="2"/>
      <c r="BM83" s="2"/>
      <c r="BN83" s="2"/>
      <c r="BO83" s="2"/>
      <c r="BP83" s="2"/>
      <c r="BQ83" s="1">
        <f t="shared" si="8"/>
        <v>501066.76824854506</v>
      </c>
      <c r="BR83" s="2"/>
      <c r="BS83" s="2"/>
      <c r="BT83" s="2"/>
      <c r="BU83" s="2"/>
      <c r="BV83" s="2"/>
      <c r="BW83" s="2"/>
      <c r="BX83" s="2"/>
      <c r="BY83" s="2"/>
      <c r="BZ83" s="1">
        <f t="shared" si="9"/>
        <v>905859.55717768334</v>
      </c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1">
        <f t="shared" si="10"/>
        <v>349705.91813380359</v>
      </c>
      <c r="CU83" s="2"/>
      <c r="CV83" s="2"/>
      <c r="CW83" s="2"/>
      <c r="CX83" s="1">
        <f t="shared" si="11"/>
        <v>1114569.5452437396</v>
      </c>
      <c r="CY83" s="2"/>
      <c r="CZ83" s="2"/>
      <c r="DA83" s="2"/>
      <c r="DB83" s="2"/>
      <c r="DC83" s="2"/>
      <c r="DD83" s="2"/>
      <c r="DE83" s="1">
        <f t="shared" si="12"/>
        <v>623986.64351939864</v>
      </c>
      <c r="DF83" s="2"/>
      <c r="DG83" s="2"/>
      <c r="DH83" s="2"/>
      <c r="DI83" s="2"/>
      <c r="DJ83" s="2"/>
      <c r="DK83" s="2"/>
      <c r="DL83" s="1">
        <f t="shared" si="13"/>
        <v>734596.79294660408</v>
      </c>
      <c r="DM83" s="2"/>
      <c r="DN83" s="2"/>
      <c r="DO83" s="2"/>
      <c r="DP83" s="2"/>
      <c r="DQ83" s="2"/>
      <c r="DR83" s="2"/>
      <c r="DS83" s="1">
        <f t="shared" si="14"/>
        <v>338286.19372545823</v>
      </c>
      <c r="DT83" s="2"/>
      <c r="DU83" s="2"/>
      <c r="DV83" s="2"/>
      <c r="DW83" s="2"/>
      <c r="DX83" s="2"/>
      <c r="DY83" s="2"/>
      <c r="DZ83" s="2"/>
      <c r="EA83" s="2"/>
      <c r="EB83" s="1">
        <f t="shared" si="15"/>
        <v>39626.402326232877</v>
      </c>
      <c r="EC83" s="2"/>
      <c r="ED83" s="2"/>
      <c r="EE83" s="1">
        <f t="shared" si="16"/>
        <v>92803.860634763798</v>
      </c>
      <c r="EF83" s="2"/>
      <c r="EG83" s="1">
        <f t="shared" si="16"/>
        <v>332703.52771854884</v>
      </c>
      <c r="EH83" s="2"/>
      <c r="HW83" s="4"/>
      <c r="HX83" s="2">
        <f t="shared" si="20"/>
        <v>1311844.2705462023</v>
      </c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1">
        <f t="shared" si="17"/>
        <v>2025943.2297602491</v>
      </c>
      <c r="LU83" s="1">
        <f t="shared" si="18"/>
        <v>1491039.8557356212</v>
      </c>
    </row>
    <row r="84" spans="1:333">
      <c r="A84" s="1">
        <v>1447</v>
      </c>
      <c r="B84" s="1">
        <f t="shared" si="0"/>
        <v>9032241.9896068405</v>
      </c>
      <c r="C84" s="1">
        <f t="shared" si="2"/>
        <v>2547577.5471787252</v>
      </c>
      <c r="K84" s="1">
        <f t="shared" si="3"/>
        <v>1041221.6885062479</v>
      </c>
      <c r="U84" s="1">
        <f t="shared" si="4"/>
        <v>1086579.8146925063</v>
      </c>
      <c r="AH84" s="1">
        <f t="shared" si="5"/>
        <v>2787341.120365791</v>
      </c>
      <c r="AT84" s="1">
        <f t="shared" si="6"/>
        <v>938063.00457755779</v>
      </c>
      <c r="BC84" s="1">
        <f t="shared" si="7"/>
        <v>631458.81428601244</v>
      </c>
      <c r="BI84" s="4">
        <f t="shared" si="1"/>
        <v>5616829.8189372225</v>
      </c>
      <c r="BJ84" s="2">
        <f t="shared" si="19"/>
        <v>562240.87853569922</v>
      </c>
      <c r="BK84" s="2"/>
      <c r="BL84" s="2"/>
      <c r="BM84" s="2"/>
      <c r="BN84" s="2"/>
      <c r="BO84" s="2"/>
      <c r="BP84" s="2"/>
      <c r="BQ84" s="1">
        <f t="shared" si="8"/>
        <v>502419.64852281607</v>
      </c>
      <c r="BR84" s="2"/>
      <c r="BS84" s="2"/>
      <c r="BT84" s="2"/>
      <c r="BU84" s="2"/>
      <c r="BV84" s="2"/>
      <c r="BW84" s="2"/>
      <c r="BX84" s="2"/>
      <c r="BY84" s="2"/>
      <c r="BZ84" s="1">
        <f t="shared" si="9"/>
        <v>912200.57407792704</v>
      </c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1">
        <f t="shared" si="10"/>
        <v>350894.91825545853</v>
      </c>
      <c r="CU84" s="2"/>
      <c r="CV84" s="2"/>
      <c r="CW84" s="2"/>
      <c r="CX84" s="1">
        <f t="shared" si="11"/>
        <v>1118359.0816975683</v>
      </c>
      <c r="CY84" s="2"/>
      <c r="CZ84" s="2"/>
      <c r="DA84" s="2"/>
      <c r="DB84" s="2"/>
      <c r="DC84" s="2"/>
      <c r="DD84" s="2"/>
      <c r="DE84" s="1">
        <f t="shared" si="12"/>
        <v>626108.19810736459</v>
      </c>
      <c r="DF84" s="2"/>
      <c r="DG84" s="2"/>
      <c r="DH84" s="2"/>
      <c r="DI84" s="2"/>
      <c r="DJ84" s="2"/>
      <c r="DK84" s="2"/>
      <c r="DL84" s="1">
        <f t="shared" si="13"/>
        <v>737094.42204262258</v>
      </c>
      <c r="DM84" s="2"/>
      <c r="DN84" s="2"/>
      <c r="DO84" s="2"/>
      <c r="DP84" s="2"/>
      <c r="DQ84" s="2"/>
      <c r="DR84" s="2"/>
      <c r="DS84" s="1">
        <f t="shared" si="14"/>
        <v>340654.1970815364</v>
      </c>
      <c r="DT84" s="2"/>
      <c r="DU84" s="2"/>
      <c r="DV84" s="2"/>
      <c r="DW84" s="2"/>
      <c r="DX84" s="2"/>
      <c r="DY84" s="2"/>
      <c r="DZ84" s="2"/>
      <c r="EA84" s="2"/>
      <c r="EB84" s="1">
        <f t="shared" si="15"/>
        <v>39903.787142516507</v>
      </c>
      <c r="EC84" s="2"/>
      <c r="ED84" s="2"/>
      <c r="EE84" s="1">
        <f t="shared" si="16"/>
        <v>93119.393760922001</v>
      </c>
      <c r="EF84" s="2"/>
      <c r="EG84" s="1">
        <f t="shared" si="16"/>
        <v>333834.71971279191</v>
      </c>
      <c r="EH84" s="2"/>
      <c r="HW84" s="4"/>
      <c r="HX84" s="2">
        <f t="shared" si="20"/>
        <v>1317747.5697636602</v>
      </c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1">
        <f t="shared" si="17"/>
        <v>2032831.436741434</v>
      </c>
      <c r="LU84" s="1">
        <f t="shared" si="18"/>
        <v>1496109.3912451223</v>
      </c>
    </row>
    <row r="85" spans="1:333">
      <c r="A85" s="1">
        <v>1448</v>
      </c>
      <c r="B85" s="1">
        <f t="shared" si="0"/>
        <v>9065292.1940250229</v>
      </c>
      <c r="C85" s="1">
        <f t="shared" si="2"/>
        <v>2556239.3108391329</v>
      </c>
      <c r="K85" s="1">
        <f t="shared" si="3"/>
        <v>1045907.186104526</v>
      </c>
      <c r="U85" s="1">
        <f t="shared" si="4"/>
        <v>1091469.4238586226</v>
      </c>
      <c r="AH85" s="1">
        <f t="shared" si="5"/>
        <v>2796818.0801750347</v>
      </c>
      <c r="AT85" s="1">
        <f t="shared" si="6"/>
        <v>941252.41879312159</v>
      </c>
      <c r="BC85" s="1">
        <f t="shared" si="7"/>
        <v>633605.77425458492</v>
      </c>
      <c r="BI85" s="4">
        <f t="shared" si="1"/>
        <v>5640622.8459925056</v>
      </c>
      <c r="BJ85" s="2">
        <f t="shared" si="19"/>
        <v>564546.06613769557</v>
      </c>
      <c r="BK85" s="2"/>
      <c r="BL85" s="2"/>
      <c r="BM85" s="2"/>
      <c r="BN85" s="2"/>
      <c r="BO85" s="2"/>
      <c r="BP85" s="2"/>
      <c r="BQ85" s="1">
        <f t="shared" si="8"/>
        <v>503776.18157382763</v>
      </c>
      <c r="BR85" s="2"/>
      <c r="BS85" s="2"/>
      <c r="BT85" s="2"/>
      <c r="BU85" s="2"/>
      <c r="BV85" s="2"/>
      <c r="BW85" s="2"/>
      <c r="BX85" s="2"/>
      <c r="BY85" s="2"/>
      <c r="BZ85" s="1">
        <f t="shared" si="9"/>
        <v>918585.97809647245</v>
      </c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1">
        <f t="shared" si="10"/>
        <v>352087.96097752714</v>
      </c>
      <c r="CU85" s="2"/>
      <c r="CV85" s="2"/>
      <c r="CW85" s="2"/>
      <c r="CX85" s="1">
        <f t="shared" si="11"/>
        <v>1122161.5025753402</v>
      </c>
      <c r="CY85" s="2"/>
      <c r="CZ85" s="2"/>
      <c r="DA85" s="2"/>
      <c r="DB85" s="2"/>
      <c r="DC85" s="2"/>
      <c r="DD85" s="2"/>
      <c r="DE85" s="1">
        <f t="shared" si="12"/>
        <v>628236.96598092967</v>
      </c>
      <c r="DF85" s="2"/>
      <c r="DG85" s="2"/>
      <c r="DH85" s="2"/>
      <c r="DI85" s="2"/>
      <c r="DJ85" s="2"/>
      <c r="DK85" s="2"/>
      <c r="DL85" s="1">
        <f t="shared" si="13"/>
        <v>739600.54307756759</v>
      </c>
      <c r="DM85" s="2"/>
      <c r="DN85" s="2"/>
      <c r="DO85" s="2"/>
      <c r="DP85" s="2"/>
      <c r="DQ85" s="2"/>
      <c r="DR85" s="2"/>
      <c r="DS85" s="1">
        <f t="shared" si="14"/>
        <v>343038.77646110713</v>
      </c>
      <c r="DT85" s="2"/>
      <c r="DU85" s="2"/>
      <c r="DV85" s="2"/>
      <c r="DW85" s="2"/>
      <c r="DX85" s="2"/>
      <c r="DY85" s="2"/>
      <c r="DZ85" s="2"/>
      <c r="EA85" s="2"/>
      <c r="EB85" s="1">
        <f t="shared" si="15"/>
        <v>40183.113652514119</v>
      </c>
      <c r="EC85" s="2"/>
      <c r="ED85" s="2"/>
      <c r="EE85" s="1">
        <f t="shared" si="16"/>
        <v>93435.999699709137</v>
      </c>
      <c r="EF85" s="2"/>
      <c r="EG85" s="1">
        <f t="shared" si="16"/>
        <v>334969.75775981543</v>
      </c>
      <c r="EH85" s="2"/>
      <c r="HW85" s="4"/>
      <c r="HX85" s="2">
        <f t="shared" si="20"/>
        <v>1323677.4338275967</v>
      </c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1">
        <f t="shared" si="17"/>
        <v>2039743.063626355</v>
      </c>
      <c r="LU85" s="1">
        <f t="shared" si="18"/>
        <v>1501196.1631753559</v>
      </c>
    </row>
    <row r="86" spans="1:333">
      <c r="A86" s="1">
        <v>1449</v>
      </c>
      <c r="B86" s="1">
        <f t="shared" si="0"/>
        <v>9098465.3017556686</v>
      </c>
      <c r="C86" s="1">
        <f t="shared" si="2"/>
        <v>2564930.5244959863</v>
      </c>
      <c r="K86" s="1">
        <f t="shared" si="3"/>
        <v>1050613.7684419963</v>
      </c>
      <c r="U86" s="1">
        <f t="shared" si="4"/>
        <v>1096381.0362659863</v>
      </c>
      <c r="AH86" s="1">
        <f t="shared" si="5"/>
        <v>2806327.26164763</v>
      </c>
      <c r="AT86" s="1">
        <f t="shared" si="6"/>
        <v>944452.67701701832</v>
      </c>
      <c r="BC86" s="1">
        <f t="shared" si="7"/>
        <v>635760.03388705058</v>
      </c>
      <c r="BI86" s="4">
        <f t="shared" si="1"/>
        <v>5664530.0109136328</v>
      </c>
      <c r="BJ86" s="2">
        <f t="shared" si="19"/>
        <v>566860.7050088601</v>
      </c>
      <c r="BK86" s="2"/>
      <c r="BL86" s="2"/>
      <c r="BM86" s="2"/>
      <c r="BN86" s="2"/>
      <c r="BO86" s="2"/>
      <c r="BP86" s="2"/>
      <c r="BQ86" s="1">
        <f t="shared" si="8"/>
        <v>505136.37726407696</v>
      </c>
      <c r="BR86" s="2"/>
      <c r="BS86" s="2"/>
      <c r="BT86" s="2"/>
      <c r="BU86" s="2"/>
      <c r="BV86" s="2"/>
      <c r="BW86" s="2"/>
      <c r="BX86" s="2"/>
      <c r="BY86" s="2"/>
      <c r="BZ86" s="1">
        <f t="shared" si="9"/>
        <v>925016.0799431476</v>
      </c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1">
        <f t="shared" si="10"/>
        <v>353285.06004485075</v>
      </c>
      <c r="CU86" s="2"/>
      <c r="CV86" s="2"/>
      <c r="CW86" s="2"/>
      <c r="CX86" s="1">
        <f t="shared" si="11"/>
        <v>1125976.8516840965</v>
      </c>
      <c r="CY86" s="2"/>
      <c r="CZ86" s="2"/>
      <c r="DA86" s="2"/>
      <c r="DB86" s="2"/>
      <c r="DC86" s="2"/>
      <c r="DD86" s="2"/>
      <c r="DE86" s="1">
        <f t="shared" si="12"/>
        <v>630372.97166526492</v>
      </c>
      <c r="DF86" s="2"/>
      <c r="DG86" s="2"/>
      <c r="DH86" s="2"/>
      <c r="DI86" s="2"/>
      <c r="DJ86" s="2"/>
      <c r="DK86" s="2"/>
      <c r="DL86" s="1">
        <f t="shared" si="13"/>
        <v>742115.18492403137</v>
      </c>
      <c r="DM86" s="2"/>
      <c r="DN86" s="2"/>
      <c r="DO86" s="2"/>
      <c r="DP86" s="2"/>
      <c r="DQ86" s="2"/>
      <c r="DR86" s="2"/>
      <c r="DS86" s="1">
        <f t="shared" si="14"/>
        <v>345440.04789633484</v>
      </c>
      <c r="DT86" s="2"/>
      <c r="DU86" s="2"/>
      <c r="DV86" s="2"/>
      <c r="DW86" s="2"/>
      <c r="DX86" s="2"/>
      <c r="DY86" s="2"/>
      <c r="DZ86" s="2"/>
      <c r="EA86" s="2"/>
      <c r="EB86" s="1">
        <f t="shared" si="15"/>
        <v>40464.395448081712</v>
      </c>
      <c r="EC86" s="2"/>
      <c r="ED86" s="2"/>
      <c r="EE86" s="1">
        <f t="shared" si="16"/>
        <v>93753.68209868815</v>
      </c>
      <c r="EF86" s="2"/>
      <c r="EG86" s="1">
        <f t="shared" si="16"/>
        <v>336108.65493619884</v>
      </c>
      <c r="EH86" s="2"/>
      <c r="HW86" s="4"/>
      <c r="HX86" s="2">
        <f t="shared" si="20"/>
        <v>1329633.9822798208</v>
      </c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1">
        <f t="shared" si="17"/>
        <v>2046678.1900426848</v>
      </c>
      <c r="LU86" s="1">
        <f t="shared" si="18"/>
        <v>1506300.2301301521</v>
      </c>
    </row>
    <row r="87" spans="1:333">
      <c r="A87" s="1">
        <v>1450</v>
      </c>
      <c r="B87" s="1">
        <f t="shared" si="0"/>
        <v>9131761.7780668139</v>
      </c>
      <c r="C87" s="1">
        <f t="shared" si="2"/>
        <v>2573651.2882792726</v>
      </c>
      <c r="K87" s="1">
        <f t="shared" si="3"/>
        <v>1055341.5303999851</v>
      </c>
      <c r="U87" s="1">
        <f t="shared" si="4"/>
        <v>1101314.7509291831</v>
      </c>
      <c r="AH87" s="1">
        <f t="shared" si="5"/>
        <v>2815868.7743372321</v>
      </c>
      <c r="AT87" s="1">
        <f t="shared" si="6"/>
        <v>947663.81611887622</v>
      </c>
      <c r="BC87" s="1">
        <f t="shared" si="7"/>
        <v>637921.61800226662</v>
      </c>
      <c r="BI87" s="4">
        <f t="shared" si="1"/>
        <v>5688551.9338639956</v>
      </c>
      <c r="BJ87" s="2">
        <f t="shared" si="19"/>
        <v>569184.83389939647</v>
      </c>
      <c r="BK87" s="2"/>
      <c r="BL87" s="2"/>
      <c r="BM87" s="2"/>
      <c r="BN87" s="2"/>
      <c r="BO87" s="2"/>
      <c r="BP87" s="2"/>
      <c r="BQ87" s="1">
        <f t="shared" si="8"/>
        <v>506500.24548268993</v>
      </c>
      <c r="BR87" s="2"/>
      <c r="BS87" s="2"/>
      <c r="BT87" s="2"/>
      <c r="BU87" s="2"/>
      <c r="BV87" s="2"/>
      <c r="BW87" s="2"/>
      <c r="BX87" s="2"/>
      <c r="BY87" s="2"/>
      <c r="BZ87" s="1">
        <f t="shared" si="9"/>
        <v>931491.1925027495</v>
      </c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1">
        <f t="shared" si="10"/>
        <v>354486.22924900329</v>
      </c>
      <c r="CU87" s="2"/>
      <c r="CV87" s="2"/>
      <c r="CW87" s="2"/>
      <c r="CX87" s="1">
        <f t="shared" si="11"/>
        <v>1129805.1729798226</v>
      </c>
      <c r="CY87" s="2"/>
      <c r="CZ87" s="2"/>
      <c r="DA87" s="2"/>
      <c r="DB87" s="2"/>
      <c r="DC87" s="2"/>
      <c r="DD87" s="2"/>
      <c r="DE87" s="1">
        <f t="shared" si="12"/>
        <v>632516.23976892687</v>
      </c>
      <c r="DF87" s="2"/>
      <c r="DG87" s="2"/>
      <c r="DH87" s="2"/>
      <c r="DI87" s="2"/>
      <c r="DJ87" s="2"/>
      <c r="DK87" s="2"/>
      <c r="DL87" s="1">
        <f t="shared" si="13"/>
        <v>744638.37655277317</v>
      </c>
      <c r="DM87" s="2"/>
      <c r="DN87" s="2"/>
      <c r="DO87" s="2"/>
      <c r="DP87" s="2"/>
      <c r="DQ87" s="2"/>
      <c r="DR87" s="2"/>
      <c r="DS87" s="1">
        <f t="shared" si="14"/>
        <v>347858.12823160912</v>
      </c>
      <c r="DT87" s="2"/>
      <c r="DU87" s="2"/>
      <c r="DV87" s="2"/>
      <c r="DW87" s="2"/>
      <c r="DX87" s="2"/>
      <c r="DY87" s="2"/>
      <c r="DZ87" s="2"/>
      <c r="EA87" s="2"/>
      <c r="EB87" s="1">
        <f t="shared" si="15"/>
        <v>40747.64621621828</v>
      </c>
      <c r="EC87" s="2"/>
      <c r="ED87" s="2"/>
      <c r="EE87" s="1">
        <f t="shared" si="16"/>
        <v>94072.444617823698</v>
      </c>
      <c r="EF87" s="2"/>
      <c r="EG87" s="1">
        <f t="shared" si="16"/>
        <v>337251.42436298192</v>
      </c>
      <c r="EH87" s="2"/>
      <c r="HW87" s="4"/>
      <c r="HX87" s="2">
        <f t="shared" si="20"/>
        <v>1335617.3352000799</v>
      </c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1">
        <f t="shared" si="17"/>
        <v>2053636.8958888301</v>
      </c>
      <c r="LU87" s="1">
        <f t="shared" si="18"/>
        <v>1511421.6509125947</v>
      </c>
    </row>
    <row r="88" spans="1:333">
      <c r="A88" s="1">
        <v>1451</v>
      </c>
      <c r="B88" s="1">
        <f t="shared" si="0"/>
        <v>9165182.0900217053</v>
      </c>
      <c r="C88" s="1">
        <f t="shared" si="2"/>
        <v>2582401.7026594225</v>
      </c>
      <c r="K88" s="1">
        <f t="shared" si="3"/>
        <v>1060090.567286785</v>
      </c>
      <c r="U88" s="1">
        <f t="shared" si="4"/>
        <v>1106270.6673083643</v>
      </c>
      <c r="AH88" s="1">
        <f t="shared" si="5"/>
        <v>2825442.7281699791</v>
      </c>
      <c r="AT88" s="1">
        <f t="shared" si="6"/>
        <v>950885.87309368048</v>
      </c>
      <c r="BC88" s="1">
        <f t="shared" si="7"/>
        <v>640090.55150347436</v>
      </c>
      <c r="BI88" s="4">
        <f t="shared" si="1"/>
        <v>5712689.2387320446</v>
      </c>
      <c r="BJ88" s="2">
        <f t="shared" si="19"/>
        <v>571518.49171838397</v>
      </c>
      <c r="BK88" s="2"/>
      <c r="BL88" s="2"/>
      <c r="BM88" s="2"/>
      <c r="BN88" s="2"/>
      <c r="BO88" s="2"/>
      <c r="BP88" s="2"/>
      <c r="BQ88" s="1">
        <f t="shared" si="8"/>
        <v>507867.79614549316</v>
      </c>
      <c r="BR88" s="2"/>
      <c r="BS88" s="2"/>
      <c r="BT88" s="2"/>
      <c r="BU88" s="2"/>
      <c r="BV88" s="2"/>
      <c r="BW88" s="2"/>
      <c r="BX88" s="2"/>
      <c r="BY88" s="2"/>
      <c r="BZ88" s="1">
        <f t="shared" si="9"/>
        <v>938011.63085026864</v>
      </c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1">
        <f t="shared" si="10"/>
        <v>355691.4824284499</v>
      </c>
      <c r="CU88" s="2"/>
      <c r="CV88" s="2"/>
      <c r="CW88" s="2"/>
      <c r="CX88" s="1">
        <f t="shared" si="11"/>
        <v>1133646.510567954</v>
      </c>
      <c r="CY88" s="2"/>
      <c r="CZ88" s="2"/>
      <c r="DA88" s="2"/>
      <c r="DB88" s="2"/>
      <c r="DC88" s="2"/>
      <c r="DD88" s="2"/>
      <c r="DE88" s="1">
        <f t="shared" si="12"/>
        <v>634666.79498414125</v>
      </c>
      <c r="DF88" s="2"/>
      <c r="DG88" s="2"/>
      <c r="DH88" s="2"/>
      <c r="DI88" s="2"/>
      <c r="DJ88" s="2"/>
      <c r="DK88" s="2"/>
      <c r="DL88" s="1">
        <f t="shared" si="13"/>
        <v>747170.14703305264</v>
      </c>
      <c r="DM88" s="2"/>
      <c r="DN88" s="2"/>
      <c r="DO88" s="2"/>
      <c r="DP88" s="2"/>
      <c r="DQ88" s="2"/>
      <c r="DR88" s="2"/>
      <c r="DS88" s="1">
        <f t="shared" si="14"/>
        <v>350293.13512923033</v>
      </c>
      <c r="DT88" s="2"/>
      <c r="DU88" s="2"/>
      <c r="DV88" s="2"/>
      <c r="DW88" s="2"/>
      <c r="DX88" s="2"/>
      <c r="DY88" s="2"/>
      <c r="DZ88" s="2"/>
      <c r="EA88" s="2"/>
      <c r="EB88" s="1">
        <f t="shared" si="15"/>
        <v>41032.879739731805</v>
      </c>
      <c r="EC88" s="2"/>
      <c r="ED88" s="2"/>
      <c r="EE88" s="1">
        <f t="shared" si="16"/>
        <v>94392.290929524301</v>
      </c>
      <c r="EF88" s="2"/>
      <c r="EG88" s="1">
        <f t="shared" si="16"/>
        <v>338398.07920581609</v>
      </c>
      <c r="EH88" s="2"/>
      <c r="HW88" s="4"/>
      <c r="HX88" s="2">
        <f t="shared" si="20"/>
        <v>1341627.6132084802</v>
      </c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1">
        <f t="shared" si="17"/>
        <v>2060619.2613348523</v>
      </c>
      <c r="LU88" s="1">
        <f t="shared" si="18"/>
        <v>1516560.4845256978</v>
      </c>
    </row>
    <row r="89" spans="1:333">
      <c r="A89" s="1">
        <v>1452</v>
      </c>
      <c r="B89" s="1">
        <f t="shared" si="0"/>
        <v>9198726.7064858321</v>
      </c>
      <c r="C89" s="1">
        <f t="shared" si="2"/>
        <v>2591181.8684484647</v>
      </c>
      <c r="K89" s="1">
        <f t="shared" si="3"/>
        <v>1064860.9748395754</v>
      </c>
      <c r="U89" s="1">
        <f t="shared" si="4"/>
        <v>1111248.885311252</v>
      </c>
      <c r="AH89" s="1">
        <f t="shared" si="5"/>
        <v>2835049.2334457571</v>
      </c>
      <c r="AT89" s="1">
        <f t="shared" si="6"/>
        <v>954118.88506219909</v>
      </c>
      <c r="BC89" s="1">
        <f t="shared" si="7"/>
        <v>642266.85937858617</v>
      </c>
      <c r="BI89" s="4">
        <f t="shared" si="1"/>
        <v>5736942.5531552248</v>
      </c>
      <c r="BJ89" s="2">
        <f t="shared" si="19"/>
        <v>573861.71753442939</v>
      </c>
      <c r="BK89" s="2"/>
      <c r="BL89" s="2"/>
      <c r="BM89" s="2"/>
      <c r="BN89" s="2"/>
      <c r="BO89" s="2"/>
      <c r="BP89" s="2"/>
      <c r="BQ89" s="1">
        <f t="shared" si="8"/>
        <v>509239.03919508593</v>
      </c>
      <c r="BR89" s="2"/>
      <c r="BS89" s="2"/>
      <c r="BT89" s="2"/>
      <c r="BU89" s="2"/>
      <c r="BV89" s="2"/>
      <c r="BW89" s="2"/>
      <c r="BX89" s="2"/>
      <c r="BY89" s="2"/>
      <c r="BZ89" s="1">
        <f t="shared" si="9"/>
        <v>944577.71226622048</v>
      </c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1">
        <f t="shared" si="10"/>
        <v>356900.83346870664</v>
      </c>
      <c r="CU89" s="2"/>
      <c r="CV89" s="2"/>
      <c r="CW89" s="2"/>
      <c r="CX89" s="1">
        <f t="shared" si="11"/>
        <v>1137500.9087038853</v>
      </c>
      <c r="CY89" s="2"/>
      <c r="CZ89" s="2"/>
      <c r="DA89" s="2"/>
      <c r="DB89" s="2"/>
      <c r="DC89" s="2"/>
      <c r="DD89" s="2"/>
      <c r="DE89" s="1">
        <f t="shared" si="12"/>
        <v>636824.6620870874</v>
      </c>
      <c r="DF89" s="2"/>
      <c r="DG89" s="2"/>
      <c r="DH89" s="2"/>
      <c r="DI89" s="2"/>
      <c r="DJ89" s="2"/>
      <c r="DK89" s="2"/>
      <c r="DL89" s="1">
        <f t="shared" si="13"/>
        <v>749710.52553296508</v>
      </c>
      <c r="DM89" s="2"/>
      <c r="DN89" s="2"/>
      <c r="DO89" s="2"/>
      <c r="DP89" s="2"/>
      <c r="DQ89" s="2"/>
      <c r="DR89" s="2"/>
      <c r="DS89" s="1">
        <f t="shared" si="14"/>
        <v>352745.18707513489</v>
      </c>
      <c r="DT89" s="2"/>
      <c r="DU89" s="2"/>
      <c r="DV89" s="2"/>
      <c r="DW89" s="2"/>
      <c r="DX89" s="2"/>
      <c r="DY89" s="2"/>
      <c r="DZ89" s="2"/>
      <c r="EA89" s="2"/>
      <c r="EB89" s="1">
        <f t="shared" si="15"/>
        <v>41320.109897909926</v>
      </c>
      <c r="EC89" s="2"/>
      <c r="ED89" s="2"/>
      <c r="EE89" s="1">
        <f t="shared" si="16"/>
        <v>94713.224718684694</v>
      </c>
      <c r="EF89" s="2"/>
      <c r="EG89" s="1">
        <f t="shared" si="16"/>
        <v>339548.63267511589</v>
      </c>
      <c r="EH89" s="2"/>
      <c r="HW89" s="4"/>
      <c r="HX89" s="2">
        <f t="shared" si="20"/>
        <v>1347664.9374679183</v>
      </c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1">
        <f t="shared" si="17"/>
        <v>2067625.3668233911</v>
      </c>
      <c r="LU89" s="1">
        <f t="shared" si="18"/>
        <v>1521716.7901730852</v>
      </c>
    </row>
    <row r="90" spans="1:333">
      <c r="A90" s="1">
        <v>1453</v>
      </c>
      <c r="B90" s="1">
        <f t="shared" si="0"/>
        <v>9232396.098134052</v>
      </c>
      <c r="C90" s="1">
        <f t="shared" si="2"/>
        <v>2599991.8868011897</v>
      </c>
      <c r="K90" s="1">
        <f t="shared" si="3"/>
        <v>1069652.8492263535</v>
      </c>
      <c r="U90" s="1">
        <f t="shared" si="4"/>
        <v>1116249.5052951525</v>
      </c>
      <c r="AH90" s="1">
        <f t="shared" si="5"/>
        <v>2844688.4008394727</v>
      </c>
      <c r="AT90" s="1">
        <f t="shared" si="6"/>
        <v>957362.88927141065</v>
      </c>
      <c r="BC90" s="1">
        <f t="shared" si="7"/>
        <v>644450.56670047343</v>
      </c>
      <c r="BI90" s="4">
        <f t="shared" si="1"/>
        <v>5761312.508544052</v>
      </c>
      <c r="BJ90" s="2">
        <f t="shared" si="19"/>
        <v>576214.5505763205</v>
      </c>
      <c r="BK90" s="2"/>
      <c r="BL90" s="2"/>
      <c r="BM90" s="2"/>
      <c r="BN90" s="2"/>
      <c r="BO90" s="2"/>
      <c r="BP90" s="2"/>
      <c r="BQ90" s="1">
        <f t="shared" si="8"/>
        <v>510613.9846009126</v>
      </c>
      <c r="BR90" s="2"/>
      <c r="BS90" s="2"/>
      <c r="BT90" s="2"/>
      <c r="BU90" s="2"/>
      <c r="BV90" s="2"/>
      <c r="BW90" s="2"/>
      <c r="BX90" s="2"/>
      <c r="BY90" s="2"/>
      <c r="BZ90" s="1">
        <f t="shared" si="9"/>
        <v>951189.75625208393</v>
      </c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1">
        <f t="shared" si="10"/>
        <v>358114.29630250024</v>
      </c>
      <c r="CU90" s="2"/>
      <c r="CV90" s="2"/>
      <c r="CW90" s="2"/>
      <c r="CX90" s="1">
        <f t="shared" si="11"/>
        <v>1141368.4117934785</v>
      </c>
      <c r="CY90" s="2"/>
      <c r="CZ90" s="2"/>
      <c r="DA90" s="2"/>
      <c r="DB90" s="2"/>
      <c r="DC90" s="2"/>
      <c r="DD90" s="2"/>
      <c r="DE90" s="1">
        <f t="shared" si="12"/>
        <v>638989.8659381835</v>
      </c>
      <c r="DF90" s="2"/>
      <c r="DG90" s="2"/>
      <c r="DH90" s="2"/>
      <c r="DI90" s="2"/>
      <c r="DJ90" s="2"/>
      <c r="DK90" s="2"/>
      <c r="DL90" s="1">
        <f t="shared" si="13"/>
        <v>752259.54131977726</v>
      </c>
      <c r="DM90" s="2"/>
      <c r="DN90" s="2"/>
      <c r="DO90" s="2"/>
      <c r="DP90" s="2"/>
      <c r="DQ90" s="2"/>
      <c r="DR90" s="2"/>
      <c r="DS90" s="1">
        <f t="shared" si="14"/>
        <v>355214.40338466078</v>
      </c>
      <c r="DT90" s="2"/>
      <c r="DU90" s="2"/>
      <c r="DV90" s="2"/>
      <c r="DW90" s="2"/>
      <c r="DX90" s="2"/>
      <c r="DY90" s="2"/>
      <c r="DZ90" s="2"/>
      <c r="EA90" s="2"/>
      <c r="EB90" s="1">
        <f t="shared" si="15"/>
        <v>41609.350667195293</v>
      </c>
      <c r="EC90" s="2"/>
      <c r="ED90" s="2"/>
      <c r="EE90" s="1">
        <f t="shared" si="16"/>
        <v>95035.24968272823</v>
      </c>
      <c r="EF90" s="2"/>
      <c r="EG90" s="1">
        <f t="shared" si="16"/>
        <v>340703.09802621132</v>
      </c>
      <c r="EH90" s="2"/>
      <c r="HW90" s="4"/>
      <c r="HX90" s="2">
        <f t="shared" si="20"/>
        <v>1353729.4296865237</v>
      </c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1">
        <f t="shared" si="17"/>
        <v>2074655.2930705908</v>
      </c>
      <c r="LU90" s="1">
        <f t="shared" si="18"/>
        <v>1526890.6272596738</v>
      </c>
    </row>
    <row r="91" spans="1:333">
      <c r="A91" s="1">
        <v>1454</v>
      </c>
      <c r="B91" s="1">
        <f t="shared" si="0"/>
        <v>9266190.7374576833</v>
      </c>
      <c r="C91" s="1">
        <f t="shared" si="2"/>
        <v>2608831.8592163138</v>
      </c>
      <c r="K91" s="1">
        <f t="shared" si="3"/>
        <v>1074466.2870478721</v>
      </c>
      <c r="U91" s="1">
        <f t="shared" si="4"/>
        <v>1121272.6280689808</v>
      </c>
      <c r="AH91" s="1">
        <f t="shared" si="5"/>
        <v>2854360.3414023272</v>
      </c>
      <c r="AT91" s="1">
        <f t="shared" si="6"/>
        <v>960617.9230949335</v>
      </c>
      <c r="BC91" s="1">
        <f t="shared" si="7"/>
        <v>646641.69862725504</v>
      </c>
      <c r="BI91" s="4">
        <f t="shared" si="1"/>
        <v>5785799.7401063787</v>
      </c>
      <c r="BJ91" s="2">
        <f t="shared" si="19"/>
        <v>578577.03023368341</v>
      </c>
      <c r="BK91" s="2"/>
      <c r="BL91" s="2"/>
      <c r="BM91" s="2"/>
      <c r="BN91" s="2"/>
      <c r="BO91" s="2"/>
      <c r="BP91" s="2"/>
      <c r="BQ91" s="1">
        <f t="shared" si="8"/>
        <v>511992.64235933503</v>
      </c>
      <c r="BR91" s="2"/>
      <c r="BS91" s="2"/>
      <c r="BT91" s="2"/>
      <c r="BU91" s="2"/>
      <c r="BV91" s="2"/>
      <c r="BW91" s="2"/>
      <c r="BX91" s="2"/>
      <c r="BY91" s="2"/>
      <c r="BZ91" s="1">
        <f t="shared" si="9"/>
        <v>957848.08454584843</v>
      </c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1">
        <f t="shared" si="10"/>
        <v>359331.88490992878</v>
      </c>
      <c r="CU91" s="2"/>
      <c r="CV91" s="2"/>
      <c r="CW91" s="2"/>
      <c r="CX91" s="1">
        <f t="shared" si="11"/>
        <v>1145249.0643935765</v>
      </c>
      <c r="CY91" s="2"/>
      <c r="CZ91" s="2"/>
      <c r="DA91" s="2"/>
      <c r="DB91" s="2"/>
      <c r="DC91" s="2"/>
      <c r="DD91" s="2"/>
      <c r="DE91" s="1">
        <f t="shared" si="12"/>
        <v>641162.43148237339</v>
      </c>
      <c r="DF91" s="2"/>
      <c r="DG91" s="2"/>
      <c r="DH91" s="2"/>
      <c r="DI91" s="2"/>
      <c r="DJ91" s="2"/>
      <c r="DK91" s="2"/>
      <c r="DL91" s="1">
        <f t="shared" si="13"/>
        <v>754817.22376026458</v>
      </c>
      <c r="DM91" s="2"/>
      <c r="DN91" s="2"/>
      <c r="DO91" s="2"/>
      <c r="DP91" s="2"/>
      <c r="DQ91" s="2"/>
      <c r="DR91" s="2"/>
      <c r="DS91" s="1">
        <f t="shared" si="14"/>
        <v>357700.90420835337</v>
      </c>
      <c r="DT91" s="2"/>
      <c r="DU91" s="2"/>
      <c r="DV91" s="2"/>
      <c r="DW91" s="2"/>
      <c r="DX91" s="2"/>
      <c r="DY91" s="2"/>
      <c r="DZ91" s="2"/>
      <c r="EA91" s="2"/>
      <c r="EB91" s="1">
        <f t="shared" si="15"/>
        <v>41900.616121865656</v>
      </c>
      <c r="EC91" s="2"/>
      <c r="ED91" s="2"/>
      <c r="EE91" s="1">
        <f t="shared" si="16"/>
        <v>95358.369531649514</v>
      </c>
      <c r="EF91" s="2"/>
      <c r="EG91" s="1">
        <f t="shared" si="16"/>
        <v>341861.48855950043</v>
      </c>
      <c r="EH91" s="2"/>
      <c r="HW91" s="4"/>
      <c r="HX91" s="2">
        <f t="shared" si="20"/>
        <v>1359821.212120113</v>
      </c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1">
        <f t="shared" si="17"/>
        <v>2081709.1210670311</v>
      </c>
      <c r="LU91" s="1">
        <f t="shared" si="18"/>
        <v>1532082.0553923568</v>
      </c>
    </row>
    <row r="92" spans="1:333">
      <c r="A92" s="1">
        <v>1455</v>
      </c>
      <c r="B92" s="1">
        <f t="shared" ref="B92:B155" si="21">C92+K92+U92+AD92+AH92+AG92+AT92+BC92+R92</f>
        <v>9300111.0987716671</v>
      </c>
      <c r="C92" s="1">
        <f t="shared" si="2"/>
        <v>2617701.8875376494</v>
      </c>
      <c r="K92" s="1">
        <f t="shared" si="3"/>
        <v>1079301.3853395875</v>
      </c>
      <c r="U92" s="1">
        <f t="shared" si="4"/>
        <v>1126318.3548952912</v>
      </c>
      <c r="AH92" s="1">
        <f t="shared" si="5"/>
        <v>2864065.1665630951</v>
      </c>
      <c r="AT92" s="1">
        <f t="shared" si="6"/>
        <v>963884.02403345634</v>
      </c>
      <c r="BC92" s="1">
        <f t="shared" si="7"/>
        <v>648840.28040258773</v>
      </c>
      <c r="BI92" s="4">
        <f t="shared" si="1"/>
        <v>5810404.8868718073</v>
      </c>
      <c r="BJ92" s="2">
        <f t="shared" si="19"/>
        <v>580949.19605764153</v>
      </c>
      <c r="BK92" s="2"/>
      <c r="BL92" s="2"/>
      <c r="BM92" s="2"/>
      <c r="BN92" s="2"/>
      <c r="BO92" s="2"/>
      <c r="BP92" s="2"/>
      <c r="BQ92" s="1">
        <f t="shared" si="8"/>
        <v>513375.02249370521</v>
      </c>
      <c r="BR92" s="2"/>
      <c r="BS92" s="2"/>
      <c r="BT92" s="2"/>
      <c r="BU92" s="2"/>
      <c r="BV92" s="2"/>
      <c r="BW92" s="2"/>
      <c r="BX92" s="2"/>
      <c r="BY92" s="2"/>
      <c r="BZ92" s="1">
        <f t="shared" si="9"/>
        <v>964553.02113766922</v>
      </c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1">
        <f t="shared" si="10"/>
        <v>360553.61331862258</v>
      </c>
      <c r="CU92" s="2"/>
      <c r="CV92" s="2"/>
      <c r="CW92" s="2"/>
      <c r="CX92" s="1">
        <f t="shared" si="11"/>
        <v>1149142.9112125146</v>
      </c>
      <c r="CY92" s="2"/>
      <c r="CZ92" s="2"/>
      <c r="DA92" s="2"/>
      <c r="DB92" s="2"/>
      <c r="DC92" s="2"/>
      <c r="DD92" s="2"/>
      <c r="DE92" s="1">
        <f t="shared" si="12"/>
        <v>643342.38374941354</v>
      </c>
      <c r="DF92" s="2"/>
      <c r="DG92" s="2"/>
      <c r="DH92" s="2"/>
      <c r="DI92" s="2"/>
      <c r="DJ92" s="2"/>
      <c r="DK92" s="2"/>
      <c r="DL92" s="1">
        <f t="shared" si="13"/>
        <v>757383.60232104955</v>
      </c>
      <c r="DM92" s="2"/>
      <c r="DN92" s="2"/>
      <c r="DO92" s="2"/>
      <c r="DP92" s="2"/>
      <c r="DQ92" s="2"/>
      <c r="DR92" s="2"/>
      <c r="DS92" s="1">
        <f t="shared" si="14"/>
        <v>360204.81053781183</v>
      </c>
      <c r="DT92" s="2"/>
      <c r="DU92" s="2"/>
      <c r="DV92" s="2"/>
      <c r="DW92" s="2"/>
      <c r="DX92" s="2"/>
      <c r="DY92" s="2"/>
      <c r="DZ92" s="2"/>
      <c r="EA92" s="2"/>
      <c r="EB92" s="1">
        <f t="shared" si="15"/>
        <v>42193.920434718711</v>
      </c>
      <c r="EC92" s="2"/>
      <c r="ED92" s="2"/>
      <c r="EE92" s="1">
        <f t="shared" si="16"/>
        <v>95682.58798805713</v>
      </c>
      <c r="EF92" s="2"/>
      <c r="EG92" s="1">
        <f t="shared" si="16"/>
        <v>343023.81762060273</v>
      </c>
      <c r="EH92" s="2"/>
      <c r="HW92" s="4"/>
      <c r="HX92" s="2">
        <f t="shared" si="20"/>
        <v>1365940.4075746534</v>
      </c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1">
        <f t="shared" si="17"/>
        <v>2088786.9320786591</v>
      </c>
      <c r="LU92" s="1">
        <f t="shared" si="18"/>
        <v>1537291.134380691</v>
      </c>
    </row>
    <row r="93" spans="1:333">
      <c r="A93" s="1">
        <v>1456</v>
      </c>
      <c r="B93" s="1">
        <f t="shared" si="21"/>
        <v>9334157.6582217496</v>
      </c>
      <c r="C93" s="1">
        <f t="shared" si="2"/>
        <v>2626602.0739552774</v>
      </c>
      <c r="K93" s="1">
        <f t="shared" si="3"/>
        <v>1084158.2415736155</v>
      </c>
      <c r="U93" s="1">
        <f t="shared" si="4"/>
        <v>1131386.7874923199</v>
      </c>
      <c r="AH93" s="1">
        <f t="shared" si="5"/>
        <v>2873802.98812941</v>
      </c>
      <c r="AT93" s="1">
        <f t="shared" si="6"/>
        <v>967161.22971517011</v>
      </c>
      <c r="BC93" s="1">
        <f t="shared" si="7"/>
        <v>651046.33735595655</v>
      </c>
      <c r="BI93" s="4">
        <f t="shared" ref="BI93:BI156" si="22">BJ93+BQ93+BW93+BZ93+CH93+CL93+CT93+CX93+DE93+DL93+DS93+EB93+EE93+EG93</f>
        <v>5835128.5917162616</v>
      </c>
      <c r="BJ93" s="2">
        <f t="shared" si="19"/>
        <v>583331.0877614778</v>
      </c>
      <c r="BK93" s="2"/>
      <c r="BL93" s="2"/>
      <c r="BM93" s="2"/>
      <c r="BN93" s="2"/>
      <c r="BO93" s="2"/>
      <c r="BP93" s="2"/>
      <c r="BQ93" s="1">
        <f t="shared" si="8"/>
        <v>514761.1350544382</v>
      </c>
      <c r="BR93" s="2"/>
      <c r="BS93" s="2"/>
      <c r="BT93" s="2"/>
      <c r="BU93" s="2"/>
      <c r="BV93" s="2"/>
      <c r="BW93" s="2"/>
      <c r="BX93" s="2"/>
      <c r="BY93" s="2"/>
      <c r="BZ93" s="1">
        <f t="shared" si="9"/>
        <v>971304.89228563278</v>
      </c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1">
        <f t="shared" si="10"/>
        <v>361779.49560390593</v>
      </c>
      <c r="CU93" s="2"/>
      <c r="CV93" s="2"/>
      <c r="CW93" s="2"/>
      <c r="CX93" s="1">
        <f t="shared" si="11"/>
        <v>1153049.9971106371</v>
      </c>
      <c r="CY93" s="2"/>
      <c r="CZ93" s="2"/>
      <c r="DA93" s="2"/>
      <c r="DB93" s="2"/>
      <c r="DC93" s="2"/>
      <c r="DD93" s="2"/>
      <c r="DE93" s="1">
        <f t="shared" si="12"/>
        <v>645529.74785416154</v>
      </c>
      <c r="DF93" s="2"/>
      <c r="DG93" s="2"/>
      <c r="DH93" s="2"/>
      <c r="DI93" s="2"/>
      <c r="DJ93" s="2"/>
      <c r="DK93" s="2"/>
      <c r="DL93" s="1">
        <f t="shared" si="13"/>
        <v>759958.70656894112</v>
      </c>
      <c r="DM93" s="2"/>
      <c r="DN93" s="2"/>
      <c r="DO93" s="2"/>
      <c r="DP93" s="2"/>
      <c r="DQ93" s="2"/>
      <c r="DR93" s="2"/>
      <c r="DS93" s="1">
        <f t="shared" si="14"/>
        <v>362726.24421157647</v>
      </c>
      <c r="DT93" s="2"/>
      <c r="DU93" s="2"/>
      <c r="DV93" s="2"/>
      <c r="DW93" s="2"/>
      <c r="DX93" s="2"/>
      <c r="DY93" s="2"/>
      <c r="DZ93" s="2"/>
      <c r="EA93" s="2"/>
      <c r="EB93" s="1">
        <f t="shared" si="15"/>
        <v>42489.277877761735</v>
      </c>
      <c r="EC93" s="2"/>
      <c r="ED93" s="2"/>
      <c r="EE93" s="1">
        <f t="shared" si="16"/>
        <v>96007.908787216526</v>
      </c>
      <c r="EF93" s="2"/>
      <c r="EG93" s="1">
        <f t="shared" si="16"/>
        <v>344190.09860051278</v>
      </c>
      <c r="EH93" s="2"/>
      <c r="HW93" s="4"/>
      <c r="HX93" s="2">
        <f t="shared" si="20"/>
        <v>1372087.1394087393</v>
      </c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1">
        <f t="shared" si="17"/>
        <v>2095888.8076477267</v>
      </c>
      <c r="LU93" s="1">
        <f t="shared" si="18"/>
        <v>1542517.9242375854</v>
      </c>
    </row>
    <row r="94" spans="1:333">
      <c r="A94" s="1">
        <v>1457</v>
      </c>
      <c r="B94" s="1">
        <f t="shared" si="21"/>
        <v>9368330.8937916774</v>
      </c>
      <c r="C94" s="1">
        <f t="shared" ref="C94:C157" si="23">C93*1.0034</f>
        <v>2635532.5210067257</v>
      </c>
      <c r="K94" s="1">
        <f t="shared" ref="K94:K157" si="24">K93*1.0045</f>
        <v>1089036.9536606967</v>
      </c>
      <c r="U94" s="1">
        <f t="shared" ref="U94:U157" si="25">U93*1.0045</f>
        <v>1136478.0280360354</v>
      </c>
      <c r="AH94" s="1">
        <f t="shared" ref="AH94:AH157" si="26">AH93*1.0034</f>
        <v>2883573.91828905</v>
      </c>
      <c r="AT94" s="1">
        <f t="shared" ref="AT94:AT157" si="27">AT93*1.0034</f>
        <v>970449.57789620175</v>
      </c>
      <c r="BC94" s="1">
        <f t="shared" ref="BC94:BC157" si="28">BC93*1.0034</f>
        <v>653259.8949029668</v>
      </c>
      <c r="BI94" s="4">
        <f t="shared" si="22"/>
        <v>5859971.5013867412</v>
      </c>
      <c r="BJ94" s="2">
        <f t="shared" si="19"/>
        <v>585722.74522129982</v>
      </c>
      <c r="BK94" s="2"/>
      <c r="BL94" s="2"/>
      <c r="BM94" s="2"/>
      <c r="BN94" s="2"/>
      <c r="BO94" s="2"/>
      <c r="BP94" s="2"/>
      <c r="BQ94" s="1">
        <f t="shared" ref="BQ94:BQ134" si="29">BQ93*1.0027</f>
        <v>516150.99011908512</v>
      </c>
      <c r="BR94" s="2"/>
      <c r="BS94" s="2"/>
      <c r="BT94" s="2"/>
      <c r="BU94" s="2"/>
      <c r="BV94" s="2"/>
      <c r="BW94" s="2"/>
      <c r="BX94" s="2"/>
      <c r="BY94" s="2"/>
      <c r="BZ94" s="1">
        <f t="shared" ref="BZ94:BZ157" si="30">BZ93*1.007</f>
        <v>978104.02653163206</v>
      </c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1">
        <f t="shared" ref="CT94:CT157" si="31">CT93*1.0034</f>
        <v>363009.54588895926</v>
      </c>
      <c r="CU94" s="2"/>
      <c r="CV94" s="2"/>
      <c r="CW94" s="2"/>
      <c r="CX94" s="1">
        <f t="shared" ref="CX94:CX157" si="32">CX93*1.0034</f>
        <v>1156970.3671008134</v>
      </c>
      <c r="CY94" s="2"/>
      <c r="CZ94" s="2"/>
      <c r="DA94" s="2"/>
      <c r="DB94" s="2"/>
      <c r="DC94" s="2"/>
      <c r="DD94" s="2"/>
      <c r="DE94" s="1">
        <f t="shared" ref="DE94:DE157" si="33">DE93*1.0034</f>
        <v>647724.54899686575</v>
      </c>
      <c r="DF94" s="2"/>
      <c r="DG94" s="2"/>
      <c r="DH94" s="2"/>
      <c r="DI94" s="2"/>
      <c r="DJ94" s="2"/>
      <c r="DK94" s="2"/>
      <c r="DL94" s="1">
        <f t="shared" ref="DL94:DL157" si="34">DL93*1.0034</f>
        <v>762542.56617127557</v>
      </c>
      <c r="DM94" s="2"/>
      <c r="DN94" s="2"/>
      <c r="DO94" s="2"/>
      <c r="DP94" s="2"/>
      <c r="DQ94" s="2"/>
      <c r="DR94" s="2"/>
      <c r="DS94" s="1">
        <f t="shared" ref="DS94:DS157" si="35">DS93*1.007</f>
        <v>365265.32792105747</v>
      </c>
      <c r="DT94" s="2"/>
      <c r="DU94" s="2"/>
      <c r="DV94" s="2"/>
      <c r="DW94" s="2"/>
      <c r="DX94" s="2"/>
      <c r="DY94" s="2"/>
      <c r="DZ94" s="2"/>
      <c r="EA94" s="2"/>
      <c r="EB94" s="1">
        <f t="shared" ref="EB94:EB157" si="36">EB93*1.007</f>
        <v>42786.70282290606</v>
      </c>
      <c r="EC94" s="2"/>
      <c r="ED94" s="2"/>
      <c r="EE94" s="1">
        <f t="shared" ref="EE94:EG157" si="37">EE93*1.0034</f>
        <v>96334.33567709307</v>
      </c>
      <c r="EF94" s="2"/>
      <c r="EG94" s="1">
        <f t="shared" si="37"/>
        <v>345360.34493575455</v>
      </c>
      <c r="EH94" s="2"/>
      <c r="HW94" s="4"/>
      <c r="HX94" s="2">
        <f t="shared" si="20"/>
        <v>1378261.5315360785</v>
      </c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1">
        <f t="shared" ref="LO94:LO157" si="38">LO93*1.0034</f>
        <v>2103014.8295937292</v>
      </c>
      <c r="LU94" s="1">
        <f t="shared" ref="LU94:LU157" si="39">LU93*1.0034</f>
        <v>1547762.4851799933</v>
      </c>
    </row>
    <row r="95" spans="1:333">
      <c r="A95" s="1">
        <v>1458</v>
      </c>
      <c r="B95" s="1">
        <f t="shared" si="21"/>
        <v>9402631.285310436</v>
      </c>
      <c r="C95" s="1">
        <f t="shared" si="23"/>
        <v>2644493.331578149</v>
      </c>
      <c r="K95" s="1">
        <f t="shared" si="24"/>
        <v>1093937.6199521697</v>
      </c>
      <c r="U95" s="1">
        <f t="shared" si="25"/>
        <v>1141592.1791621975</v>
      </c>
      <c r="AH95" s="1">
        <f t="shared" si="26"/>
        <v>2893378.0696112332</v>
      </c>
      <c r="AT95" s="1">
        <f t="shared" si="27"/>
        <v>973749.10646104894</v>
      </c>
      <c r="BC95" s="1">
        <f t="shared" si="28"/>
        <v>655480.97854563699</v>
      </c>
      <c r="BI95" s="4">
        <f t="shared" si="22"/>
        <v>5884934.2665262204</v>
      </c>
      <c r="BJ95" s="2">
        <f t="shared" ref="BJ95:BJ158" si="40">BJ94*1.0041</f>
        <v>588124.20847670711</v>
      </c>
      <c r="BK95" s="2"/>
      <c r="BL95" s="2"/>
      <c r="BM95" s="2"/>
      <c r="BN95" s="2"/>
      <c r="BO95" s="2"/>
      <c r="BP95" s="2"/>
      <c r="BQ95" s="1">
        <f t="shared" si="29"/>
        <v>517544.59779240662</v>
      </c>
      <c r="BR95" s="2"/>
      <c r="BS95" s="2"/>
      <c r="BT95" s="2"/>
      <c r="BU95" s="2"/>
      <c r="BV95" s="2"/>
      <c r="BW95" s="2"/>
      <c r="BX95" s="2"/>
      <c r="BY95" s="2"/>
      <c r="BZ95" s="1">
        <f t="shared" si="30"/>
        <v>984950.75471735338</v>
      </c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1">
        <f t="shared" si="31"/>
        <v>364243.77834498172</v>
      </c>
      <c r="CU95" s="2"/>
      <c r="CV95" s="2"/>
      <c r="CW95" s="2"/>
      <c r="CX95" s="1">
        <f t="shared" si="32"/>
        <v>1160904.0663489562</v>
      </c>
      <c r="CY95" s="2"/>
      <c r="CZ95" s="2"/>
      <c r="DA95" s="2"/>
      <c r="DB95" s="2"/>
      <c r="DC95" s="2"/>
      <c r="DD95" s="2"/>
      <c r="DE95" s="1">
        <f t="shared" si="33"/>
        <v>649926.81246345514</v>
      </c>
      <c r="DF95" s="2"/>
      <c r="DG95" s="2"/>
      <c r="DH95" s="2"/>
      <c r="DI95" s="2"/>
      <c r="DJ95" s="2"/>
      <c r="DK95" s="2"/>
      <c r="DL95" s="1">
        <f t="shared" si="34"/>
        <v>765135.21089625801</v>
      </c>
      <c r="DM95" s="2"/>
      <c r="DN95" s="2"/>
      <c r="DO95" s="2"/>
      <c r="DP95" s="2"/>
      <c r="DQ95" s="2"/>
      <c r="DR95" s="2"/>
      <c r="DS95" s="1">
        <f t="shared" si="35"/>
        <v>367822.18521650485</v>
      </c>
      <c r="DT95" s="2"/>
      <c r="DU95" s="2"/>
      <c r="DV95" s="2"/>
      <c r="DW95" s="2"/>
      <c r="DX95" s="2"/>
      <c r="DY95" s="2"/>
      <c r="DZ95" s="2"/>
      <c r="EA95" s="2"/>
      <c r="EB95" s="1">
        <f t="shared" si="36"/>
        <v>43086.209742666397</v>
      </c>
      <c r="EC95" s="2"/>
      <c r="ED95" s="2"/>
      <c r="EE95" s="1">
        <f t="shared" si="37"/>
        <v>96661.8724183952</v>
      </c>
      <c r="EF95" s="2"/>
      <c r="EG95" s="1">
        <f t="shared" si="37"/>
        <v>346534.57010853617</v>
      </c>
      <c r="EH95" s="2"/>
      <c r="HW95" s="4"/>
      <c r="HX95" s="2">
        <f t="shared" si="20"/>
        <v>1384463.7084279908</v>
      </c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1">
        <f t="shared" si="38"/>
        <v>2110165.080014348</v>
      </c>
      <c r="LU95" s="1">
        <f t="shared" si="39"/>
        <v>1553024.8776296054</v>
      </c>
    </row>
    <row r="96" spans="1:333">
      <c r="A96" s="1">
        <v>1459</v>
      </c>
      <c r="B96" s="1">
        <f t="shared" si="21"/>
        <v>9437059.3144595176</v>
      </c>
      <c r="C96" s="1">
        <f t="shared" si="23"/>
        <v>2653484.6089055147</v>
      </c>
      <c r="K96" s="1">
        <f t="shared" si="24"/>
        <v>1098860.3392419545</v>
      </c>
      <c r="U96" s="1">
        <f t="shared" si="25"/>
        <v>1146729.3439684273</v>
      </c>
      <c r="AH96" s="1">
        <f t="shared" si="26"/>
        <v>2903215.5550479116</v>
      </c>
      <c r="AT96" s="1">
        <f t="shared" si="27"/>
        <v>977059.85342301661</v>
      </c>
      <c r="BC96" s="1">
        <f t="shared" si="28"/>
        <v>657709.61387269222</v>
      </c>
      <c r="BI96" s="4">
        <f t="shared" si="22"/>
        <v>5910017.5416987259</v>
      </c>
      <c r="BJ96" s="2">
        <f t="shared" si="40"/>
        <v>590535.51773146156</v>
      </c>
      <c r="BK96" s="2"/>
      <c r="BL96" s="2"/>
      <c r="BM96" s="2"/>
      <c r="BN96" s="2"/>
      <c r="BO96" s="2"/>
      <c r="BP96" s="2"/>
      <c r="BQ96" s="1">
        <f t="shared" si="29"/>
        <v>518941.96820644609</v>
      </c>
      <c r="BR96" s="2"/>
      <c r="BS96" s="2"/>
      <c r="BT96" s="2"/>
      <c r="BU96" s="2"/>
      <c r="BV96" s="2"/>
      <c r="BW96" s="2"/>
      <c r="BX96" s="2"/>
      <c r="BY96" s="2"/>
      <c r="BZ96" s="1">
        <f t="shared" si="30"/>
        <v>991845.41000037477</v>
      </c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1">
        <f t="shared" si="31"/>
        <v>365482.20719135471</v>
      </c>
      <c r="CU96" s="2"/>
      <c r="CV96" s="2"/>
      <c r="CW96" s="2"/>
      <c r="CX96" s="1">
        <f t="shared" si="32"/>
        <v>1164851.1401745428</v>
      </c>
      <c r="CY96" s="2"/>
      <c r="CZ96" s="2"/>
      <c r="DA96" s="2"/>
      <c r="DB96" s="2"/>
      <c r="DC96" s="2"/>
      <c r="DD96" s="2"/>
      <c r="DE96" s="1">
        <f t="shared" si="33"/>
        <v>652136.56362583092</v>
      </c>
      <c r="DF96" s="2"/>
      <c r="DG96" s="2"/>
      <c r="DH96" s="2"/>
      <c r="DI96" s="2"/>
      <c r="DJ96" s="2"/>
      <c r="DK96" s="2"/>
      <c r="DL96" s="1">
        <f t="shared" si="34"/>
        <v>767736.67061330529</v>
      </c>
      <c r="DM96" s="2"/>
      <c r="DN96" s="2"/>
      <c r="DO96" s="2"/>
      <c r="DP96" s="2"/>
      <c r="DQ96" s="2"/>
      <c r="DR96" s="2"/>
      <c r="DS96" s="1">
        <f t="shared" si="35"/>
        <v>370396.94051302032</v>
      </c>
      <c r="DT96" s="2"/>
      <c r="DU96" s="2"/>
      <c r="DV96" s="2"/>
      <c r="DW96" s="2"/>
      <c r="DX96" s="2"/>
      <c r="DY96" s="2"/>
      <c r="DZ96" s="2"/>
      <c r="EA96" s="2"/>
      <c r="EB96" s="1">
        <f t="shared" si="36"/>
        <v>43387.813210865053</v>
      </c>
      <c r="EC96" s="2"/>
      <c r="ED96" s="2"/>
      <c r="EE96" s="1">
        <f t="shared" si="37"/>
        <v>96990.522784617744</v>
      </c>
      <c r="EF96" s="2"/>
      <c r="EG96" s="1">
        <f t="shared" si="37"/>
        <v>347712.78764690523</v>
      </c>
      <c r="EH96" s="2"/>
      <c r="HW96" s="4"/>
      <c r="HX96" s="2">
        <f t="shared" si="20"/>
        <v>1390693.7951159168</v>
      </c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1">
        <f t="shared" si="38"/>
        <v>2117339.6412863969</v>
      </c>
      <c r="LU96" s="1">
        <f t="shared" si="39"/>
        <v>1558305.1622135462</v>
      </c>
    </row>
    <row r="97" spans="1:333">
      <c r="A97" s="1">
        <v>1460</v>
      </c>
      <c r="B97" s="1">
        <f t="shared" si="21"/>
        <v>9471615.4647802114</v>
      </c>
      <c r="C97" s="1">
        <f t="shared" si="23"/>
        <v>2662506.4565757937</v>
      </c>
      <c r="K97" s="1">
        <f t="shared" si="24"/>
        <v>1103805.2107685432</v>
      </c>
      <c r="U97" s="1">
        <f t="shared" si="25"/>
        <v>1151889.626016285</v>
      </c>
      <c r="AH97" s="1">
        <f t="shared" si="26"/>
        <v>2913086.4879350746</v>
      </c>
      <c r="AT97" s="1">
        <f t="shared" si="27"/>
        <v>980381.85692465492</v>
      </c>
      <c r="BC97" s="1">
        <f t="shared" si="28"/>
        <v>659945.82655985944</v>
      </c>
      <c r="BI97" s="4">
        <f t="shared" si="22"/>
        <v>5935221.9854145758</v>
      </c>
      <c r="BJ97" s="2">
        <f t="shared" si="40"/>
        <v>592956.71335416054</v>
      </c>
      <c r="BK97" s="2"/>
      <c r="BL97" s="2"/>
      <c r="BM97" s="2"/>
      <c r="BN97" s="2"/>
      <c r="BO97" s="2"/>
      <c r="BP97" s="2"/>
      <c r="BQ97" s="1">
        <f t="shared" si="29"/>
        <v>520343.11152060347</v>
      </c>
      <c r="BR97" s="2"/>
      <c r="BS97" s="2"/>
      <c r="BT97" s="2"/>
      <c r="BU97" s="2"/>
      <c r="BV97" s="2"/>
      <c r="BW97" s="2"/>
      <c r="BX97" s="2"/>
      <c r="BY97" s="2"/>
      <c r="BZ97" s="1">
        <f t="shared" si="30"/>
        <v>998788.32787037734</v>
      </c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1">
        <f t="shared" si="31"/>
        <v>366724.84669580532</v>
      </c>
      <c r="CU97" s="2"/>
      <c r="CV97" s="2"/>
      <c r="CW97" s="2"/>
      <c r="CX97" s="1">
        <f t="shared" si="32"/>
        <v>1168811.6340511362</v>
      </c>
      <c r="CY97" s="2"/>
      <c r="CZ97" s="2"/>
      <c r="DA97" s="2"/>
      <c r="DB97" s="2"/>
      <c r="DC97" s="2"/>
      <c r="DD97" s="2"/>
      <c r="DE97" s="1">
        <f t="shared" si="33"/>
        <v>654353.82794215879</v>
      </c>
      <c r="DF97" s="2"/>
      <c r="DG97" s="2"/>
      <c r="DH97" s="2"/>
      <c r="DI97" s="2"/>
      <c r="DJ97" s="2"/>
      <c r="DK97" s="2"/>
      <c r="DL97" s="1">
        <f t="shared" si="34"/>
        <v>770346.97529339057</v>
      </c>
      <c r="DM97" s="2"/>
      <c r="DN97" s="2"/>
      <c r="DO97" s="2"/>
      <c r="DP97" s="2"/>
      <c r="DQ97" s="2"/>
      <c r="DR97" s="2"/>
      <c r="DS97" s="1">
        <f t="shared" si="35"/>
        <v>372989.71909661143</v>
      </c>
      <c r="DT97" s="2"/>
      <c r="DU97" s="2"/>
      <c r="DV97" s="2"/>
      <c r="DW97" s="2"/>
      <c r="DX97" s="2"/>
      <c r="DY97" s="2"/>
      <c r="DZ97" s="2"/>
      <c r="EA97" s="2"/>
      <c r="EB97" s="1">
        <f t="shared" si="36"/>
        <v>43691.527903341106</v>
      </c>
      <c r="EC97" s="2"/>
      <c r="ED97" s="2"/>
      <c r="EE97" s="1">
        <f t="shared" si="37"/>
        <v>97320.290562085458</v>
      </c>
      <c r="EF97" s="2"/>
      <c r="EG97" s="1">
        <f t="shared" si="37"/>
        <v>348895.01112490473</v>
      </c>
      <c r="EH97" s="2"/>
      <c r="HW97" s="4"/>
      <c r="HX97" s="2">
        <f t="shared" si="20"/>
        <v>1396951.9171939383</v>
      </c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1">
        <f t="shared" si="38"/>
        <v>2124538.5960667706</v>
      </c>
      <c r="LU97" s="1">
        <f t="shared" si="39"/>
        <v>1563603.3997650724</v>
      </c>
    </row>
    <row r="98" spans="1:333">
      <c r="A98" s="1">
        <v>1461</v>
      </c>
      <c r="B98" s="1">
        <f t="shared" si="21"/>
        <v>9506300.221680928</v>
      </c>
      <c r="C98" s="1">
        <f t="shared" si="23"/>
        <v>2671558.9785281518</v>
      </c>
      <c r="K98" s="1">
        <f t="shared" si="24"/>
        <v>1108772.3342170017</v>
      </c>
      <c r="U98" s="1">
        <f t="shared" si="25"/>
        <v>1157073.1293333583</v>
      </c>
      <c r="AH98" s="1">
        <f t="shared" si="26"/>
        <v>2922990.9819940543</v>
      </c>
      <c r="AT98" s="1">
        <f t="shared" si="27"/>
        <v>983715.15523819881</v>
      </c>
      <c r="BC98" s="1">
        <f t="shared" si="28"/>
        <v>662189.642370163</v>
      </c>
      <c r="BI98" s="4">
        <f t="shared" si="22"/>
        <v>5960548.2601558007</v>
      </c>
      <c r="BJ98" s="2">
        <f t="shared" si="40"/>
        <v>595387.83587891259</v>
      </c>
      <c r="BK98" s="2"/>
      <c r="BL98" s="2"/>
      <c r="BM98" s="2"/>
      <c r="BN98" s="2"/>
      <c r="BO98" s="2"/>
      <c r="BP98" s="2"/>
      <c r="BQ98" s="1">
        <f t="shared" si="29"/>
        <v>521748.03792170907</v>
      </c>
      <c r="BR98" s="2"/>
      <c r="BS98" s="2"/>
      <c r="BT98" s="2"/>
      <c r="BU98" s="2"/>
      <c r="BV98" s="2"/>
      <c r="BW98" s="2"/>
      <c r="BX98" s="2"/>
      <c r="BY98" s="2"/>
      <c r="BZ98" s="1">
        <f t="shared" si="30"/>
        <v>1005779.8461654698</v>
      </c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1">
        <f t="shared" si="31"/>
        <v>367971.71117457107</v>
      </c>
      <c r="CU98" s="2"/>
      <c r="CV98" s="2"/>
      <c r="CW98" s="2"/>
      <c r="CX98" s="1">
        <f t="shared" si="32"/>
        <v>1172785.5936069102</v>
      </c>
      <c r="CY98" s="2"/>
      <c r="CZ98" s="2"/>
      <c r="DA98" s="2"/>
      <c r="DB98" s="2"/>
      <c r="DC98" s="2"/>
      <c r="DD98" s="2"/>
      <c r="DE98" s="1">
        <f t="shared" si="33"/>
        <v>656578.63095716212</v>
      </c>
      <c r="DF98" s="2"/>
      <c r="DG98" s="2"/>
      <c r="DH98" s="2"/>
      <c r="DI98" s="2"/>
      <c r="DJ98" s="2"/>
      <c r="DK98" s="2"/>
      <c r="DL98" s="1">
        <f t="shared" si="34"/>
        <v>772966.15500938811</v>
      </c>
      <c r="DM98" s="2"/>
      <c r="DN98" s="2"/>
      <c r="DO98" s="2"/>
      <c r="DP98" s="2"/>
      <c r="DQ98" s="2"/>
      <c r="DR98" s="2"/>
      <c r="DS98" s="1">
        <f t="shared" si="35"/>
        <v>375600.64713028766</v>
      </c>
      <c r="DT98" s="2"/>
      <c r="DU98" s="2"/>
      <c r="DV98" s="2"/>
      <c r="DW98" s="2"/>
      <c r="DX98" s="2"/>
      <c r="DY98" s="2"/>
      <c r="DZ98" s="2"/>
      <c r="EA98" s="2"/>
      <c r="EB98" s="1">
        <f t="shared" si="36"/>
        <v>43997.368598664492</v>
      </c>
      <c r="EC98" s="2"/>
      <c r="ED98" s="2"/>
      <c r="EE98" s="1">
        <f t="shared" si="37"/>
        <v>97651.179549996552</v>
      </c>
      <c r="EF98" s="2"/>
      <c r="EG98" s="1">
        <f t="shared" si="37"/>
        <v>350081.25416272943</v>
      </c>
      <c r="EH98" s="2"/>
      <c r="HW98" s="4"/>
      <c r="HX98" s="2">
        <f t="shared" si="20"/>
        <v>1403238.200821311</v>
      </c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1">
        <f t="shared" si="38"/>
        <v>2131762.0272933976</v>
      </c>
      <c r="LU98" s="1">
        <f t="shared" si="39"/>
        <v>1568919.6513242738</v>
      </c>
    </row>
    <row r="99" spans="1:333">
      <c r="A99" s="1">
        <v>1462</v>
      </c>
      <c r="B99" s="1">
        <f t="shared" si="21"/>
        <v>9541114.0724445488</v>
      </c>
      <c r="C99" s="1">
        <f t="shared" si="23"/>
        <v>2680642.2790551474</v>
      </c>
      <c r="K99" s="1">
        <f t="shared" si="24"/>
        <v>1113761.8097209781</v>
      </c>
      <c r="U99" s="1">
        <f t="shared" si="25"/>
        <v>1162279.9584153583</v>
      </c>
      <c r="AH99" s="1">
        <f t="shared" si="26"/>
        <v>2932929.1513328343</v>
      </c>
      <c r="AT99" s="1">
        <f t="shared" si="27"/>
        <v>987059.78676600871</v>
      </c>
      <c r="BC99" s="1">
        <f t="shared" si="28"/>
        <v>664441.0871542216</v>
      </c>
      <c r="BI99" s="4">
        <f t="shared" si="22"/>
        <v>5985997.032401721</v>
      </c>
      <c r="BJ99" s="2">
        <f t="shared" si="40"/>
        <v>597828.92600601609</v>
      </c>
      <c r="BK99" s="2"/>
      <c r="BL99" s="2"/>
      <c r="BM99" s="2"/>
      <c r="BN99" s="2"/>
      <c r="BO99" s="2"/>
      <c r="BP99" s="2"/>
      <c r="BQ99" s="1">
        <f t="shared" si="29"/>
        <v>523156.75762409763</v>
      </c>
      <c r="BR99" s="2"/>
      <c r="BS99" s="2"/>
      <c r="BT99" s="2"/>
      <c r="BU99" s="2"/>
      <c r="BV99" s="2"/>
      <c r="BW99" s="2"/>
      <c r="BX99" s="2"/>
      <c r="BY99" s="2"/>
      <c r="BZ99" s="1">
        <f t="shared" si="30"/>
        <v>1012820.3050886281</v>
      </c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1">
        <f t="shared" si="31"/>
        <v>369222.81499256461</v>
      </c>
      <c r="CU99" s="2"/>
      <c r="CV99" s="2"/>
      <c r="CW99" s="2"/>
      <c r="CX99" s="1">
        <f t="shared" si="32"/>
        <v>1176773.0646251738</v>
      </c>
      <c r="CY99" s="2"/>
      <c r="CZ99" s="2"/>
      <c r="DA99" s="2"/>
      <c r="DB99" s="2"/>
      <c r="DC99" s="2"/>
      <c r="DD99" s="2"/>
      <c r="DE99" s="1">
        <f t="shared" si="33"/>
        <v>658810.99830241653</v>
      </c>
      <c r="DF99" s="2"/>
      <c r="DG99" s="2"/>
      <c r="DH99" s="2"/>
      <c r="DI99" s="2"/>
      <c r="DJ99" s="2"/>
      <c r="DK99" s="2"/>
      <c r="DL99" s="1">
        <f t="shared" si="34"/>
        <v>775594.23993642011</v>
      </c>
      <c r="DM99" s="2"/>
      <c r="DN99" s="2"/>
      <c r="DO99" s="2"/>
      <c r="DP99" s="2"/>
      <c r="DQ99" s="2"/>
      <c r="DR99" s="2"/>
      <c r="DS99" s="1">
        <f t="shared" si="35"/>
        <v>378229.85166019964</v>
      </c>
      <c r="DT99" s="2"/>
      <c r="DU99" s="2"/>
      <c r="DV99" s="2"/>
      <c r="DW99" s="2"/>
      <c r="DX99" s="2"/>
      <c r="DY99" s="2"/>
      <c r="DZ99" s="2"/>
      <c r="EA99" s="2"/>
      <c r="EB99" s="1">
        <f t="shared" si="36"/>
        <v>44305.350178855137</v>
      </c>
      <c r="EC99" s="2"/>
      <c r="ED99" s="2"/>
      <c r="EE99" s="1">
        <f t="shared" si="37"/>
        <v>97983.193560466549</v>
      </c>
      <c r="EF99" s="2"/>
      <c r="EG99" s="1">
        <f t="shared" si="37"/>
        <v>351271.53042688273</v>
      </c>
      <c r="EH99" s="2"/>
      <c r="HW99" s="4"/>
      <c r="HX99" s="2">
        <f t="shared" si="20"/>
        <v>1409552.7727250068</v>
      </c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1">
        <f t="shared" si="38"/>
        <v>2139010.0181861953</v>
      </c>
      <c r="LU99" s="1">
        <f t="shared" si="39"/>
        <v>1574253.9781387765</v>
      </c>
    </row>
    <row r="100" spans="1:333">
      <c r="A100" s="1">
        <v>1463</v>
      </c>
      <c r="B100" s="1">
        <f t="shared" si="21"/>
        <v>9576057.50623581</v>
      </c>
      <c r="C100" s="1">
        <f t="shared" si="23"/>
        <v>2689756.4628039352</v>
      </c>
      <c r="K100" s="1">
        <f t="shared" si="24"/>
        <v>1118773.7378647225</v>
      </c>
      <c r="U100" s="1">
        <f t="shared" si="25"/>
        <v>1167510.2182282275</v>
      </c>
      <c r="AH100" s="1">
        <f t="shared" si="26"/>
        <v>2942901.1104473663</v>
      </c>
      <c r="AT100" s="1">
        <f t="shared" si="27"/>
        <v>990415.79004101316</v>
      </c>
      <c r="BC100" s="1">
        <f t="shared" si="28"/>
        <v>666700.18685054604</v>
      </c>
      <c r="BI100" s="4">
        <f t="shared" si="22"/>
        <v>6011568.9726546938</v>
      </c>
      <c r="BJ100" s="2">
        <f t="shared" si="40"/>
        <v>600280.02460264077</v>
      </c>
      <c r="BK100" s="2"/>
      <c r="BL100" s="2"/>
      <c r="BM100" s="2"/>
      <c r="BN100" s="2"/>
      <c r="BO100" s="2"/>
      <c r="BP100" s="2"/>
      <c r="BQ100" s="1">
        <f t="shared" si="29"/>
        <v>524569.28086968267</v>
      </c>
      <c r="BR100" s="2"/>
      <c r="BS100" s="2"/>
      <c r="BT100" s="2"/>
      <c r="BU100" s="2"/>
      <c r="BV100" s="2"/>
      <c r="BW100" s="2"/>
      <c r="BX100" s="2"/>
      <c r="BY100" s="2"/>
      <c r="BZ100" s="1">
        <f t="shared" si="30"/>
        <v>1019910.0472242484</v>
      </c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1">
        <f t="shared" si="31"/>
        <v>370478.17256353935</v>
      </c>
      <c r="CU100" s="2"/>
      <c r="CV100" s="2"/>
      <c r="CW100" s="2"/>
      <c r="CX100" s="1">
        <f t="shared" si="32"/>
        <v>1180774.0930448994</v>
      </c>
      <c r="CY100" s="2"/>
      <c r="CZ100" s="2"/>
      <c r="DA100" s="2"/>
      <c r="DB100" s="2"/>
      <c r="DC100" s="2"/>
      <c r="DD100" s="2"/>
      <c r="DE100" s="1">
        <f t="shared" si="33"/>
        <v>661050.95569664484</v>
      </c>
      <c r="DF100" s="2"/>
      <c r="DG100" s="2"/>
      <c r="DH100" s="2"/>
      <c r="DI100" s="2"/>
      <c r="DJ100" s="2"/>
      <c r="DK100" s="2"/>
      <c r="DL100" s="1">
        <f t="shared" si="34"/>
        <v>778231.26035220397</v>
      </c>
      <c r="DM100" s="2"/>
      <c r="DN100" s="2"/>
      <c r="DO100" s="2"/>
      <c r="DP100" s="2"/>
      <c r="DQ100" s="2"/>
      <c r="DR100" s="2"/>
      <c r="DS100" s="1">
        <f t="shared" si="35"/>
        <v>380877.460621821</v>
      </c>
      <c r="DT100" s="2"/>
      <c r="DU100" s="2"/>
      <c r="DV100" s="2"/>
      <c r="DW100" s="2"/>
      <c r="DX100" s="2"/>
      <c r="DY100" s="2"/>
      <c r="DZ100" s="2"/>
      <c r="EA100" s="2"/>
      <c r="EB100" s="1">
        <f t="shared" si="36"/>
        <v>44615.48763010712</v>
      </c>
      <c r="EC100" s="2"/>
      <c r="ED100" s="2"/>
      <c r="EE100" s="1">
        <f t="shared" si="37"/>
        <v>98316.336418572144</v>
      </c>
      <c r="EF100" s="2"/>
      <c r="EG100" s="1">
        <f t="shared" si="37"/>
        <v>352465.85363033414</v>
      </c>
      <c r="EH100" s="2"/>
      <c r="HW100" s="4"/>
      <c r="HX100" s="2">
        <f t="shared" si="20"/>
        <v>1415895.7602022693</v>
      </c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1">
        <f t="shared" si="38"/>
        <v>2146282.6522480287</v>
      </c>
      <c r="LU100" s="1">
        <f t="shared" si="39"/>
        <v>1579606.4416644485</v>
      </c>
    </row>
    <row r="101" spans="1:333">
      <c r="A101" s="1">
        <v>1464</v>
      </c>
      <c r="B101" s="1">
        <f t="shared" si="21"/>
        <v>9611131.0141087137</v>
      </c>
      <c r="C101" s="1">
        <f t="shared" si="23"/>
        <v>2698901.6347774686</v>
      </c>
      <c r="K101" s="1">
        <f t="shared" si="24"/>
        <v>1123808.2196851138</v>
      </c>
      <c r="U101" s="1">
        <f t="shared" si="25"/>
        <v>1172764.0142102544</v>
      </c>
      <c r="AH101" s="1">
        <f t="shared" si="26"/>
        <v>2952906.9742228873</v>
      </c>
      <c r="AT101" s="1">
        <f t="shared" si="27"/>
        <v>993783.20372715266</v>
      </c>
      <c r="BC101" s="1">
        <f t="shared" si="28"/>
        <v>668966.96748583799</v>
      </c>
      <c r="BI101" s="4">
        <f t="shared" si="22"/>
        <v>6037264.7554660467</v>
      </c>
      <c r="BJ101" s="2">
        <f t="shared" si="40"/>
        <v>602741.17270351155</v>
      </c>
      <c r="BK101" s="2"/>
      <c r="BL101" s="2"/>
      <c r="BM101" s="2"/>
      <c r="BN101" s="2"/>
      <c r="BO101" s="2"/>
      <c r="BP101" s="2"/>
      <c r="BQ101" s="1">
        <f t="shared" si="29"/>
        <v>525985.61792803078</v>
      </c>
      <c r="BR101" s="2"/>
      <c r="BS101" s="2"/>
      <c r="BT101" s="2"/>
      <c r="BU101" s="2"/>
      <c r="BV101" s="2"/>
      <c r="BW101" s="2"/>
      <c r="BX101" s="2"/>
      <c r="BY101" s="2"/>
      <c r="BZ101" s="1">
        <f t="shared" si="30"/>
        <v>1027049.4175548181</v>
      </c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1">
        <f t="shared" si="31"/>
        <v>371737.79835025541</v>
      </c>
      <c r="CU101" s="2"/>
      <c r="CV101" s="2"/>
      <c r="CW101" s="2"/>
      <c r="CX101" s="1">
        <f t="shared" si="32"/>
        <v>1184788.7249612522</v>
      </c>
      <c r="CY101" s="2"/>
      <c r="CZ101" s="2"/>
      <c r="DA101" s="2"/>
      <c r="DB101" s="2"/>
      <c r="DC101" s="2"/>
      <c r="DD101" s="2"/>
      <c r="DE101" s="1">
        <f t="shared" si="33"/>
        <v>663298.52894601354</v>
      </c>
      <c r="DF101" s="2"/>
      <c r="DG101" s="2"/>
      <c r="DH101" s="2"/>
      <c r="DI101" s="2"/>
      <c r="DJ101" s="2"/>
      <c r="DK101" s="2"/>
      <c r="DL101" s="1">
        <f t="shared" si="34"/>
        <v>780877.24663740152</v>
      </c>
      <c r="DM101" s="2"/>
      <c r="DN101" s="2"/>
      <c r="DO101" s="2"/>
      <c r="DP101" s="2"/>
      <c r="DQ101" s="2"/>
      <c r="DR101" s="2"/>
      <c r="DS101" s="1">
        <f t="shared" si="35"/>
        <v>383543.60284617369</v>
      </c>
      <c r="DT101" s="2"/>
      <c r="DU101" s="2"/>
      <c r="DV101" s="2"/>
      <c r="DW101" s="2"/>
      <c r="DX101" s="2"/>
      <c r="DY101" s="2"/>
      <c r="DZ101" s="2"/>
      <c r="EA101" s="2"/>
      <c r="EB101" s="1">
        <f t="shared" si="36"/>
        <v>44927.796043517868</v>
      </c>
      <c r="EC101" s="2"/>
      <c r="ED101" s="2"/>
      <c r="EE101" s="1">
        <f t="shared" si="37"/>
        <v>98650.611962395298</v>
      </c>
      <c r="EF101" s="2"/>
      <c r="EG101" s="1">
        <f t="shared" si="37"/>
        <v>353664.2375326773</v>
      </c>
      <c r="EH101" s="2"/>
      <c r="HW101" s="4"/>
      <c r="HX101" s="2">
        <f t="shared" si="20"/>
        <v>1422267.2911231795</v>
      </c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1">
        <f t="shared" si="38"/>
        <v>2153580.0132656721</v>
      </c>
      <c r="LU101" s="1">
        <f t="shared" si="39"/>
        <v>1584977.1035661078</v>
      </c>
    </row>
    <row r="102" spans="1:333">
      <c r="A102" s="1">
        <v>1465</v>
      </c>
      <c r="B102" s="1">
        <f t="shared" si="21"/>
        <v>9646335.0890139695</v>
      </c>
      <c r="C102" s="1">
        <f t="shared" si="23"/>
        <v>2708077.9003357124</v>
      </c>
      <c r="K102" s="1">
        <f t="shared" si="24"/>
        <v>1128865.3566736968</v>
      </c>
      <c r="U102" s="1">
        <f t="shared" si="25"/>
        <v>1178041.4522742005</v>
      </c>
      <c r="AH102" s="1">
        <f t="shared" si="26"/>
        <v>2962946.8579352451</v>
      </c>
      <c r="AT102" s="1">
        <f t="shared" si="27"/>
        <v>997162.06661982508</v>
      </c>
      <c r="BC102" s="1">
        <f t="shared" si="28"/>
        <v>671241.45517528988</v>
      </c>
      <c r="BI102" s="4">
        <f t="shared" si="22"/>
        <v>6063085.0594621748</v>
      </c>
      <c r="BJ102" s="2">
        <f t="shared" si="40"/>
        <v>605212.41151159594</v>
      </c>
      <c r="BK102" s="2"/>
      <c r="BL102" s="2"/>
      <c r="BM102" s="2"/>
      <c r="BN102" s="2"/>
      <c r="BO102" s="2"/>
      <c r="BP102" s="2"/>
      <c r="BQ102" s="1">
        <f t="shared" si="29"/>
        <v>527405.77909643645</v>
      </c>
      <c r="BR102" s="2"/>
      <c r="BS102" s="2"/>
      <c r="BT102" s="2"/>
      <c r="BU102" s="2"/>
      <c r="BV102" s="2"/>
      <c r="BW102" s="2"/>
      <c r="BX102" s="2"/>
      <c r="BY102" s="2"/>
      <c r="BZ102" s="1">
        <f t="shared" si="30"/>
        <v>1034238.7634777017</v>
      </c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1">
        <f t="shared" si="31"/>
        <v>373001.70686464629</v>
      </c>
      <c r="CU102" s="2"/>
      <c r="CV102" s="2"/>
      <c r="CW102" s="2"/>
      <c r="CX102" s="1">
        <f t="shared" si="32"/>
        <v>1188817.0066261205</v>
      </c>
      <c r="CY102" s="2"/>
      <c r="CZ102" s="2"/>
      <c r="DA102" s="2"/>
      <c r="DB102" s="2"/>
      <c r="DC102" s="2"/>
      <c r="DD102" s="2"/>
      <c r="DE102" s="1">
        <f t="shared" si="33"/>
        <v>665553.74394443003</v>
      </c>
      <c r="DF102" s="2"/>
      <c r="DG102" s="2"/>
      <c r="DH102" s="2"/>
      <c r="DI102" s="2"/>
      <c r="DJ102" s="2"/>
      <c r="DK102" s="2"/>
      <c r="DL102" s="1">
        <f t="shared" si="34"/>
        <v>783532.22927596874</v>
      </c>
      <c r="DM102" s="2"/>
      <c r="DN102" s="2"/>
      <c r="DO102" s="2"/>
      <c r="DP102" s="2"/>
      <c r="DQ102" s="2"/>
      <c r="DR102" s="2"/>
      <c r="DS102" s="1">
        <f t="shared" si="35"/>
        <v>386228.40806609689</v>
      </c>
      <c r="DT102" s="2"/>
      <c r="DU102" s="2"/>
      <c r="DV102" s="2"/>
      <c r="DW102" s="2"/>
      <c r="DX102" s="2"/>
      <c r="DY102" s="2"/>
      <c r="DZ102" s="2"/>
      <c r="EA102" s="2"/>
      <c r="EB102" s="1">
        <f t="shared" si="36"/>
        <v>45242.290615822487</v>
      </c>
      <c r="EC102" s="2"/>
      <c r="ED102" s="2"/>
      <c r="EE102" s="1">
        <f t="shared" si="37"/>
        <v>98986.024043067446</v>
      </c>
      <c r="EF102" s="2"/>
      <c r="EG102" s="1">
        <f t="shared" si="37"/>
        <v>354866.69594028842</v>
      </c>
      <c r="EH102" s="2"/>
      <c r="HW102" s="4"/>
      <c r="HX102" s="2">
        <f t="shared" si="20"/>
        <v>1428667.4939332337</v>
      </c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1">
        <f t="shared" si="38"/>
        <v>2160902.1853107754</v>
      </c>
      <c r="LU102" s="1">
        <f t="shared" si="39"/>
        <v>1590366.0257182326</v>
      </c>
    </row>
    <row r="103" spans="1:333">
      <c r="A103" s="1">
        <v>1466</v>
      </c>
      <c r="B103" s="1">
        <f t="shared" si="21"/>
        <v>9681670.2258064579</v>
      </c>
      <c r="C103" s="1">
        <f t="shared" si="23"/>
        <v>2717285.3651968539</v>
      </c>
      <c r="K103" s="1">
        <f t="shared" si="24"/>
        <v>1133945.2507787284</v>
      </c>
      <c r="U103" s="1">
        <f t="shared" si="25"/>
        <v>1183342.6388094344</v>
      </c>
      <c r="AH103" s="1">
        <f t="shared" si="26"/>
        <v>2973020.8772522253</v>
      </c>
      <c r="AT103" s="1">
        <f t="shared" si="27"/>
        <v>1000552.4176463325</v>
      </c>
      <c r="BC103" s="1">
        <f t="shared" si="28"/>
        <v>673523.6761228859</v>
      </c>
      <c r="BI103" s="4">
        <f t="shared" si="22"/>
        <v>6089030.5673708115</v>
      </c>
      <c r="BJ103" s="2">
        <f t="shared" si="40"/>
        <v>607693.7823987935</v>
      </c>
      <c r="BK103" s="2"/>
      <c r="BL103" s="2"/>
      <c r="BM103" s="2"/>
      <c r="BN103" s="2"/>
      <c r="BO103" s="2"/>
      <c r="BP103" s="2"/>
      <c r="BQ103" s="1">
        <f t="shared" si="29"/>
        <v>528829.77469999681</v>
      </c>
      <c r="BR103" s="2"/>
      <c r="BS103" s="2"/>
      <c r="BT103" s="2"/>
      <c r="BU103" s="2"/>
      <c r="BV103" s="2"/>
      <c r="BW103" s="2"/>
      <c r="BX103" s="2"/>
      <c r="BY103" s="2"/>
      <c r="BZ103" s="1">
        <f t="shared" si="30"/>
        <v>1041478.4348220455</v>
      </c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1">
        <f t="shared" si="31"/>
        <v>374269.91266798612</v>
      </c>
      <c r="CU103" s="2"/>
      <c r="CV103" s="2"/>
      <c r="CW103" s="2"/>
      <c r="CX103" s="1">
        <f t="shared" si="32"/>
        <v>1192858.9844486495</v>
      </c>
      <c r="CY103" s="2"/>
      <c r="CZ103" s="2"/>
      <c r="DA103" s="2"/>
      <c r="DB103" s="2"/>
      <c r="DC103" s="2"/>
      <c r="DD103" s="2"/>
      <c r="DE103" s="1">
        <f t="shared" si="33"/>
        <v>667816.62667384115</v>
      </c>
      <c r="DF103" s="2"/>
      <c r="DG103" s="2"/>
      <c r="DH103" s="2"/>
      <c r="DI103" s="2"/>
      <c r="DJ103" s="2"/>
      <c r="DK103" s="2"/>
      <c r="DL103" s="1">
        <f t="shared" si="34"/>
        <v>786196.23885550711</v>
      </c>
      <c r="DM103" s="2"/>
      <c r="DN103" s="2"/>
      <c r="DO103" s="2"/>
      <c r="DP103" s="2"/>
      <c r="DQ103" s="2"/>
      <c r="DR103" s="2"/>
      <c r="DS103" s="1">
        <f t="shared" si="35"/>
        <v>388932.00692255952</v>
      </c>
      <c r="DT103" s="2"/>
      <c r="DU103" s="2"/>
      <c r="DV103" s="2"/>
      <c r="DW103" s="2"/>
      <c r="DX103" s="2"/>
      <c r="DY103" s="2"/>
      <c r="DZ103" s="2"/>
      <c r="EA103" s="2"/>
      <c r="EB103" s="1">
        <f t="shared" si="36"/>
        <v>45558.986650133236</v>
      </c>
      <c r="EC103" s="2"/>
      <c r="ED103" s="2"/>
      <c r="EE103" s="1">
        <f t="shared" si="37"/>
        <v>99322.576524813878</v>
      </c>
      <c r="EF103" s="2"/>
      <c r="EG103" s="1">
        <f t="shared" si="37"/>
        <v>356073.24270648544</v>
      </c>
      <c r="EH103" s="2"/>
      <c r="HW103" s="4"/>
      <c r="HX103" s="2">
        <f t="shared" si="20"/>
        <v>1435096.4976559333</v>
      </c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1">
        <f t="shared" si="38"/>
        <v>2168249.252740832</v>
      </c>
      <c r="LU103" s="1">
        <f t="shared" si="39"/>
        <v>1595773.2702056747</v>
      </c>
    </row>
    <row r="104" spans="1:333">
      <c r="A104" s="1">
        <v>1467</v>
      </c>
      <c r="B104" s="1">
        <f t="shared" si="21"/>
        <v>9717136.921252748</v>
      </c>
      <c r="C104" s="1">
        <f t="shared" si="23"/>
        <v>2726524.1354385233</v>
      </c>
      <c r="K104" s="1">
        <f t="shared" si="24"/>
        <v>1139048.0044072326</v>
      </c>
      <c r="U104" s="1">
        <f t="shared" si="25"/>
        <v>1188667.6806840769</v>
      </c>
      <c r="AH104" s="1">
        <f t="shared" si="26"/>
        <v>2983129.1482348829</v>
      </c>
      <c r="AT104" s="1">
        <f t="shared" si="27"/>
        <v>1003954.2958663302</v>
      </c>
      <c r="BC104" s="1">
        <f t="shared" si="28"/>
        <v>675813.65662170376</v>
      </c>
      <c r="BI104" s="4">
        <f t="shared" si="22"/>
        <v>6115101.9660474835</v>
      </c>
      <c r="BJ104" s="2">
        <f t="shared" si="40"/>
        <v>610185.32690662856</v>
      </c>
      <c r="BK104" s="2"/>
      <c r="BL104" s="2"/>
      <c r="BM104" s="2"/>
      <c r="BN104" s="2"/>
      <c r="BO104" s="2"/>
      <c r="BP104" s="2"/>
      <c r="BQ104" s="1">
        <f t="shared" si="29"/>
        <v>530257.61509168672</v>
      </c>
      <c r="BR104" s="2"/>
      <c r="BS104" s="2"/>
      <c r="BT104" s="2"/>
      <c r="BU104" s="2"/>
      <c r="BV104" s="2"/>
      <c r="BW104" s="2"/>
      <c r="BX104" s="2"/>
      <c r="BY104" s="2"/>
      <c r="BZ104" s="1">
        <f t="shared" si="30"/>
        <v>1048768.7838657997</v>
      </c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1">
        <f t="shared" si="31"/>
        <v>375542.4303710573</v>
      </c>
      <c r="CU104" s="2"/>
      <c r="CV104" s="2"/>
      <c r="CW104" s="2"/>
      <c r="CX104" s="1">
        <f t="shared" si="32"/>
        <v>1196914.7049957749</v>
      </c>
      <c r="CY104" s="2"/>
      <c r="CZ104" s="2"/>
      <c r="DA104" s="2"/>
      <c r="DB104" s="2"/>
      <c r="DC104" s="2"/>
      <c r="DD104" s="2"/>
      <c r="DE104" s="1">
        <f t="shared" si="33"/>
        <v>670087.20320453227</v>
      </c>
      <c r="DF104" s="2"/>
      <c r="DG104" s="2"/>
      <c r="DH104" s="2"/>
      <c r="DI104" s="2"/>
      <c r="DJ104" s="2"/>
      <c r="DK104" s="2"/>
      <c r="DL104" s="1">
        <f t="shared" si="34"/>
        <v>788869.30606761586</v>
      </c>
      <c r="DM104" s="2"/>
      <c r="DN104" s="2"/>
      <c r="DO104" s="2"/>
      <c r="DP104" s="2"/>
      <c r="DQ104" s="2"/>
      <c r="DR104" s="2"/>
      <c r="DS104" s="1">
        <f t="shared" si="35"/>
        <v>391654.53097101738</v>
      </c>
      <c r="DT104" s="2"/>
      <c r="DU104" s="2"/>
      <c r="DV104" s="2"/>
      <c r="DW104" s="2"/>
      <c r="DX104" s="2"/>
      <c r="DY104" s="2"/>
      <c r="DZ104" s="2"/>
      <c r="EA104" s="2"/>
      <c r="EB104" s="1">
        <f t="shared" si="36"/>
        <v>45877.899556684162</v>
      </c>
      <c r="EC104" s="2"/>
      <c r="ED104" s="2"/>
      <c r="EE104" s="1">
        <f t="shared" si="37"/>
        <v>99660.273284998257</v>
      </c>
      <c r="EF104" s="2"/>
      <c r="EG104" s="1">
        <f t="shared" si="37"/>
        <v>357283.89173168753</v>
      </c>
      <c r="EH104" s="2"/>
      <c r="HW104" s="4"/>
      <c r="HX104" s="2">
        <f t="shared" si="20"/>
        <v>1441554.4318953848</v>
      </c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1">
        <f t="shared" si="38"/>
        <v>2175621.3002001508</v>
      </c>
      <c r="LU104" s="1">
        <f t="shared" si="39"/>
        <v>1601198.899324374</v>
      </c>
    </row>
    <row r="105" spans="1:333">
      <c r="A105" s="1">
        <v>1468</v>
      </c>
      <c r="B105" s="1">
        <f t="shared" si="21"/>
        <v>9752735.6740386114</v>
      </c>
      <c r="C105" s="1">
        <f t="shared" si="23"/>
        <v>2735794.3174990145</v>
      </c>
      <c r="K105" s="1">
        <f t="shared" si="24"/>
        <v>1144173.7204270652</v>
      </c>
      <c r="U105" s="1">
        <f t="shared" si="25"/>
        <v>1194016.6852471551</v>
      </c>
      <c r="AH105" s="1">
        <f t="shared" si="26"/>
        <v>2993271.7873388818</v>
      </c>
      <c r="AT105" s="1">
        <f t="shared" si="27"/>
        <v>1007367.7404722758</v>
      </c>
      <c r="BC105" s="1">
        <f t="shared" si="28"/>
        <v>678111.42305421759</v>
      </c>
      <c r="BI105" s="4">
        <f t="shared" si="22"/>
        <v>6141299.9465021314</v>
      </c>
      <c r="BJ105" s="2">
        <f t="shared" si="40"/>
        <v>612687.08674694574</v>
      </c>
      <c r="BK105" s="2"/>
      <c r="BL105" s="2"/>
      <c r="BM105" s="2"/>
      <c r="BN105" s="2"/>
      <c r="BO105" s="2"/>
      <c r="BP105" s="2"/>
      <c r="BQ105" s="1">
        <f t="shared" si="29"/>
        <v>531689.31065243424</v>
      </c>
      <c r="BR105" s="2"/>
      <c r="BS105" s="2"/>
      <c r="BT105" s="2"/>
      <c r="BU105" s="2"/>
      <c r="BV105" s="2"/>
      <c r="BW105" s="2"/>
      <c r="BX105" s="2"/>
      <c r="BY105" s="2"/>
      <c r="BZ105" s="1">
        <f t="shared" si="30"/>
        <v>1056110.1653528602</v>
      </c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1">
        <f t="shared" si="31"/>
        <v>376819.27463431895</v>
      </c>
      <c r="CU105" s="2"/>
      <c r="CV105" s="2"/>
      <c r="CW105" s="2"/>
      <c r="CX105" s="1">
        <f t="shared" si="32"/>
        <v>1200984.2149927607</v>
      </c>
      <c r="CY105" s="2"/>
      <c r="CZ105" s="2"/>
      <c r="DA105" s="2"/>
      <c r="DB105" s="2"/>
      <c r="DC105" s="2"/>
      <c r="DD105" s="2"/>
      <c r="DE105" s="1">
        <f t="shared" si="33"/>
        <v>672365.49969542772</v>
      </c>
      <c r="DF105" s="2"/>
      <c r="DG105" s="2"/>
      <c r="DH105" s="2"/>
      <c r="DI105" s="2"/>
      <c r="DJ105" s="2"/>
      <c r="DK105" s="2"/>
      <c r="DL105" s="1">
        <f t="shared" si="34"/>
        <v>791551.4617082458</v>
      </c>
      <c r="DM105" s="2"/>
      <c r="DN105" s="2"/>
      <c r="DO105" s="2"/>
      <c r="DP105" s="2"/>
      <c r="DQ105" s="2"/>
      <c r="DR105" s="2"/>
      <c r="DS105" s="1">
        <f t="shared" si="35"/>
        <v>394396.11268781446</v>
      </c>
      <c r="DT105" s="2"/>
      <c r="DU105" s="2"/>
      <c r="DV105" s="2"/>
      <c r="DW105" s="2"/>
      <c r="DX105" s="2"/>
      <c r="DY105" s="2"/>
      <c r="DZ105" s="2"/>
      <c r="EA105" s="2"/>
      <c r="EB105" s="1">
        <f t="shared" si="36"/>
        <v>46199.044853580948</v>
      </c>
      <c r="EC105" s="2"/>
      <c r="ED105" s="2"/>
      <c r="EE105" s="1">
        <f t="shared" si="37"/>
        <v>99999.118214167262</v>
      </c>
      <c r="EF105" s="2"/>
      <c r="EG105" s="1">
        <f t="shared" si="37"/>
        <v>358498.65696357528</v>
      </c>
      <c r="EH105" s="2"/>
      <c r="HW105" s="4"/>
      <c r="HX105" s="2">
        <f t="shared" si="20"/>
        <v>1448041.4268389139</v>
      </c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1">
        <f t="shared" si="38"/>
        <v>2183018.4126208313</v>
      </c>
      <c r="LU105" s="1">
        <f t="shared" si="39"/>
        <v>1606642.9755820769</v>
      </c>
    </row>
    <row r="106" spans="1:333">
      <c r="A106" s="1">
        <v>1469</v>
      </c>
      <c r="B106" s="1">
        <f t="shared" si="21"/>
        <v>9788466.9847765826</v>
      </c>
      <c r="C106" s="1">
        <f t="shared" si="23"/>
        <v>2745096.0181785114</v>
      </c>
      <c r="K106" s="1">
        <f t="shared" si="24"/>
        <v>1149322.5021689869</v>
      </c>
      <c r="U106" s="1">
        <f t="shared" si="25"/>
        <v>1199389.7603307674</v>
      </c>
      <c r="AH106" s="1">
        <f t="shared" si="26"/>
        <v>3003448.911415834</v>
      </c>
      <c r="AT106" s="1">
        <f t="shared" si="27"/>
        <v>1010792.7907898816</v>
      </c>
      <c r="BC106" s="1">
        <f t="shared" si="28"/>
        <v>680417.00189260195</v>
      </c>
      <c r="BI106" s="4">
        <f t="shared" si="22"/>
        <v>6167625.2039259234</v>
      </c>
      <c r="BJ106" s="2">
        <f t="shared" si="40"/>
        <v>615199.10380260821</v>
      </c>
      <c r="BK106" s="2"/>
      <c r="BL106" s="2"/>
      <c r="BM106" s="2"/>
      <c r="BN106" s="2"/>
      <c r="BO106" s="2"/>
      <c r="BP106" s="2"/>
      <c r="BQ106" s="1">
        <f t="shared" si="29"/>
        <v>533124.87179119582</v>
      </c>
      <c r="BR106" s="2"/>
      <c r="BS106" s="2"/>
      <c r="BT106" s="2"/>
      <c r="BU106" s="2"/>
      <c r="BV106" s="2"/>
      <c r="BW106" s="2"/>
      <c r="BX106" s="2"/>
      <c r="BY106" s="2"/>
      <c r="BZ106" s="1">
        <f t="shared" si="30"/>
        <v>1063502.9365103301</v>
      </c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1">
        <f t="shared" si="31"/>
        <v>378100.46016807569</v>
      </c>
      <c r="CU106" s="2"/>
      <c r="CV106" s="2"/>
      <c r="CW106" s="2"/>
      <c r="CX106" s="1">
        <f t="shared" si="32"/>
        <v>1205067.5613237361</v>
      </c>
      <c r="CY106" s="2"/>
      <c r="CZ106" s="2"/>
      <c r="DA106" s="2"/>
      <c r="DB106" s="2"/>
      <c r="DC106" s="2"/>
      <c r="DD106" s="2"/>
      <c r="DE106" s="1">
        <f t="shared" si="33"/>
        <v>674651.54239439219</v>
      </c>
      <c r="DF106" s="2"/>
      <c r="DG106" s="2"/>
      <c r="DH106" s="2"/>
      <c r="DI106" s="2"/>
      <c r="DJ106" s="2"/>
      <c r="DK106" s="2"/>
      <c r="DL106" s="1">
        <f t="shared" si="34"/>
        <v>794242.73667805386</v>
      </c>
      <c r="DM106" s="2"/>
      <c r="DN106" s="2"/>
      <c r="DO106" s="2"/>
      <c r="DP106" s="2"/>
      <c r="DQ106" s="2"/>
      <c r="DR106" s="2"/>
      <c r="DS106" s="1">
        <f t="shared" si="35"/>
        <v>397156.88547662913</v>
      </c>
      <c r="DT106" s="2"/>
      <c r="DU106" s="2"/>
      <c r="DV106" s="2"/>
      <c r="DW106" s="2"/>
      <c r="DX106" s="2"/>
      <c r="DY106" s="2"/>
      <c r="DZ106" s="2"/>
      <c r="EA106" s="2"/>
      <c r="EB106" s="1">
        <f t="shared" si="36"/>
        <v>46522.438167556007</v>
      </c>
      <c r="EC106" s="2"/>
      <c r="ED106" s="2"/>
      <c r="EE106" s="1">
        <f t="shared" si="37"/>
        <v>100339.11521609544</v>
      </c>
      <c r="EF106" s="2"/>
      <c r="EG106" s="1">
        <f t="shared" si="37"/>
        <v>359717.55239725148</v>
      </c>
      <c r="EH106" s="2"/>
      <c r="HW106" s="4"/>
      <c r="HX106" s="2">
        <f t="shared" si="20"/>
        <v>1454557.613259689</v>
      </c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1">
        <f t="shared" si="38"/>
        <v>2190440.6752237421</v>
      </c>
      <c r="LU106" s="1">
        <f t="shared" si="39"/>
        <v>1612105.5616990561</v>
      </c>
    </row>
    <row r="107" spans="1:333">
      <c r="A107" s="1">
        <v>1470</v>
      </c>
      <c r="B107" s="1">
        <f t="shared" si="21"/>
        <v>9824331.3560135756</v>
      </c>
      <c r="C107" s="1">
        <f t="shared" si="23"/>
        <v>2754429.3446403188</v>
      </c>
      <c r="K107" s="1">
        <f t="shared" si="24"/>
        <v>1154494.4534287474</v>
      </c>
      <c r="U107" s="1">
        <f t="shared" si="25"/>
        <v>1204787.0142522557</v>
      </c>
      <c r="AH107" s="1">
        <f t="shared" si="26"/>
        <v>3013660.6377146482</v>
      </c>
      <c r="AT107" s="1">
        <f t="shared" si="27"/>
        <v>1014229.4862785672</v>
      </c>
      <c r="BC107" s="1">
        <f t="shared" si="28"/>
        <v>682730.41969903687</v>
      </c>
      <c r="BI107" s="4">
        <f t="shared" si="22"/>
        <v>6194078.4377182368</v>
      </c>
      <c r="BJ107" s="2">
        <f t="shared" si="40"/>
        <v>617721.42012819892</v>
      </c>
      <c r="BK107" s="2"/>
      <c r="BL107" s="2"/>
      <c r="BM107" s="2"/>
      <c r="BN107" s="2"/>
      <c r="BO107" s="2"/>
      <c r="BP107" s="2"/>
      <c r="BQ107" s="1">
        <f t="shared" si="29"/>
        <v>534564.30894503207</v>
      </c>
      <c r="BR107" s="2"/>
      <c r="BS107" s="2"/>
      <c r="BT107" s="2"/>
      <c r="BU107" s="2"/>
      <c r="BV107" s="2"/>
      <c r="BW107" s="2"/>
      <c r="BX107" s="2"/>
      <c r="BY107" s="2"/>
      <c r="BZ107" s="1">
        <f t="shared" si="30"/>
        <v>1070947.4570659022</v>
      </c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1">
        <f t="shared" si="31"/>
        <v>379386.00173264719</v>
      </c>
      <c r="CU107" s="2"/>
      <c r="CV107" s="2"/>
      <c r="CW107" s="2"/>
      <c r="CX107" s="1">
        <f t="shared" si="32"/>
        <v>1209164.7910322368</v>
      </c>
      <c r="CY107" s="2"/>
      <c r="CZ107" s="2"/>
      <c r="DA107" s="2"/>
      <c r="DB107" s="2"/>
      <c r="DC107" s="2"/>
      <c r="DD107" s="2"/>
      <c r="DE107" s="1">
        <f t="shared" si="33"/>
        <v>676945.35763853323</v>
      </c>
      <c r="DF107" s="2"/>
      <c r="DG107" s="2"/>
      <c r="DH107" s="2"/>
      <c r="DI107" s="2"/>
      <c r="DJ107" s="2"/>
      <c r="DK107" s="2"/>
      <c r="DL107" s="1">
        <f t="shared" si="34"/>
        <v>796943.16198275925</v>
      </c>
      <c r="DM107" s="2"/>
      <c r="DN107" s="2"/>
      <c r="DO107" s="2"/>
      <c r="DP107" s="2"/>
      <c r="DQ107" s="2"/>
      <c r="DR107" s="2"/>
      <c r="DS107" s="1">
        <f t="shared" si="35"/>
        <v>399936.98367496551</v>
      </c>
      <c r="DT107" s="2"/>
      <c r="DU107" s="2"/>
      <c r="DV107" s="2"/>
      <c r="DW107" s="2"/>
      <c r="DX107" s="2"/>
      <c r="DY107" s="2"/>
      <c r="DZ107" s="2"/>
      <c r="EA107" s="2"/>
      <c r="EB107" s="1">
        <f t="shared" si="36"/>
        <v>46848.095234728891</v>
      </c>
      <c r="EC107" s="2"/>
      <c r="ED107" s="2"/>
      <c r="EE107" s="1">
        <f t="shared" si="37"/>
        <v>100680.26820783017</v>
      </c>
      <c r="EF107" s="2"/>
      <c r="EG107" s="1">
        <f t="shared" si="37"/>
        <v>360940.59207540215</v>
      </c>
      <c r="EH107" s="2"/>
      <c r="HW107" s="4"/>
      <c r="HX107" s="2">
        <f t="shared" si="20"/>
        <v>1461103.1225193574</v>
      </c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1">
        <f t="shared" si="38"/>
        <v>2197888.1735195029</v>
      </c>
      <c r="LU107" s="1">
        <f t="shared" si="39"/>
        <v>1617586.720608833</v>
      </c>
    </row>
    <row r="108" spans="1:333">
      <c r="A108" s="1">
        <v>1471</v>
      </c>
      <c r="B108" s="1">
        <f t="shared" si="21"/>
        <v>9860329.2922384683</v>
      </c>
      <c r="C108" s="1">
        <f t="shared" si="23"/>
        <v>2763794.4044120959</v>
      </c>
      <c r="K108" s="1">
        <f t="shared" si="24"/>
        <v>1159689.6784691766</v>
      </c>
      <c r="U108" s="1">
        <f t="shared" si="25"/>
        <v>1210208.5558163908</v>
      </c>
      <c r="AH108" s="1">
        <f t="shared" si="26"/>
        <v>3023907.0838828781</v>
      </c>
      <c r="AT108" s="1">
        <f t="shared" si="27"/>
        <v>1017677.8665319144</v>
      </c>
      <c r="BC108" s="1">
        <f t="shared" si="28"/>
        <v>685051.70312601363</v>
      </c>
      <c r="BI108" s="4">
        <f t="shared" si="22"/>
        <v>6220660.3515138179</v>
      </c>
      <c r="BJ108" s="2">
        <f t="shared" si="40"/>
        <v>620254.07795072452</v>
      </c>
      <c r="BK108" s="2"/>
      <c r="BL108" s="2"/>
      <c r="BM108" s="2"/>
      <c r="BN108" s="2"/>
      <c r="BO108" s="2"/>
      <c r="BP108" s="2"/>
      <c r="BQ108" s="1">
        <f t="shared" si="29"/>
        <v>536007.63257918367</v>
      </c>
      <c r="BR108" s="2"/>
      <c r="BS108" s="2"/>
      <c r="BT108" s="2"/>
      <c r="BU108" s="2"/>
      <c r="BV108" s="2"/>
      <c r="BW108" s="2"/>
      <c r="BX108" s="2"/>
      <c r="BY108" s="2"/>
      <c r="BZ108" s="1">
        <f t="shared" si="30"/>
        <v>1078444.0892653633</v>
      </c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1">
        <f t="shared" si="31"/>
        <v>380675.91413853824</v>
      </c>
      <c r="CU108" s="2"/>
      <c r="CV108" s="2"/>
      <c r="CW108" s="2"/>
      <c r="CX108" s="1">
        <f t="shared" si="32"/>
        <v>1213275.9513217465</v>
      </c>
      <c r="CY108" s="2"/>
      <c r="CZ108" s="2"/>
      <c r="DA108" s="2"/>
      <c r="DB108" s="2"/>
      <c r="DC108" s="2"/>
      <c r="DD108" s="2"/>
      <c r="DE108" s="1">
        <f t="shared" si="33"/>
        <v>679246.97185450431</v>
      </c>
      <c r="DF108" s="2"/>
      <c r="DG108" s="2"/>
      <c r="DH108" s="2"/>
      <c r="DI108" s="2"/>
      <c r="DJ108" s="2"/>
      <c r="DK108" s="2"/>
      <c r="DL108" s="1">
        <f t="shared" si="34"/>
        <v>799652.76873350074</v>
      </c>
      <c r="DM108" s="2"/>
      <c r="DN108" s="2"/>
      <c r="DO108" s="2"/>
      <c r="DP108" s="2"/>
      <c r="DQ108" s="2"/>
      <c r="DR108" s="2"/>
      <c r="DS108" s="1">
        <f t="shared" si="35"/>
        <v>402736.5425606902</v>
      </c>
      <c r="DT108" s="2"/>
      <c r="DU108" s="2"/>
      <c r="DV108" s="2"/>
      <c r="DW108" s="2"/>
      <c r="DX108" s="2"/>
      <c r="DY108" s="2"/>
      <c r="DZ108" s="2"/>
      <c r="EA108" s="2"/>
      <c r="EB108" s="1">
        <f t="shared" si="36"/>
        <v>47176.031901371985</v>
      </c>
      <c r="EC108" s="2"/>
      <c r="ED108" s="2"/>
      <c r="EE108" s="1">
        <f t="shared" si="37"/>
        <v>101022.5811197368</v>
      </c>
      <c r="EF108" s="2"/>
      <c r="EG108" s="1">
        <f t="shared" si="37"/>
        <v>362167.79008845857</v>
      </c>
      <c r="EH108" s="2"/>
      <c r="HW108" s="4"/>
      <c r="HX108" s="2">
        <f t="shared" si="20"/>
        <v>1467678.0865706943</v>
      </c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1">
        <f t="shared" si="38"/>
        <v>2205360.9933094694</v>
      </c>
      <c r="LU108" s="1">
        <f t="shared" si="39"/>
        <v>1623086.515458903</v>
      </c>
    </row>
    <row r="109" spans="1:333">
      <c r="A109" s="1">
        <v>1472</v>
      </c>
      <c r="B109" s="1">
        <f t="shared" si="21"/>
        <v>9896461.2998897955</v>
      </c>
      <c r="C109" s="1">
        <f t="shared" si="23"/>
        <v>2773191.3053870974</v>
      </c>
      <c r="K109" s="1">
        <f t="shared" si="24"/>
        <v>1164908.2820222878</v>
      </c>
      <c r="U109" s="1">
        <f t="shared" si="25"/>
        <v>1215654.4943175644</v>
      </c>
      <c r="AH109" s="1">
        <f t="shared" si="26"/>
        <v>3034188.3679680801</v>
      </c>
      <c r="AT109" s="1">
        <f t="shared" si="27"/>
        <v>1021137.971278123</v>
      </c>
      <c r="BC109" s="1">
        <f t="shared" si="28"/>
        <v>687380.87891664216</v>
      </c>
      <c r="BI109" s="4">
        <f t="shared" si="22"/>
        <v>6247371.6532101445</v>
      </c>
      <c r="BJ109" s="2">
        <f t="shared" si="40"/>
        <v>622797.11967032251</v>
      </c>
      <c r="BK109" s="2"/>
      <c r="BL109" s="2"/>
      <c r="BM109" s="2"/>
      <c r="BN109" s="2"/>
      <c r="BO109" s="2"/>
      <c r="BP109" s="2"/>
      <c r="BQ109" s="1">
        <f t="shared" si="29"/>
        <v>537454.85318714741</v>
      </c>
      <c r="BR109" s="2"/>
      <c r="BS109" s="2"/>
      <c r="BT109" s="2"/>
      <c r="BU109" s="2"/>
      <c r="BV109" s="2"/>
      <c r="BW109" s="2"/>
      <c r="BX109" s="2"/>
      <c r="BY109" s="2"/>
      <c r="BZ109" s="1">
        <f t="shared" si="30"/>
        <v>1085993.1978902207</v>
      </c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1">
        <f t="shared" si="31"/>
        <v>381970.21224660927</v>
      </c>
      <c r="CU109" s="2"/>
      <c r="CV109" s="2"/>
      <c r="CW109" s="2"/>
      <c r="CX109" s="1">
        <f t="shared" si="32"/>
        <v>1217401.0895562405</v>
      </c>
      <c r="CY109" s="2"/>
      <c r="CZ109" s="2"/>
      <c r="DA109" s="2"/>
      <c r="DB109" s="2"/>
      <c r="DC109" s="2"/>
      <c r="DD109" s="2"/>
      <c r="DE109" s="1">
        <f t="shared" si="33"/>
        <v>681556.41155880969</v>
      </c>
      <c r="DF109" s="2"/>
      <c r="DG109" s="2"/>
      <c r="DH109" s="2"/>
      <c r="DI109" s="2"/>
      <c r="DJ109" s="2"/>
      <c r="DK109" s="2"/>
      <c r="DL109" s="1">
        <f t="shared" si="34"/>
        <v>802371.58814719471</v>
      </c>
      <c r="DM109" s="2"/>
      <c r="DN109" s="2"/>
      <c r="DO109" s="2"/>
      <c r="DP109" s="2"/>
      <c r="DQ109" s="2"/>
      <c r="DR109" s="2"/>
      <c r="DS109" s="1">
        <f t="shared" si="35"/>
        <v>405555.69835861499</v>
      </c>
      <c r="DT109" s="2"/>
      <c r="DU109" s="2"/>
      <c r="DV109" s="2"/>
      <c r="DW109" s="2"/>
      <c r="DX109" s="2"/>
      <c r="DY109" s="2"/>
      <c r="DZ109" s="2"/>
      <c r="EA109" s="2"/>
      <c r="EB109" s="1">
        <f t="shared" si="36"/>
        <v>47506.264124681584</v>
      </c>
      <c r="EC109" s="2"/>
      <c r="ED109" s="2"/>
      <c r="EE109" s="1">
        <f t="shared" si="37"/>
        <v>101366.05789554391</v>
      </c>
      <c r="EF109" s="2"/>
      <c r="EG109" s="1">
        <f t="shared" si="37"/>
        <v>363399.16057475936</v>
      </c>
      <c r="EH109" s="2"/>
      <c r="HW109" s="4"/>
      <c r="HX109" s="2">
        <f t="shared" si="20"/>
        <v>1474282.6379602624</v>
      </c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1">
        <f t="shared" si="38"/>
        <v>2212859.2206867216</v>
      </c>
      <c r="LU109" s="1">
        <f t="shared" si="39"/>
        <v>1628605.0096114634</v>
      </c>
    </row>
    <row r="110" spans="1:333">
      <c r="A110" s="1">
        <v>1473</v>
      </c>
      <c r="B110" s="1">
        <f t="shared" si="21"/>
        <v>9932727.8873633947</v>
      </c>
      <c r="C110" s="1">
        <f t="shared" si="23"/>
        <v>2782620.1558254138</v>
      </c>
      <c r="K110" s="1">
        <f t="shared" si="24"/>
        <v>1170150.369291388</v>
      </c>
      <c r="U110" s="1">
        <f t="shared" si="25"/>
        <v>1221124.9395419934</v>
      </c>
      <c r="AH110" s="1">
        <f t="shared" si="26"/>
        <v>3044504.608419172</v>
      </c>
      <c r="AT110" s="1">
        <f t="shared" si="27"/>
        <v>1024609.8403804686</v>
      </c>
      <c r="BC110" s="1">
        <f t="shared" si="28"/>
        <v>689717.97390495881</v>
      </c>
      <c r="BI110" s="4">
        <f t="shared" si="22"/>
        <v>6274213.0549949426</v>
      </c>
      <c r="BJ110" s="2">
        <f t="shared" si="40"/>
        <v>625350.58786097087</v>
      </c>
      <c r="BK110" s="2"/>
      <c r="BL110" s="2"/>
      <c r="BM110" s="2"/>
      <c r="BN110" s="2"/>
      <c r="BO110" s="2"/>
      <c r="BP110" s="2"/>
      <c r="BQ110" s="1">
        <f t="shared" si="29"/>
        <v>538905.98129075265</v>
      </c>
      <c r="BR110" s="2"/>
      <c r="BS110" s="2"/>
      <c r="BT110" s="2"/>
      <c r="BU110" s="2"/>
      <c r="BV110" s="2"/>
      <c r="BW110" s="2"/>
      <c r="BX110" s="2"/>
      <c r="BY110" s="2"/>
      <c r="BZ110" s="1">
        <f t="shared" si="30"/>
        <v>1093595.1502754521</v>
      </c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1">
        <f t="shared" si="31"/>
        <v>383268.91096824774</v>
      </c>
      <c r="CU110" s="2"/>
      <c r="CV110" s="2"/>
      <c r="CW110" s="2"/>
      <c r="CX110" s="1">
        <f t="shared" si="32"/>
        <v>1221540.2532607317</v>
      </c>
      <c r="CY110" s="2"/>
      <c r="CZ110" s="2"/>
      <c r="DA110" s="2"/>
      <c r="DB110" s="2"/>
      <c r="DC110" s="2"/>
      <c r="DD110" s="2"/>
      <c r="DE110" s="1">
        <f t="shared" si="33"/>
        <v>683873.70335810969</v>
      </c>
      <c r="DF110" s="2"/>
      <c r="DG110" s="2"/>
      <c r="DH110" s="2"/>
      <c r="DI110" s="2"/>
      <c r="DJ110" s="2"/>
      <c r="DK110" s="2"/>
      <c r="DL110" s="1">
        <f t="shared" si="34"/>
        <v>805099.65154689527</v>
      </c>
      <c r="DM110" s="2"/>
      <c r="DN110" s="2"/>
      <c r="DO110" s="2"/>
      <c r="DP110" s="2"/>
      <c r="DQ110" s="2"/>
      <c r="DR110" s="2"/>
      <c r="DS110" s="1">
        <f t="shared" si="35"/>
        <v>408394.58824712527</v>
      </c>
      <c r="DT110" s="2"/>
      <c r="DU110" s="2"/>
      <c r="DV110" s="2"/>
      <c r="DW110" s="2"/>
      <c r="DX110" s="2"/>
      <c r="DY110" s="2"/>
      <c r="DZ110" s="2"/>
      <c r="EA110" s="2"/>
      <c r="EB110" s="1">
        <f t="shared" si="36"/>
        <v>47838.807973554351</v>
      </c>
      <c r="EC110" s="2"/>
      <c r="ED110" s="2"/>
      <c r="EE110" s="1">
        <f t="shared" si="37"/>
        <v>101710.70249238877</v>
      </c>
      <c r="EF110" s="2"/>
      <c r="EG110" s="1">
        <f t="shared" si="37"/>
        <v>364634.71772071358</v>
      </c>
      <c r="EH110" s="2"/>
      <c r="HW110" s="4"/>
      <c r="HX110" s="2">
        <f t="shared" si="20"/>
        <v>1480916.9098310834</v>
      </c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1">
        <f t="shared" si="38"/>
        <v>2220382.9420370567</v>
      </c>
      <c r="LU110" s="1">
        <f t="shared" si="39"/>
        <v>1634142.2666441426</v>
      </c>
    </row>
    <row r="111" spans="1:333">
      <c r="A111" s="1">
        <v>1474</v>
      </c>
      <c r="B111" s="1">
        <f t="shared" si="21"/>
        <v>9969129.5650201477</v>
      </c>
      <c r="C111" s="1">
        <f t="shared" si="23"/>
        <v>2792081.0643552202</v>
      </c>
      <c r="K111" s="1">
        <f t="shared" si="24"/>
        <v>1175416.045953199</v>
      </c>
      <c r="U111" s="1">
        <f t="shared" si="25"/>
        <v>1226620.0017699325</v>
      </c>
      <c r="AH111" s="1">
        <f t="shared" si="26"/>
        <v>3054855.9240877973</v>
      </c>
      <c r="AT111" s="1">
        <f t="shared" si="27"/>
        <v>1028093.5138377623</v>
      </c>
      <c r="BC111" s="1">
        <f t="shared" si="28"/>
        <v>692063.01501623576</v>
      </c>
      <c r="BI111" s="4">
        <f t="shared" si="22"/>
        <v>6301185.2733739102</v>
      </c>
      <c r="BJ111" s="2">
        <f t="shared" si="40"/>
        <v>627914.52527120081</v>
      </c>
      <c r="BK111" s="2"/>
      <c r="BL111" s="2"/>
      <c r="BM111" s="2"/>
      <c r="BN111" s="2"/>
      <c r="BO111" s="2"/>
      <c r="BP111" s="2"/>
      <c r="BQ111" s="1">
        <f t="shared" si="29"/>
        <v>540361.0274402377</v>
      </c>
      <c r="BR111" s="2"/>
      <c r="BS111" s="2"/>
      <c r="BT111" s="2"/>
      <c r="BU111" s="2"/>
      <c r="BV111" s="2"/>
      <c r="BW111" s="2"/>
      <c r="BX111" s="2"/>
      <c r="BY111" s="2"/>
      <c r="BZ111" s="1">
        <f t="shared" si="30"/>
        <v>1101250.31632738</v>
      </c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1">
        <f t="shared" si="31"/>
        <v>384572.02526553982</v>
      </c>
      <c r="CU111" s="2"/>
      <c r="CV111" s="2"/>
      <c r="CW111" s="2"/>
      <c r="CX111" s="1">
        <f t="shared" si="32"/>
        <v>1225693.4901218184</v>
      </c>
      <c r="CY111" s="2"/>
      <c r="CZ111" s="2"/>
      <c r="DA111" s="2"/>
      <c r="DB111" s="2"/>
      <c r="DC111" s="2"/>
      <c r="DD111" s="2"/>
      <c r="DE111" s="1">
        <f t="shared" si="33"/>
        <v>686198.87394952727</v>
      </c>
      <c r="DF111" s="2"/>
      <c r="DG111" s="2"/>
      <c r="DH111" s="2"/>
      <c r="DI111" s="2"/>
      <c r="DJ111" s="2"/>
      <c r="DK111" s="2"/>
      <c r="DL111" s="1">
        <f t="shared" si="34"/>
        <v>807836.99036215479</v>
      </c>
      <c r="DM111" s="2"/>
      <c r="DN111" s="2"/>
      <c r="DO111" s="2"/>
      <c r="DP111" s="2"/>
      <c r="DQ111" s="2"/>
      <c r="DR111" s="2"/>
      <c r="DS111" s="1">
        <f t="shared" si="35"/>
        <v>411253.35036485508</v>
      </c>
      <c r="DT111" s="2"/>
      <c r="DU111" s="2"/>
      <c r="DV111" s="2"/>
      <c r="DW111" s="2"/>
      <c r="DX111" s="2"/>
      <c r="DY111" s="2"/>
      <c r="DZ111" s="2"/>
      <c r="EA111" s="2"/>
      <c r="EB111" s="1">
        <f t="shared" si="36"/>
        <v>48173.679629369224</v>
      </c>
      <c r="EC111" s="2"/>
      <c r="ED111" s="2"/>
      <c r="EE111" s="1">
        <f t="shared" si="37"/>
        <v>102056.51888086289</v>
      </c>
      <c r="EF111" s="2"/>
      <c r="EG111" s="1">
        <f t="shared" si="37"/>
        <v>365874.47576096404</v>
      </c>
      <c r="EH111" s="2"/>
      <c r="HW111" s="4"/>
      <c r="HX111" s="2">
        <f t="shared" si="20"/>
        <v>1487581.0359253231</v>
      </c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1">
        <f t="shared" si="38"/>
        <v>2227932.244039983</v>
      </c>
      <c r="LU111" s="1">
        <f t="shared" si="39"/>
        <v>1639698.3503507327</v>
      </c>
    </row>
    <row r="112" spans="1:333">
      <c r="A112" s="1">
        <v>1475</v>
      </c>
      <c r="B112" s="1">
        <f t="shared" si="21"/>
        <v>10005666.84519371</v>
      </c>
      <c r="C112" s="1">
        <f t="shared" si="23"/>
        <v>2801574.1399740283</v>
      </c>
      <c r="K112" s="1">
        <f t="shared" si="24"/>
        <v>1180705.4181599885</v>
      </c>
      <c r="U112" s="1">
        <f t="shared" si="25"/>
        <v>1232139.7917778972</v>
      </c>
      <c r="AH112" s="1">
        <f t="shared" si="26"/>
        <v>3065242.4342296962</v>
      </c>
      <c r="AT112" s="1">
        <f t="shared" si="27"/>
        <v>1031589.0317848107</v>
      </c>
      <c r="BC112" s="1">
        <f t="shared" si="28"/>
        <v>694416.02926729096</v>
      </c>
      <c r="BI112" s="4">
        <f t="shared" si="22"/>
        <v>6328289.0291986223</v>
      </c>
      <c r="BJ112" s="2">
        <f t="shared" si="40"/>
        <v>630488.97482481273</v>
      </c>
      <c r="BK112" s="2"/>
      <c r="BL112" s="2"/>
      <c r="BM112" s="2"/>
      <c r="BN112" s="2"/>
      <c r="BO112" s="2"/>
      <c r="BP112" s="2"/>
      <c r="BQ112" s="1">
        <f t="shared" si="29"/>
        <v>541820.00221432629</v>
      </c>
      <c r="BR112" s="2"/>
      <c r="BS112" s="2"/>
      <c r="BT112" s="2"/>
      <c r="BU112" s="2"/>
      <c r="BV112" s="2"/>
      <c r="BW112" s="2"/>
      <c r="BX112" s="2"/>
      <c r="BY112" s="2"/>
      <c r="BZ112" s="1">
        <f t="shared" si="30"/>
        <v>1108959.0685416716</v>
      </c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1">
        <f t="shared" si="31"/>
        <v>385879.57015144266</v>
      </c>
      <c r="CU112" s="2"/>
      <c r="CV112" s="2"/>
      <c r="CW112" s="2"/>
      <c r="CX112" s="1">
        <f t="shared" si="32"/>
        <v>1229860.8479882327</v>
      </c>
      <c r="CY112" s="2"/>
      <c r="CZ112" s="2"/>
      <c r="DA112" s="2"/>
      <c r="DB112" s="2"/>
      <c r="DC112" s="2"/>
      <c r="DD112" s="2"/>
      <c r="DE112" s="1">
        <f t="shared" si="33"/>
        <v>688531.95012095571</v>
      </c>
      <c r="DF112" s="2"/>
      <c r="DG112" s="2"/>
      <c r="DH112" s="2"/>
      <c r="DI112" s="2"/>
      <c r="DJ112" s="2"/>
      <c r="DK112" s="2"/>
      <c r="DL112" s="1">
        <f t="shared" si="34"/>
        <v>810583.63612938614</v>
      </c>
      <c r="DM112" s="2"/>
      <c r="DN112" s="2"/>
      <c r="DO112" s="2"/>
      <c r="DP112" s="2"/>
      <c r="DQ112" s="2"/>
      <c r="DR112" s="2"/>
      <c r="DS112" s="1">
        <f t="shared" si="35"/>
        <v>414132.12381740904</v>
      </c>
      <c r="DT112" s="2"/>
      <c r="DU112" s="2"/>
      <c r="DV112" s="2"/>
      <c r="DW112" s="2"/>
      <c r="DX112" s="2"/>
      <c r="DY112" s="2"/>
      <c r="DZ112" s="2"/>
      <c r="EA112" s="2"/>
      <c r="EB112" s="1">
        <f t="shared" si="36"/>
        <v>48510.895386774806</v>
      </c>
      <c r="EC112" s="2"/>
      <c r="ED112" s="2"/>
      <c r="EE112" s="1">
        <f t="shared" si="37"/>
        <v>102403.51104505784</v>
      </c>
      <c r="EF112" s="2"/>
      <c r="EG112" s="1">
        <f t="shared" si="37"/>
        <v>367118.44897855131</v>
      </c>
      <c r="EH112" s="2"/>
      <c r="HW112" s="4"/>
      <c r="HX112" s="2">
        <f t="shared" si="20"/>
        <v>1494275.1505869869</v>
      </c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1">
        <f t="shared" si="38"/>
        <v>2235507.2136697192</v>
      </c>
      <c r="LU112" s="1">
        <f t="shared" si="39"/>
        <v>1645273.3247419253</v>
      </c>
    </row>
    <row r="113" spans="1:333">
      <c r="A113" s="1">
        <v>1476</v>
      </c>
      <c r="B113" s="1">
        <f t="shared" si="21"/>
        <v>10042340.242198303</v>
      </c>
      <c r="C113" s="1">
        <f t="shared" si="23"/>
        <v>2811099.4920499404</v>
      </c>
      <c r="K113" s="1">
        <f t="shared" si="24"/>
        <v>1186018.5925417084</v>
      </c>
      <c r="U113" s="1">
        <f t="shared" si="25"/>
        <v>1237684.4208408976</v>
      </c>
      <c r="AH113" s="1">
        <f t="shared" si="26"/>
        <v>3075664.2585060773</v>
      </c>
      <c r="AT113" s="1">
        <f t="shared" si="27"/>
        <v>1035096.4344928791</v>
      </c>
      <c r="BC113" s="1">
        <f t="shared" si="28"/>
        <v>696777.04376679985</v>
      </c>
      <c r="BI113" s="4">
        <f t="shared" si="22"/>
        <v>6355525.0476946095</v>
      </c>
      <c r="BJ113" s="2">
        <f t="shared" si="40"/>
        <v>633073.97962159442</v>
      </c>
      <c r="BK113" s="2"/>
      <c r="BL113" s="2"/>
      <c r="BM113" s="2"/>
      <c r="BN113" s="2"/>
      <c r="BO113" s="2"/>
      <c r="BP113" s="2"/>
      <c r="BQ113" s="1">
        <f t="shared" si="29"/>
        <v>543282.91622030491</v>
      </c>
      <c r="BR113" s="2"/>
      <c r="BS113" s="2"/>
      <c r="BT113" s="2"/>
      <c r="BU113" s="2"/>
      <c r="BV113" s="2"/>
      <c r="BW113" s="2"/>
      <c r="BX113" s="2"/>
      <c r="BY113" s="2"/>
      <c r="BZ113" s="1">
        <f t="shared" si="30"/>
        <v>1116721.7820214632</v>
      </c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1">
        <f t="shared" si="31"/>
        <v>387191.56068995758</v>
      </c>
      <c r="CU113" s="2"/>
      <c r="CV113" s="2"/>
      <c r="CW113" s="2"/>
      <c r="CX113" s="1">
        <f t="shared" si="32"/>
        <v>1234042.3748713927</v>
      </c>
      <c r="CY113" s="2"/>
      <c r="CZ113" s="2"/>
      <c r="DA113" s="2"/>
      <c r="DB113" s="2"/>
      <c r="DC113" s="2"/>
      <c r="DD113" s="2"/>
      <c r="DE113" s="1">
        <f t="shared" si="33"/>
        <v>690872.95875136706</v>
      </c>
      <c r="DF113" s="2"/>
      <c r="DG113" s="2"/>
      <c r="DH113" s="2"/>
      <c r="DI113" s="2"/>
      <c r="DJ113" s="2"/>
      <c r="DK113" s="2"/>
      <c r="DL113" s="1">
        <f t="shared" si="34"/>
        <v>813339.62049222609</v>
      </c>
      <c r="DM113" s="2"/>
      <c r="DN113" s="2"/>
      <c r="DO113" s="2"/>
      <c r="DP113" s="2"/>
      <c r="DQ113" s="2"/>
      <c r="DR113" s="2"/>
      <c r="DS113" s="1">
        <f t="shared" si="35"/>
        <v>417031.04868413089</v>
      </c>
      <c r="DT113" s="2"/>
      <c r="DU113" s="2"/>
      <c r="DV113" s="2"/>
      <c r="DW113" s="2"/>
      <c r="DX113" s="2"/>
      <c r="DY113" s="2"/>
      <c r="DZ113" s="2"/>
      <c r="EA113" s="2"/>
      <c r="EB113" s="1">
        <f t="shared" si="36"/>
        <v>48850.471654482222</v>
      </c>
      <c r="EC113" s="2"/>
      <c r="ED113" s="2"/>
      <c r="EE113" s="1">
        <f t="shared" si="37"/>
        <v>102751.68298261103</v>
      </c>
      <c r="EF113" s="2"/>
      <c r="EG113" s="1">
        <f t="shared" si="37"/>
        <v>368366.65170507843</v>
      </c>
      <c r="EH113" s="2"/>
      <c r="HW113" s="4"/>
      <c r="HX113" s="2">
        <f t="shared" si="20"/>
        <v>1500999.3887646282</v>
      </c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1">
        <f t="shared" si="38"/>
        <v>2243107.9381961962</v>
      </c>
      <c r="LU113" s="1">
        <f t="shared" si="39"/>
        <v>1650867.254046048</v>
      </c>
    </row>
    <row r="114" spans="1:333">
      <c r="A114" s="1">
        <v>1477</v>
      </c>
      <c r="B114" s="1">
        <f t="shared" si="21"/>
        <v>10079150.272336498</v>
      </c>
      <c r="C114" s="1">
        <f t="shared" si="23"/>
        <v>2820657.2303229105</v>
      </c>
      <c r="K114" s="1">
        <f t="shared" si="24"/>
        <v>1191355.6762081459</v>
      </c>
      <c r="U114" s="1">
        <f t="shared" si="25"/>
        <v>1243254.0007346815</v>
      </c>
      <c r="AH114" s="1">
        <f t="shared" si="26"/>
        <v>3086121.5169849982</v>
      </c>
      <c r="AT114" s="1">
        <f t="shared" si="27"/>
        <v>1038615.762370155</v>
      </c>
      <c r="BC114" s="1">
        <f t="shared" si="28"/>
        <v>699146.08571560704</v>
      </c>
      <c r="BI114" s="4">
        <f t="shared" si="22"/>
        <v>6382894.0584896477</v>
      </c>
      <c r="BJ114" s="2">
        <f t="shared" si="40"/>
        <v>635669.58293804293</v>
      </c>
      <c r="BK114" s="2"/>
      <c r="BL114" s="2"/>
      <c r="BM114" s="2"/>
      <c r="BN114" s="2"/>
      <c r="BO114" s="2"/>
      <c r="BP114" s="2"/>
      <c r="BQ114" s="1">
        <f t="shared" si="29"/>
        <v>544749.7800940997</v>
      </c>
      <c r="BR114" s="2"/>
      <c r="BS114" s="2"/>
      <c r="BT114" s="2"/>
      <c r="BU114" s="2"/>
      <c r="BV114" s="2"/>
      <c r="BW114" s="2"/>
      <c r="BX114" s="2"/>
      <c r="BY114" s="2"/>
      <c r="BZ114" s="1">
        <f t="shared" si="30"/>
        <v>1124538.8344956134</v>
      </c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1">
        <f t="shared" si="31"/>
        <v>388508.01199630345</v>
      </c>
      <c r="CU114" s="2"/>
      <c r="CV114" s="2"/>
      <c r="CW114" s="2"/>
      <c r="CX114" s="1">
        <f t="shared" si="32"/>
        <v>1238238.1189459555</v>
      </c>
      <c r="CY114" s="2"/>
      <c r="CZ114" s="2"/>
      <c r="DA114" s="2"/>
      <c r="DB114" s="2"/>
      <c r="DC114" s="2"/>
      <c r="DD114" s="2"/>
      <c r="DE114" s="1">
        <f t="shared" si="33"/>
        <v>693221.92681112175</v>
      </c>
      <c r="DF114" s="2"/>
      <c r="DG114" s="2"/>
      <c r="DH114" s="2"/>
      <c r="DI114" s="2"/>
      <c r="DJ114" s="2"/>
      <c r="DK114" s="2"/>
      <c r="DL114" s="1">
        <f t="shared" si="34"/>
        <v>816104.97520189977</v>
      </c>
      <c r="DM114" s="2"/>
      <c r="DN114" s="2"/>
      <c r="DO114" s="2"/>
      <c r="DP114" s="2"/>
      <c r="DQ114" s="2"/>
      <c r="DR114" s="2"/>
      <c r="DS114" s="1">
        <f t="shared" si="35"/>
        <v>419950.26602491975</v>
      </c>
      <c r="DT114" s="2"/>
      <c r="DU114" s="2"/>
      <c r="DV114" s="2"/>
      <c r="DW114" s="2"/>
      <c r="DX114" s="2"/>
      <c r="DY114" s="2"/>
      <c r="DZ114" s="2"/>
      <c r="EA114" s="2"/>
      <c r="EB114" s="1">
        <f t="shared" si="36"/>
        <v>49192.424956063594</v>
      </c>
      <c r="EC114" s="2"/>
      <c r="ED114" s="2"/>
      <c r="EE114" s="1">
        <f t="shared" si="37"/>
        <v>103101.03870475192</v>
      </c>
      <c r="EF114" s="2"/>
      <c r="EG114" s="1">
        <f t="shared" si="37"/>
        <v>369619.09832087572</v>
      </c>
      <c r="EH114" s="2"/>
      <c r="HW114" s="4"/>
      <c r="HX114" s="2">
        <f t="shared" si="20"/>
        <v>1507753.886014069</v>
      </c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1">
        <f t="shared" si="38"/>
        <v>2250734.5051860632</v>
      </c>
      <c r="LU114" s="1">
        <f t="shared" si="39"/>
        <v>1656480.2027098048</v>
      </c>
    </row>
    <row r="115" spans="1:333">
      <c r="A115" s="1">
        <v>1478</v>
      </c>
      <c r="B115" s="1">
        <f t="shared" si="21"/>
        <v>10116097.45390708</v>
      </c>
      <c r="C115" s="1">
        <f t="shared" si="23"/>
        <v>2830247.4649060084</v>
      </c>
      <c r="K115" s="1">
        <f t="shared" si="24"/>
        <v>1196716.7767510826</v>
      </c>
      <c r="U115" s="1">
        <f t="shared" si="25"/>
        <v>1248848.6437379876</v>
      </c>
      <c r="AH115" s="1">
        <f t="shared" si="26"/>
        <v>3096614.3301427476</v>
      </c>
      <c r="AT115" s="1">
        <f t="shared" si="27"/>
        <v>1042147.0559622135</v>
      </c>
      <c r="BC115" s="1">
        <f t="shared" si="28"/>
        <v>701523.18240704015</v>
      </c>
      <c r="BI115" s="4">
        <f t="shared" si="22"/>
        <v>6410396.7956422186</v>
      </c>
      <c r="BJ115" s="2">
        <f t="shared" si="40"/>
        <v>638275.82822808891</v>
      </c>
      <c r="BK115" s="2"/>
      <c r="BL115" s="2"/>
      <c r="BM115" s="2"/>
      <c r="BN115" s="2"/>
      <c r="BO115" s="2"/>
      <c r="BP115" s="2"/>
      <c r="BQ115" s="1">
        <f t="shared" si="29"/>
        <v>546220.60450035369</v>
      </c>
      <c r="BR115" s="2"/>
      <c r="BS115" s="2"/>
      <c r="BT115" s="2"/>
      <c r="BU115" s="2"/>
      <c r="BV115" s="2"/>
      <c r="BW115" s="2"/>
      <c r="BX115" s="2"/>
      <c r="BY115" s="2"/>
      <c r="BZ115" s="1">
        <f t="shared" si="30"/>
        <v>1132410.6063370826</v>
      </c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1">
        <f t="shared" si="31"/>
        <v>389828.93923709093</v>
      </c>
      <c r="CU115" s="2"/>
      <c r="CV115" s="2"/>
      <c r="CW115" s="2"/>
      <c r="CX115" s="1">
        <f t="shared" si="32"/>
        <v>1242448.1285503719</v>
      </c>
      <c r="CY115" s="2"/>
      <c r="CZ115" s="2"/>
      <c r="DA115" s="2"/>
      <c r="DB115" s="2"/>
      <c r="DC115" s="2"/>
      <c r="DD115" s="2"/>
      <c r="DE115" s="1">
        <f t="shared" si="33"/>
        <v>695578.88136227964</v>
      </c>
      <c r="DF115" s="2"/>
      <c r="DG115" s="2"/>
      <c r="DH115" s="2"/>
      <c r="DI115" s="2"/>
      <c r="DJ115" s="2"/>
      <c r="DK115" s="2"/>
      <c r="DL115" s="1">
        <f t="shared" si="34"/>
        <v>818879.7321175863</v>
      </c>
      <c r="DM115" s="2"/>
      <c r="DN115" s="2"/>
      <c r="DO115" s="2"/>
      <c r="DP115" s="2"/>
      <c r="DQ115" s="2"/>
      <c r="DR115" s="2"/>
      <c r="DS115" s="1">
        <f t="shared" si="35"/>
        <v>422889.91788709414</v>
      </c>
      <c r="DT115" s="2"/>
      <c r="DU115" s="2"/>
      <c r="DV115" s="2"/>
      <c r="DW115" s="2"/>
      <c r="DX115" s="2"/>
      <c r="DY115" s="2"/>
      <c r="DZ115" s="2"/>
      <c r="EA115" s="2"/>
      <c r="EB115" s="1">
        <f t="shared" si="36"/>
        <v>49536.771930756033</v>
      </c>
      <c r="EC115" s="2"/>
      <c r="ED115" s="2"/>
      <c r="EE115" s="1">
        <f t="shared" si="37"/>
        <v>103451.58223634808</v>
      </c>
      <c r="EF115" s="2"/>
      <c r="EG115" s="1">
        <f t="shared" si="37"/>
        <v>370875.80325516674</v>
      </c>
      <c r="EH115" s="2"/>
      <c r="HW115" s="4"/>
      <c r="HX115" s="2">
        <f t="shared" ref="HX115:HX159" si="41">HX114*1.0045</f>
        <v>1514538.7785011323</v>
      </c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1">
        <f t="shared" si="38"/>
        <v>2258387.0025036959</v>
      </c>
      <c r="LU115" s="1">
        <f t="shared" si="39"/>
        <v>1662112.2353990183</v>
      </c>
    </row>
    <row r="116" spans="1:333">
      <c r="A116" s="1">
        <v>1479</v>
      </c>
      <c r="B116" s="1">
        <f t="shared" si="21"/>
        <v>10153182.3072129</v>
      </c>
      <c r="C116" s="1">
        <f t="shared" si="23"/>
        <v>2839870.3062866889</v>
      </c>
      <c r="K116" s="1">
        <f t="shared" si="24"/>
        <v>1202102.0022464625</v>
      </c>
      <c r="U116" s="1">
        <f t="shared" si="25"/>
        <v>1254468.4626348084</v>
      </c>
      <c r="AH116" s="1">
        <f t="shared" si="26"/>
        <v>3107142.8188652331</v>
      </c>
      <c r="AT116" s="1">
        <f t="shared" si="27"/>
        <v>1045690.3559524851</v>
      </c>
      <c r="BC116" s="1">
        <f t="shared" si="28"/>
        <v>703908.36122722412</v>
      </c>
      <c r="BI116" s="4">
        <f t="shared" si="22"/>
        <v>6438033.997670169</v>
      </c>
      <c r="BJ116" s="2">
        <f t="shared" si="40"/>
        <v>640892.75912382407</v>
      </c>
      <c r="BK116" s="2"/>
      <c r="BL116" s="2"/>
      <c r="BM116" s="2"/>
      <c r="BN116" s="2"/>
      <c r="BO116" s="2"/>
      <c r="BP116" s="2"/>
      <c r="BQ116" s="1">
        <f t="shared" si="29"/>
        <v>547695.40013250464</v>
      </c>
      <c r="BR116" s="2"/>
      <c r="BS116" s="2"/>
      <c r="BT116" s="2"/>
      <c r="BU116" s="2"/>
      <c r="BV116" s="2"/>
      <c r="BW116" s="2"/>
      <c r="BX116" s="2"/>
      <c r="BY116" s="2"/>
      <c r="BZ116" s="1">
        <f t="shared" si="30"/>
        <v>1140337.4805814421</v>
      </c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1">
        <f t="shared" si="31"/>
        <v>391154.35763049708</v>
      </c>
      <c r="CU116" s="2"/>
      <c r="CV116" s="2"/>
      <c r="CW116" s="2"/>
      <c r="CX116" s="1">
        <f t="shared" si="32"/>
        <v>1246672.4521874432</v>
      </c>
      <c r="CY116" s="2"/>
      <c r="CZ116" s="2"/>
      <c r="DA116" s="2"/>
      <c r="DB116" s="2"/>
      <c r="DC116" s="2"/>
      <c r="DD116" s="2"/>
      <c r="DE116" s="1">
        <f t="shared" si="33"/>
        <v>697943.8495589114</v>
      </c>
      <c r="DF116" s="2"/>
      <c r="DG116" s="2"/>
      <c r="DH116" s="2"/>
      <c r="DI116" s="2"/>
      <c r="DJ116" s="2"/>
      <c r="DK116" s="2"/>
      <c r="DL116" s="1">
        <f t="shared" si="34"/>
        <v>821663.92320678616</v>
      </c>
      <c r="DM116" s="2"/>
      <c r="DN116" s="2"/>
      <c r="DO116" s="2"/>
      <c r="DP116" s="2"/>
      <c r="DQ116" s="2"/>
      <c r="DR116" s="2"/>
      <c r="DS116" s="1">
        <f t="shared" si="35"/>
        <v>425850.14731230377</v>
      </c>
      <c r="DT116" s="2"/>
      <c r="DU116" s="2"/>
      <c r="DV116" s="2"/>
      <c r="DW116" s="2"/>
      <c r="DX116" s="2"/>
      <c r="DY116" s="2"/>
      <c r="DZ116" s="2"/>
      <c r="EA116" s="2"/>
      <c r="EB116" s="1">
        <f t="shared" si="36"/>
        <v>49883.529334271319</v>
      </c>
      <c r="EC116" s="2"/>
      <c r="ED116" s="2"/>
      <c r="EE116" s="1">
        <f t="shared" si="37"/>
        <v>103803.31761595167</v>
      </c>
      <c r="EF116" s="2"/>
      <c r="EG116" s="1">
        <f t="shared" si="37"/>
        <v>372136.78098623431</v>
      </c>
      <c r="EH116" s="2"/>
      <c r="HW116" s="4"/>
      <c r="HX116" s="2">
        <f t="shared" si="41"/>
        <v>1521354.2030043872</v>
      </c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1">
        <f t="shared" si="38"/>
        <v>2266065.5183122088</v>
      </c>
      <c r="LP116" s="1">
        <v>157080</v>
      </c>
      <c r="LU116" s="1">
        <f t="shared" si="39"/>
        <v>1667763.416999375</v>
      </c>
    </row>
    <row r="117" spans="1:333">
      <c r="A117" s="1">
        <v>1480</v>
      </c>
      <c r="B117" s="1">
        <f t="shared" si="21"/>
        <v>10190405.354568796</v>
      </c>
      <c r="C117" s="1">
        <f t="shared" si="23"/>
        <v>2849525.8653280637</v>
      </c>
      <c r="K117" s="1">
        <f t="shared" si="24"/>
        <v>1207511.4612565716</v>
      </c>
      <c r="U117" s="1">
        <f t="shared" si="25"/>
        <v>1260113.5707166649</v>
      </c>
      <c r="AH117" s="1">
        <f t="shared" si="26"/>
        <v>3117707.1044493751</v>
      </c>
      <c r="AT117" s="1">
        <f t="shared" si="27"/>
        <v>1049245.7031627237</v>
      </c>
      <c r="BC117" s="1">
        <f t="shared" si="28"/>
        <v>706301.6496553967</v>
      </c>
      <c r="BI117" s="4">
        <f t="shared" si="22"/>
        <v>6465806.4075795636</v>
      </c>
      <c r="BJ117" s="2">
        <f t="shared" si="40"/>
        <v>643520.41943623172</v>
      </c>
      <c r="BK117" s="2"/>
      <c r="BL117" s="2"/>
      <c r="BM117" s="2"/>
      <c r="BN117" s="2"/>
      <c r="BO117" s="2"/>
      <c r="BP117" s="2"/>
      <c r="BQ117" s="1">
        <f t="shared" si="29"/>
        <v>549174.17771286238</v>
      </c>
      <c r="BR117" s="2"/>
      <c r="BS117" s="2"/>
      <c r="BT117" s="2"/>
      <c r="BU117" s="2"/>
      <c r="BV117" s="2"/>
      <c r="BW117" s="2"/>
      <c r="BX117" s="2"/>
      <c r="BY117" s="2"/>
      <c r="BZ117" s="1">
        <f t="shared" si="30"/>
        <v>1148319.8429455122</v>
      </c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1">
        <f t="shared" si="31"/>
        <v>392484.28244644077</v>
      </c>
      <c r="CU117" s="2"/>
      <c r="CV117" s="2"/>
      <c r="CW117" s="2"/>
      <c r="CX117" s="1">
        <f t="shared" si="32"/>
        <v>1250911.1385248806</v>
      </c>
      <c r="CY117" s="2"/>
      <c r="CZ117" s="2"/>
      <c r="DA117" s="2"/>
      <c r="DB117" s="2"/>
      <c r="DC117" s="2"/>
      <c r="DD117" s="2"/>
      <c r="DE117" s="1">
        <f t="shared" si="33"/>
        <v>700316.85864741181</v>
      </c>
      <c r="DF117" s="2"/>
      <c r="DG117" s="2"/>
      <c r="DH117" s="2"/>
      <c r="DI117" s="2"/>
      <c r="DJ117" s="2"/>
      <c r="DK117" s="2"/>
      <c r="DL117" s="1">
        <f t="shared" si="34"/>
        <v>824457.58054568933</v>
      </c>
      <c r="DM117" s="2"/>
      <c r="DN117" s="2"/>
      <c r="DO117" s="2"/>
      <c r="DP117" s="2"/>
      <c r="DQ117" s="2"/>
      <c r="DR117" s="2"/>
      <c r="DS117" s="1">
        <f t="shared" si="35"/>
        <v>428831.09834348987</v>
      </c>
      <c r="DT117" s="2"/>
      <c r="DU117" s="2"/>
      <c r="DV117" s="2"/>
      <c r="DW117" s="2"/>
      <c r="DX117" s="2"/>
      <c r="DY117" s="2"/>
      <c r="DZ117" s="2"/>
      <c r="EA117" s="2"/>
      <c r="EB117" s="1">
        <f t="shared" si="36"/>
        <v>50232.714039611215</v>
      </c>
      <c r="EC117" s="2"/>
      <c r="ED117" s="2"/>
      <c r="EE117" s="1">
        <f t="shared" si="37"/>
        <v>104156.24889584591</v>
      </c>
      <c r="EF117" s="2"/>
      <c r="EG117" s="1">
        <f t="shared" si="37"/>
        <v>373402.04604158754</v>
      </c>
      <c r="EH117" s="2"/>
      <c r="HW117" s="4"/>
      <c r="HX117" s="2">
        <f t="shared" si="41"/>
        <v>1528200.296917907</v>
      </c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1">
        <f t="shared" si="38"/>
        <v>2273770.1410744707</v>
      </c>
      <c r="LU117" s="1">
        <f t="shared" si="39"/>
        <v>1673433.812617173</v>
      </c>
    </row>
    <row r="118" spans="1:333">
      <c r="A118" s="1">
        <v>1481</v>
      </c>
      <c r="B118" s="1">
        <f t="shared" si="21"/>
        <v>10227767.1203095</v>
      </c>
      <c r="C118" s="1">
        <f t="shared" si="23"/>
        <v>2859214.2532701795</v>
      </c>
      <c r="K118" s="1">
        <f t="shared" si="24"/>
        <v>1212945.262832226</v>
      </c>
      <c r="U118" s="1">
        <f t="shared" si="25"/>
        <v>1265784.0817848898</v>
      </c>
      <c r="AH118" s="1">
        <f t="shared" si="26"/>
        <v>3128307.3086045031</v>
      </c>
      <c r="AT118" s="1">
        <f t="shared" si="27"/>
        <v>1052813.1385534771</v>
      </c>
      <c r="BC118" s="1">
        <f t="shared" si="28"/>
        <v>708703.07526422513</v>
      </c>
      <c r="BI118" s="4">
        <f t="shared" si="22"/>
        <v>6493714.7728937231</v>
      </c>
      <c r="BJ118" s="2">
        <f t="shared" si="40"/>
        <v>646158.85315592028</v>
      </c>
      <c r="BK118" s="2"/>
      <c r="BL118" s="2"/>
      <c r="BM118" s="2"/>
      <c r="BN118" s="2"/>
      <c r="BO118" s="2"/>
      <c r="BP118" s="2"/>
      <c r="BQ118" s="1">
        <f t="shared" si="29"/>
        <v>550656.94799268711</v>
      </c>
      <c r="BR118" s="2"/>
      <c r="BS118" s="2"/>
      <c r="BT118" s="2"/>
      <c r="BU118" s="2"/>
      <c r="BV118" s="2"/>
      <c r="BW118" s="2"/>
      <c r="BX118" s="2"/>
      <c r="BY118" s="2"/>
      <c r="BZ118" s="1">
        <f t="shared" si="30"/>
        <v>1156358.0818461305</v>
      </c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1">
        <f t="shared" si="31"/>
        <v>393818.72900675872</v>
      </c>
      <c r="CU118" s="2"/>
      <c r="CV118" s="2"/>
      <c r="CW118" s="2"/>
      <c r="CX118" s="1">
        <f t="shared" si="32"/>
        <v>1255164.2363958652</v>
      </c>
      <c r="CY118" s="2"/>
      <c r="CZ118" s="2"/>
      <c r="DA118" s="2"/>
      <c r="DB118" s="2"/>
      <c r="DC118" s="2"/>
      <c r="DD118" s="2"/>
      <c r="DE118" s="1">
        <f t="shared" si="33"/>
        <v>702697.93596681301</v>
      </c>
      <c r="DF118" s="2"/>
      <c r="DG118" s="2"/>
      <c r="DH118" s="2"/>
      <c r="DI118" s="2"/>
      <c r="DJ118" s="2"/>
      <c r="DK118" s="2"/>
      <c r="DL118" s="1">
        <f t="shared" si="34"/>
        <v>827260.73631954473</v>
      </c>
      <c r="DM118" s="2"/>
      <c r="DN118" s="2"/>
      <c r="DO118" s="2"/>
      <c r="DP118" s="2"/>
      <c r="DQ118" s="2"/>
      <c r="DR118" s="2"/>
      <c r="DS118" s="1">
        <f t="shared" si="35"/>
        <v>431832.91603189427</v>
      </c>
      <c r="DT118" s="2"/>
      <c r="DU118" s="2"/>
      <c r="DV118" s="2"/>
      <c r="DW118" s="2"/>
      <c r="DX118" s="2"/>
      <c r="DY118" s="2"/>
      <c r="DZ118" s="2"/>
      <c r="EA118" s="2"/>
      <c r="EB118" s="1">
        <f t="shared" si="36"/>
        <v>50584.343037888488</v>
      </c>
      <c r="EC118" s="2"/>
      <c r="ED118" s="2"/>
      <c r="EE118" s="1">
        <f t="shared" si="37"/>
        <v>104510.3801420918</v>
      </c>
      <c r="EF118" s="2"/>
      <c r="EG118" s="1">
        <f t="shared" si="37"/>
        <v>374671.61299812899</v>
      </c>
      <c r="EH118" s="2"/>
      <c r="HW118" s="4"/>
      <c r="HX118" s="2">
        <f t="shared" si="41"/>
        <v>1535077.1982540374</v>
      </c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1">
        <f t="shared" si="38"/>
        <v>2281500.9595541242</v>
      </c>
      <c r="LU118" s="1">
        <f t="shared" si="39"/>
        <v>1679123.4875800714</v>
      </c>
    </row>
    <row r="119" spans="1:333">
      <c r="A119" s="1">
        <v>1482</v>
      </c>
      <c r="B119" s="1">
        <f t="shared" si="21"/>
        <v>10265268.130797632</v>
      </c>
      <c r="C119" s="1">
        <f t="shared" si="23"/>
        <v>2868935.5817312985</v>
      </c>
      <c r="K119" s="1">
        <f t="shared" si="24"/>
        <v>1218403.5165149709</v>
      </c>
      <c r="U119" s="1">
        <f t="shared" si="25"/>
        <v>1271480.1101529216</v>
      </c>
      <c r="AH119" s="1">
        <f t="shared" si="26"/>
        <v>3138943.5534537584</v>
      </c>
      <c r="AT119" s="1">
        <f t="shared" si="27"/>
        <v>1056392.7032245591</v>
      </c>
      <c r="BC119" s="1">
        <f t="shared" si="28"/>
        <v>711112.66572012356</v>
      </c>
      <c r="BI119" s="4">
        <f t="shared" si="22"/>
        <v>6521759.8456824729</v>
      </c>
      <c r="BJ119" s="2">
        <f t="shared" si="40"/>
        <v>648808.1044538595</v>
      </c>
      <c r="BK119" s="2"/>
      <c r="BL119" s="2"/>
      <c r="BM119" s="2"/>
      <c r="BN119" s="2"/>
      <c r="BO119" s="2"/>
      <c r="BP119" s="2"/>
      <c r="BQ119" s="1">
        <f t="shared" si="29"/>
        <v>552143.72175226733</v>
      </c>
      <c r="BR119" s="2"/>
      <c r="BS119" s="2"/>
      <c r="BT119" s="2"/>
      <c r="BU119" s="2"/>
      <c r="BV119" s="2"/>
      <c r="BW119" s="2"/>
      <c r="BX119" s="2"/>
      <c r="BY119" s="2"/>
      <c r="BZ119" s="1">
        <f t="shared" si="30"/>
        <v>1164452.5884190532</v>
      </c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1">
        <f t="shared" si="31"/>
        <v>395157.7126853817</v>
      </c>
      <c r="CU119" s="2"/>
      <c r="CV119" s="2"/>
      <c r="CW119" s="2"/>
      <c r="CX119" s="1">
        <f t="shared" si="32"/>
        <v>1259431.7947996112</v>
      </c>
      <c r="CY119" s="2"/>
      <c r="CZ119" s="2"/>
      <c r="DA119" s="2"/>
      <c r="DB119" s="2"/>
      <c r="DC119" s="2"/>
      <c r="DD119" s="2"/>
      <c r="DE119" s="1">
        <f t="shared" si="33"/>
        <v>705087.10894910025</v>
      </c>
      <c r="DF119" s="2"/>
      <c r="DG119" s="2"/>
      <c r="DH119" s="2"/>
      <c r="DI119" s="2"/>
      <c r="DJ119" s="2"/>
      <c r="DK119" s="2"/>
      <c r="DL119" s="1">
        <f t="shared" si="34"/>
        <v>830073.4228230312</v>
      </c>
      <c r="DM119" s="2"/>
      <c r="DN119" s="2"/>
      <c r="DO119" s="2"/>
      <c r="DP119" s="2"/>
      <c r="DQ119" s="2"/>
      <c r="DR119" s="2"/>
      <c r="DS119" s="1">
        <f t="shared" si="35"/>
        <v>434855.74644411751</v>
      </c>
      <c r="DT119" s="2"/>
      <c r="DU119" s="2"/>
      <c r="DV119" s="2"/>
      <c r="DW119" s="2"/>
      <c r="DX119" s="2"/>
      <c r="DY119" s="2"/>
      <c r="DZ119" s="2"/>
      <c r="EA119" s="2"/>
      <c r="EB119" s="1">
        <f t="shared" si="36"/>
        <v>50938.433439153705</v>
      </c>
      <c r="EC119" s="2"/>
      <c r="ED119" s="2"/>
      <c r="EE119" s="1">
        <f t="shared" si="37"/>
        <v>104865.71543457491</v>
      </c>
      <c r="EF119" s="2"/>
      <c r="EG119" s="1">
        <f t="shared" si="37"/>
        <v>375945.49648232263</v>
      </c>
      <c r="EH119" s="2"/>
      <c r="HW119" s="4"/>
      <c r="HX119" s="2">
        <f t="shared" si="41"/>
        <v>1541985.0456461804</v>
      </c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1">
        <f t="shared" si="38"/>
        <v>2289258.0628166082</v>
      </c>
      <c r="LU119" s="1">
        <f t="shared" si="39"/>
        <v>1684832.5074378438</v>
      </c>
    </row>
    <row r="120" spans="1:333">
      <c r="A120" s="1">
        <v>1483</v>
      </c>
      <c r="B120" s="1">
        <f t="shared" si="21"/>
        <v>10302908.91443168</v>
      </c>
      <c r="C120" s="1">
        <f t="shared" si="23"/>
        <v>2878689.9627091852</v>
      </c>
      <c r="K120" s="1">
        <f t="shared" si="24"/>
        <v>1223886.3323392882</v>
      </c>
      <c r="U120" s="1">
        <f t="shared" si="25"/>
        <v>1277201.7706486096</v>
      </c>
      <c r="AH120" s="1">
        <f t="shared" si="26"/>
        <v>3149615.9615355013</v>
      </c>
      <c r="AT120" s="1">
        <f t="shared" si="27"/>
        <v>1059984.4384155227</v>
      </c>
      <c r="BC120" s="1">
        <f t="shared" si="28"/>
        <v>713530.44878357206</v>
      </c>
      <c r="BI120" s="4">
        <f t="shared" si="22"/>
        <v>6549942.3825915726</v>
      </c>
      <c r="BJ120" s="2">
        <f t="shared" si="40"/>
        <v>651468.21768212027</v>
      </c>
      <c r="BK120" s="2"/>
      <c r="BL120" s="2"/>
      <c r="BM120" s="2"/>
      <c r="BN120" s="2"/>
      <c r="BO120" s="2"/>
      <c r="BP120" s="2"/>
      <c r="BQ120" s="1">
        <f t="shared" si="29"/>
        <v>553634.50980099838</v>
      </c>
      <c r="BR120" s="2"/>
      <c r="BS120" s="2"/>
      <c r="BT120" s="2"/>
      <c r="BU120" s="2"/>
      <c r="BV120" s="2"/>
      <c r="BW120" s="2"/>
      <c r="BX120" s="2"/>
      <c r="BY120" s="2"/>
      <c r="BZ120" s="1">
        <f t="shared" si="30"/>
        <v>1172603.7565379865</v>
      </c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1">
        <f t="shared" si="31"/>
        <v>396501.248908512</v>
      </c>
      <c r="CU120" s="2"/>
      <c r="CV120" s="2"/>
      <c r="CW120" s="2"/>
      <c r="CX120" s="1">
        <f t="shared" si="32"/>
        <v>1263713.86290193</v>
      </c>
      <c r="CY120" s="2"/>
      <c r="CZ120" s="2"/>
      <c r="DA120" s="2"/>
      <c r="DB120" s="2"/>
      <c r="DC120" s="2"/>
      <c r="DD120" s="2"/>
      <c r="DE120" s="1">
        <f t="shared" si="33"/>
        <v>707484.40511952725</v>
      </c>
      <c r="DF120" s="2"/>
      <c r="DG120" s="2"/>
      <c r="DH120" s="2"/>
      <c r="DI120" s="2"/>
      <c r="DJ120" s="2"/>
      <c r="DK120" s="2"/>
      <c r="DL120" s="1">
        <f t="shared" si="34"/>
        <v>832895.6724606296</v>
      </c>
      <c r="DM120" s="2"/>
      <c r="DN120" s="2"/>
      <c r="DO120" s="2"/>
      <c r="DP120" s="2"/>
      <c r="DQ120" s="2"/>
      <c r="DR120" s="2"/>
      <c r="DS120" s="1">
        <f t="shared" si="35"/>
        <v>437899.73666922632</v>
      </c>
      <c r="DT120" s="2"/>
      <c r="DU120" s="2"/>
      <c r="DV120" s="2"/>
      <c r="DW120" s="2"/>
      <c r="DX120" s="2"/>
      <c r="DY120" s="2"/>
      <c r="DZ120" s="2"/>
      <c r="EA120" s="2"/>
      <c r="EB120" s="1">
        <f t="shared" si="36"/>
        <v>51295.002473227774</v>
      </c>
      <c r="EC120" s="2"/>
      <c r="ED120" s="2"/>
      <c r="EE120" s="1">
        <f t="shared" si="37"/>
        <v>105222.25886705247</v>
      </c>
      <c r="EF120" s="2"/>
      <c r="EG120" s="1">
        <f t="shared" si="37"/>
        <v>377223.71117036254</v>
      </c>
      <c r="EH120" s="2"/>
      <c r="HW120" s="4"/>
      <c r="HX120" s="2">
        <f t="shared" si="41"/>
        <v>1548923.9783515881</v>
      </c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1">
        <f t="shared" si="38"/>
        <v>2297041.5402301848</v>
      </c>
      <c r="LU120" s="1">
        <f t="shared" si="39"/>
        <v>1690560.9379631325</v>
      </c>
    </row>
    <row r="121" spans="1:333">
      <c r="A121" s="1">
        <v>1484</v>
      </c>
      <c r="B121" s="1">
        <f t="shared" si="21"/>
        <v>10340690.001654034</v>
      </c>
      <c r="C121" s="1">
        <f t="shared" si="23"/>
        <v>2888477.5085823964</v>
      </c>
      <c r="K121" s="1">
        <f t="shared" si="24"/>
        <v>1229393.820834815</v>
      </c>
      <c r="U121" s="1">
        <f t="shared" si="25"/>
        <v>1282949.1786165284</v>
      </c>
      <c r="AH121" s="1">
        <f t="shared" si="26"/>
        <v>3160324.6558047221</v>
      </c>
      <c r="AT121" s="1">
        <f t="shared" si="27"/>
        <v>1063588.3855061356</v>
      </c>
      <c r="BC121" s="1">
        <f t="shared" si="28"/>
        <v>715956.45230943628</v>
      </c>
      <c r="BI121" s="4">
        <f t="shared" si="22"/>
        <v>6578263.1448723515</v>
      </c>
      <c r="BJ121" s="2">
        <f t="shared" si="40"/>
        <v>654139.23737461702</v>
      </c>
      <c r="BK121" s="2"/>
      <c r="BL121" s="2"/>
      <c r="BM121" s="2"/>
      <c r="BN121" s="2"/>
      <c r="BO121" s="2"/>
      <c r="BP121" s="2"/>
      <c r="BQ121" s="1">
        <f t="shared" si="29"/>
        <v>555129.32297746104</v>
      </c>
      <c r="BR121" s="2"/>
      <c r="BS121" s="2"/>
      <c r="BT121" s="2"/>
      <c r="BU121" s="2"/>
      <c r="BV121" s="2"/>
      <c r="BW121" s="2"/>
      <c r="BX121" s="2"/>
      <c r="BY121" s="2"/>
      <c r="BZ121" s="1">
        <f t="shared" si="30"/>
        <v>1180811.9828337522</v>
      </c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1">
        <f t="shared" si="31"/>
        <v>397849.35315480095</v>
      </c>
      <c r="CU121" s="2"/>
      <c r="CV121" s="2"/>
      <c r="CW121" s="2"/>
      <c r="CX121" s="1">
        <f t="shared" si="32"/>
        <v>1268010.4900357965</v>
      </c>
      <c r="CY121" s="2"/>
      <c r="CZ121" s="2"/>
      <c r="DA121" s="2"/>
      <c r="DB121" s="2"/>
      <c r="DC121" s="2"/>
      <c r="DD121" s="2"/>
      <c r="DE121" s="1">
        <f t="shared" si="33"/>
        <v>709889.85209693364</v>
      </c>
      <c r="DF121" s="2"/>
      <c r="DG121" s="2"/>
      <c r="DH121" s="2"/>
      <c r="DI121" s="2"/>
      <c r="DJ121" s="2"/>
      <c r="DK121" s="2"/>
      <c r="DL121" s="1">
        <f t="shared" si="34"/>
        <v>835727.51774699579</v>
      </c>
      <c r="DM121" s="2"/>
      <c r="DN121" s="2"/>
      <c r="DO121" s="2"/>
      <c r="DP121" s="2"/>
      <c r="DQ121" s="2"/>
      <c r="DR121" s="2"/>
      <c r="DS121" s="1">
        <f t="shared" si="35"/>
        <v>440965.03482591087</v>
      </c>
      <c r="DT121" s="2"/>
      <c r="DU121" s="2"/>
      <c r="DV121" s="2"/>
      <c r="DW121" s="2"/>
      <c r="DX121" s="2"/>
      <c r="DY121" s="2"/>
      <c r="DZ121" s="2"/>
      <c r="EA121" s="2"/>
      <c r="EB121" s="1">
        <f t="shared" si="36"/>
        <v>51654.067490540365</v>
      </c>
      <c r="EC121" s="2"/>
      <c r="ED121" s="2"/>
      <c r="EE121" s="1">
        <f t="shared" si="37"/>
        <v>105580.01454720045</v>
      </c>
      <c r="EF121" s="2"/>
      <c r="EG121" s="1">
        <f t="shared" si="37"/>
        <v>378506.27178834181</v>
      </c>
      <c r="EH121" s="2"/>
      <c r="HW121" s="4"/>
      <c r="HX121" s="2">
        <f t="shared" si="41"/>
        <v>1555894.1362541702</v>
      </c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1">
        <f t="shared" si="38"/>
        <v>2304851.4814669676</v>
      </c>
      <c r="LU121" s="1">
        <f t="shared" si="39"/>
        <v>1696308.8451522072</v>
      </c>
    </row>
    <row r="122" spans="1:333">
      <c r="A122" s="1">
        <v>1485</v>
      </c>
      <c r="B122" s="1">
        <f t="shared" si="21"/>
        <v>10378611.924959052</v>
      </c>
      <c r="C122" s="1">
        <f t="shared" si="23"/>
        <v>2898298.3321115766</v>
      </c>
      <c r="K122" s="1">
        <f t="shared" si="24"/>
        <v>1234926.0930285717</v>
      </c>
      <c r="U122" s="1">
        <f t="shared" si="25"/>
        <v>1288722.4499203027</v>
      </c>
      <c r="AH122" s="1">
        <f t="shared" si="26"/>
        <v>3171069.7596344585</v>
      </c>
      <c r="AT122" s="1">
        <f t="shared" si="27"/>
        <v>1067204.5860168566</v>
      </c>
      <c r="BC122" s="1">
        <f t="shared" si="28"/>
        <v>718390.70424728841</v>
      </c>
      <c r="BI122" s="4">
        <f t="shared" si="22"/>
        <v>6606722.8984115347</v>
      </c>
      <c r="BJ122" s="2">
        <f t="shared" si="40"/>
        <v>656821.20824785298</v>
      </c>
      <c r="BK122" s="2"/>
      <c r="BL122" s="2"/>
      <c r="BM122" s="2"/>
      <c r="BN122" s="2"/>
      <c r="BO122" s="2"/>
      <c r="BP122" s="2"/>
      <c r="BQ122" s="1">
        <f t="shared" si="29"/>
        <v>556628.17214950011</v>
      </c>
      <c r="BR122" s="2"/>
      <c r="BS122" s="2"/>
      <c r="BT122" s="2"/>
      <c r="BU122" s="2"/>
      <c r="BV122" s="2"/>
      <c r="BW122" s="2"/>
      <c r="BX122" s="2"/>
      <c r="BY122" s="2"/>
      <c r="BZ122" s="1">
        <f t="shared" si="30"/>
        <v>1189077.6667135884</v>
      </c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1">
        <f t="shared" si="31"/>
        <v>399202.04095552728</v>
      </c>
      <c r="CU122" s="2"/>
      <c r="CV122" s="2"/>
      <c r="CW122" s="2"/>
      <c r="CX122" s="1">
        <f t="shared" si="32"/>
        <v>1272321.7257019184</v>
      </c>
      <c r="CY122" s="2"/>
      <c r="CZ122" s="2"/>
      <c r="DA122" s="2"/>
      <c r="DB122" s="2"/>
      <c r="DC122" s="2"/>
      <c r="DD122" s="2"/>
      <c r="DE122" s="1">
        <f t="shared" si="33"/>
        <v>712303.47759406327</v>
      </c>
      <c r="DF122" s="2"/>
      <c r="DG122" s="2"/>
      <c r="DH122" s="2"/>
      <c r="DI122" s="2"/>
      <c r="DJ122" s="2"/>
      <c r="DK122" s="2"/>
      <c r="DL122" s="1">
        <f t="shared" si="34"/>
        <v>838568.99130733567</v>
      </c>
      <c r="DM122" s="2"/>
      <c r="DN122" s="2"/>
      <c r="DO122" s="2"/>
      <c r="DP122" s="2"/>
      <c r="DQ122" s="2"/>
      <c r="DR122" s="2"/>
      <c r="DS122" s="1">
        <f t="shared" si="35"/>
        <v>444051.79006969219</v>
      </c>
      <c r="DT122" s="2"/>
      <c r="DU122" s="2"/>
      <c r="DV122" s="2"/>
      <c r="DW122" s="2"/>
      <c r="DX122" s="2"/>
      <c r="DY122" s="2"/>
      <c r="DZ122" s="2"/>
      <c r="EA122" s="2"/>
      <c r="EB122" s="1">
        <f t="shared" si="36"/>
        <v>52015.645962974144</v>
      </c>
      <c r="EC122" s="2"/>
      <c r="ED122" s="2"/>
      <c r="EE122" s="1">
        <f t="shared" si="37"/>
        <v>105938.98659666094</v>
      </c>
      <c r="EF122" s="2"/>
      <c r="EG122" s="1">
        <f t="shared" si="37"/>
        <v>379793.19311242219</v>
      </c>
      <c r="EH122" s="2"/>
      <c r="HW122" s="4"/>
      <c r="HX122" s="2">
        <f t="shared" si="41"/>
        <v>1562895.6598673139</v>
      </c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1">
        <f t="shared" si="38"/>
        <v>2312687.9765039557</v>
      </c>
      <c r="LU122" s="1">
        <f t="shared" si="39"/>
        <v>1702076.2952257248</v>
      </c>
    </row>
    <row r="123" spans="1:333">
      <c r="A123" s="1">
        <v>1486</v>
      </c>
      <c r="B123" s="1">
        <f t="shared" si="21"/>
        <v>10416675.218901159</v>
      </c>
      <c r="C123" s="1">
        <f t="shared" si="23"/>
        <v>2908152.5464407559</v>
      </c>
      <c r="K123" s="1">
        <f t="shared" si="24"/>
        <v>1240483.2604472002</v>
      </c>
      <c r="U123" s="1">
        <f t="shared" si="25"/>
        <v>1294521.7009449441</v>
      </c>
      <c r="AH123" s="1">
        <f t="shared" si="26"/>
        <v>3181851.3968172157</v>
      </c>
      <c r="AT123" s="1">
        <f t="shared" si="27"/>
        <v>1070833.0816093141</v>
      </c>
      <c r="BC123" s="1">
        <f t="shared" si="28"/>
        <v>720833.23264172929</v>
      </c>
      <c r="BI123" s="4">
        <f t="shared" si="22"/>
        <v>6635322.4137612917</v>
      </c>
      <c r="BJ123" s="2">
        <f t="shared" si="40"/>
        <v>659514.17520166922</v>
      </c>
      <c r="BK123" s="2"/>
      <c r="BL123" s="2"/>
      <c r="BM123" s="2"/>
      <c r="BN123" s="2"/>
      <c r="BO123" s="2"/>
      <c r="BP123" s="2"/>
      <c r="BQ123" s="1">
        <f t="shared" si="29"/>
        <v>558131.0682143037</v>
      </c>
      <c r="BR123" s="2"/>
      <c r="BS123" s="2"/>
      <c r="BT123" s="2"/>
      <c r="BU123" s="2"/>
      <c r="BV123" s="2"/>
      <c r="BW123" s="2"/>
      <c r="BX123" s="2"/>
      <c r="BY123" s="2"/>
      <c r="BZ123" s="1">
        <f t="shared" si="30"/>
        <v>1197401.2103805833</v>
      </c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1">
        <f t="shared" si="31"/>
        <v>400559.32789477607</v>
      </c>
      <c r="CU123" s="2"/>
      <c r="CV123" s="2"/>
      <c r="CW123" s="2"/>
      <c r="CX123" s="1">
        <f t="shared" si="32"/>
        <v>1276647.6195693049</v>
      </c>
      <c r="CY123" s="2"/>
      <c r="CZ123" s="2"/>
      <c r="DA123" s="2"/>
      <c r="DB123" s="2"/>
      <c r="DC123" s="2"/>
      <c r="DD123" s="2"/>
      <c r="DE123" s="1">
        <f t="shared" si="33"/>
        <v>714725.30941788317</v>
      </c>
      <c r="DF123" s="2"/>
      <c r="DG123" s="2"/>
      <c r="DH123" s="2"/>
      <c r="DI123" s="2"/>
      <c r="DJ123" s="2"/>
      <c r="DK123" s="2"/>
      <c r="DL123" s="1">
        <f t="shared" si="34"/>
        <v>841420.12587778072</v>
      </c>
      <c r="DM123" s="2"/>
      <c r="DN123" s="2"/>
      <c r="DO123" s="2"/>
      <c r="DP123" s="2"/>
      <c r="DQ123" s="2"/>
      <c r="DR123" s="2"/>
      <c r="DS123" s="1">
        <f t="shared" si="35"/>
        <v>447160.15260018001</v>
      </c>
      <c r="DT123" s="2"/>
      <c r="DU123" s="2"/>
      <c r="DV123" s="2"/>
      <c r="DW123" s="2"/>
      <c r="DX123" s="2"/>
      <c r="DY123" s="2"/>
      <c r="DZ123" s="2"/>
      <c r="EA123" s="2"/>
      <c r="EB123" s="1">
        <f t="shared" si="36"/>
        <v>52379.755484714959</v>
      </c>
      <c r="EC123" s="2"/>
      <c r="ED123" s="2"/>
      <c r="EE123" s="1">
        <f t="shared" si="37"/>
        <v>106299.17915108959</v>
      </c>
      <c r="EF123" s="2"/>
      <c r="EG123" s="1">
        <f t="shared" si="37"/>
        <v>381084.48996900447</v>
      </c>
      <c r="EH123" s="2"/>
      <c r="HW123" s="4"/>
      <c r="HX123" s="2">
        <f t="shared" si="41"/>
        <v>1569928.6903367168</v>
      </c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1">
        <f t="shared" si="38"/>
        <v>2320551.1156240692</v>
      </c>
      <c r="LU123" s="1">
        <f t="shared" si="39"/>
        <v>1707863.3546294924</v>
      </c>
    </row>
    <row r="124" spans="1:333">
      <c r="A124" s="1">
        <v>1487</v>
      </c>
      <c r="B124" s="1">
        <f t="shared" si="21"/>
        <v>10454880.420102956</v>
      </c>
      <c r="C124" s="1">
        <f t="shared" si="23"/>
        <v>2918040.2650986547</v>
      </c>
      <c r="K124" s="1">
        <f t="shared" si="24"/>
        <v>1246065.4351192126</v>
      </c>
      <c r="U124" s="1">
        <f t="shared" si="25"/>
        <v>1300347.0485991961</v>
      </c>
      <c r="AH124" s="1">
        <f t="shared" si="26"/>
        <v>3192669.6915663946</v>
      </c>
      <c r="AT124" s="1">
        <f t="shared" si="27"/>
        <v>1074473.9140867859</v>
      </c>
      <c r="BC124" s="1">
        <f t="shared" si="28"/>
        <v>723284.06563271128</v>
      </c>
      <c r="BI124" s="4">
        <f t="shared" si="22"/>
        <v>6664062.4661694458</v>
      </c>
      <c r="BJ124" s="2">
        <f t="shared" si="40"/>
        <v>662218.18331999611</v>
      </c>
      <c r="BK124" s="2"/>
      <c r="BL124" s="2"/>
      <c r="BM124" s="2"/>
      <c r="BN124" s="2"/>
      <c r="BO124" s="2"/>
      <c r="BP124" s="2"/>
      <c r="BQ124" s="1">
        <f t="shared" si="29"/>
        <v>559638.02209848224</v>
      </c>
      <c r="BR124" s="2"/>
      <c r="BS124" s="2"/>
      <c r="BT124" s="2"/>
      <c r="BU124" s="2"/>
      <c r="BV124" s="2"/>
      <c r="BW124" s="2"/>
      <c r="BX124" s="2"/>
      <c r="BY124" s="2"/>
      <c r="BZ124" s="1">
        <f t="shared" si="30"/>
        <v>1205783.0188532472</v>
      </c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1">
        <f t="shared" si="31"/>
        <v>401921.22960961831</v>
      </c>
      <c r="CU124" s="2"/>
      <c r="CV124" s="2"/>
      <c r="CW124" s="2"/>
      <c r="CX124" s="1">
        <f t="shared" si="32"/>
        <v>1280988.2214758405</v>
      </c>
      <c r="CY124" s="2"/>
      <c r="CZ124" s="2"/>
      <c r="DA124" s="2"/>
      <c r="DB124" s="2"/>
      <c r="DC124" s="2"/>
      <c r="DD124" s="2"/>
      <c r="DE124" s="1">
        <f t="shared" si="33"/>
        <v>717155.37546990404</v>
      </c>
      <c r="DF124" s="2"/>
      <c r="DG124" s="2"/>
      <c r="DH124" s="2"/>
      <c r="DI124" s="2"/>
      <c r="DJ124" s="2"/>
      <c r="DK124" s="2"/>
      <c r="DL124" s="1">
        <f t="shared" si="34"/>
        <v>844280.95430576522</v>
      </c>
      <c r="DM124" s="2"/>
      <c r="DN124" s="2"/>
      <c r="DO124" s="2"/>
      <c r="DP124" s="2"/>
      <c r="DQ124" s="2"/>
      <c r="DR124" s="2"/>
      <c r="DS124" s="1">
        <f t="shared" si="35"/>
        <v>450290.27366838121</v>
      </c>
      <c r="DT124" s="2"/>
      <c r="DU124" s="2"/>
      <c r="DV124" s="2"/>
      <c r="DW124" s="2"/>
      <c r="DX124" s="2"/>
      <c r="DY124" s="2"/>
      <c r="DZ124" s="2"/>
      <c r="EA124" s="2"/>
      <c r="EB124" s="1">
        <f t="shared" si="36"/>
        <v>52746.413773107961</v>
      </c>
      <c r="EC124" s="2"/>
      <c r="ED124" s="2"/>
      <c r="EE124" s="1">
        <f t="shared" si="37"/>
        <v>106660.5963602033</v>
      </c>
      <c r="EF124" s="2"/>
      <c r="EG124" s="1">
        <f t="shared" si="37"/>
        <v>382380.17723489914</v>
      </c>
      <c r="EH124" s="2"/>
      <c r="HW124" s="4"/>
      <c r="HX124" s="2">
        <f t="shared" si="41"/>
        <v>1576993.369443232</v>
      </c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1">
        <f t="shared" si="38"/>
        <v>2328440.9894171911</v>
      </c>
      <c r="LU124" s="1">
        <f t="shared" si="39"/>
        <v>1713670.0900352327</v>
      </c>
    </row>
    <row r="125" spans="1:333">
      <c r="A125" s="1">
        <v>1488</v>
      </c>
      <c r="B125" s="1">
        <f t="shared" si="21"/>
        <v>10493228.067263396</v>
      </c>
      <c r="C125" s="1">
        <f t="shared" si="23"/>
        <v>2927961.6019999902</v>
      </c>
      <c r="K125" s="1">
        <f t="shared" si="24"/>
        <v>1251672.7295772489</v>
      </c>
      <c r="U125" s="1">
        <f t="shared" si="25"/>
        <v>1306198.6103178924</v>
      </c>
      <c r="AH125" s="1">
        <f t="shared" si="26"/>
        <v>3203524.7685177205</v>
      </c>
      <c r="AT125" s="1">
        <f t="shared" si="27"/>
        <v>1078127.125394681</v>
      </c>
      <c r="BC125" s="1">
        <f t="shared" si="28"/>
        <v>725743.23145586252</v>
      </c>
      <c r="BI125" s="4">
        <f t="shared" si="22"/>
        <v>6692943.835609938</v>
      </c>
      <c r="BJ125" s="2">
        <f t="shared" si="40"/>
        <v>664933.27787160804</v>
      </c>
      <c r="BK125" s="2"/>
      <c r="BL125" s="2"/>
      <c r="BM125" s="2"/>
      <c r="BN125" s="2"/>
      <c r="BO125" s="2"/>
      <c r="BP125" s="2"/>
      <c r="BQ125" s="1">
        <f t="shared" si="29"/>
        <v>561149.04475814814</v>
      </c>
      <c r="BR125" s="2"/>
      <c r="BS125" s="2"/>
      <c r="BT125" s="2"/>
      <c r="BU125" s="2"/>
      <c r="BV125" s="2"/>
      <c r="BW125" s="2"/>
      <c r="BX125" s="2"/>
      <c r="BY125" s="2"/>
      <c r="BZ125" s="1">
        <f t="shared" si="30"/>
        <v>1214223.4999852197</v>
      </c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1">
        <f t="shared" si="31"/>
        <v>403287.76179029106</v>
      </c>
      <c r="CU125" s="2"/>
      <c r="CV125" s="2"/>
      <c r="CW125" s="2"/>
      <c r="CX125" s="1">
        <f t="shared" si="32"/>
        <v>1285343.5814288585</v>
      </c>
      <c r="CY125" s="2"/>
      <c r="CZ125" s="2"/>
      <c r="DA125" s="2"/>
      <c r="DB125" s="2"/>
      <c r="DC125" s="2"/>
      <c r="DD125" s="2"/>
      <c r="DE125" s="1">
        <f t="shared" si="33"/>
        <v>719593.70374650182</v>
      </c>
      <c r="DF125" s="2"/>
      <c r="DG125" s="2"/>
      <c r="DH125" s="2"/>
      <c r="DI125" s="2"/>
      <c r="DJ125" s="2"/>
      <c r="DK125" s="2"/>
      <c r="DL125" s="1">
        <f t="shared" si="34"/>
        <v>847151.50955040485</v>
      </c>
      <c r="DM125" s="2"/>
      <c r="DN125" s="2"/>
      <c r="DO125" s="2"/>
      <c r="DP125" s="2"/>
      <c r="DQ125" s="2"/>
      <c r="DR125" s="2"/>
      <c r="DS125" s="1">
        <f t="shared" si="35"/>
        <v>453442.30558405985</v>
      </c>
      <c r="DT125" s="2"/>
      <c r="DU125" s="2"/>
      <c r="DV125" s="2"/>
      <c r="DW125" s="2"/>
      <c r="DX125" s="2"/>
      <c r="DY125" s="2"/>
      <c r="DZ125" s="2"/>
      <c r="EA125" s="2"/>
      <c r="EB125" s="1">
        <f t="shared" si="36"/>
        <v>53115.638669519714</v>
      </c>
      <c r="EC125" s="2"/>
      <c r="ED125" s="2"/>
      <c r="EE125" s="1">
        <f t="shared" si="37"/>
        <v>107023.242387828</v>
      </c>
      <c r="EF125" s="2"/>
      <c r="EG125" s="1">
        <f t="shared" si="37"/>
        <v>383680.26983749779</v>
      </c>
      <c r="EH125" s="2"/>
      <c r="HW125" s="4"/>
      <c r="HX125" s="2">
        <f t="shared" si="41"/>
        <v>1584089.8396057265</v>
      </c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1">
        <f t="shared" si="38"/>
        <v>2336357.6887812098</v>
      </c>
      <c r="LU125" s="1">
        <f t="shared" si="39"/>
        <v>1719496.5683413525</v>
      </c>
    </row>
    <row r="126" spans="1:333">
      <c r="A126" s="1">
        <v>1489</v>
      </c>
      <c r="B126" s="1">
        <f t="shared" si="21"/>
        <v>10531718.701165976</v>
      </c>
      <c r="C126" s="1">
        <f t="shared" si="23"/>
        <v>2937916.6714467905</v>
      </c>
      <c r="K126" s="1">
        <f t="shared" si="24"/>
        <v>1257305.2568603465</v>
      </c>
      <c r="U126" s="1">
        <f t="shared" si="25"/>
        <v>1312076.5040643229</v>
      </c>
      <c r="AH126" s="1">
        <f t="shared" si="26"/>
        <v>3214416.7527306811</v>
      </c>
      <c r="AT126" s="1">
        <f t="shared" si="27"/>
        <v>1081792.7576210231</v>
      </c>
      <c r="BC126" s="1">
        <f t="shared" si="28"/>
        <v>728210.75844281248</v>
      </c>
      <c r="BI126" s="4">
        <f t="shared" si="22"/>
        <v>6721967.3068134515</v>
      </c>
      <c r="BJ126" s="2">
        <f t="shared" si="40"/>
        <v>667659.5043108816</v>
      </c>
      <c r="BK126" s="2"/>
      <c r="BL126" s="2"/>
      <c r="BM126" s="2"/>
      <c r="BN126" s="2"/>
      <c r="BO126" s="2"/>
      <c r="BP126" s="2"/>
      <c r="BQ126" s="1">
        <f t="shared" si="29"/>
        <v>562664.14717899507</v>
      </c>
      <c r="BR126" s="2"/>
      <c r="BS126" s="2"/>
      <c r="BT126" s="2"/>
      <c r="BU126" s="2"/>
      <c r="BV126" s="2"/>
      <c r="BW126" s="2"/>
      <c r="BX126" s="2"/>
      <c r="BY126" s="2"/>
      <c r="BZ126" s="1">
        <f t="shared" si="30"/>
        <v>1222723.0644851162</v>
      </c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1">
        <f t="shared" si="31"/>
        <v>404658.94018037809</v>
      </c>
      <c r="CU126" s="2"/>
      <c r="CV126" s="2"/>
      <c r="CW126" s="2"/>
      <c r="CX126" s="1">
        <f t="shared" si="32"/>
        <v>1289713.7496057167</v>
      </c>
      <c r="CY126" s="2"/>
      <c r="CZ126" s="2"/>
      <c r="DA126" s="2"/>
      <c r="DB126" s="2"/>
      <c r="DC126" s="2"/>
      <c r="DD126" s="2"/>
      <c r="DE126" s="1">
        <f t="shared" si="33"/>
        <v>722040.32233924</v>
      </c>
      <c r="DF126" s="2"/>
      <c r="DG126" s="2"/>
      <c r="DH126" s="2"/>
      <c r="DI126" s="2"/>
      <c r="DJ126" s="2"/>
      <c r="DK126" s="2"/>
      <c r="DL126" s="1">
        <f t="shared" si="34"/>
        <v>850031.82468287623</v>
      </c>
      <c r="DM126" s="2"/>
      <c r="DN126" s="2"/>
      <c r="DO126" s="2"/>
      <c r="DP126" s="2"/>
      <c r="DQ126" s="2"/>
      <c r="DR126" s="2"/>
      <c r="DS126" s="1">
        <f t="shared" si="35"/>
        <v>456616.40172314824</v>
      </c>
      <c r="DT126" s="2"/>
      <c r="DU126" s="2"/>
      <c r="DV126" s="2"/>
      <c r="DW126" s="2"/>
      <c r="DX126" s="2"/>
      <c r="DY126" s="2"/>
      <c r="DZ126" s="2"/>
      <c r="EA126" s="2"/>
      <c r="EB126" s="1">
        <f t="shared" si="36"/>
        <v>53487.448140206347</v>
      </c>
      <c r="EC126" s="2"/>
      <c r="ED126" s="2"/>
      <c r="EE126" s="1">
        <f t="shared" si="37"/>
        <v>107387.12141194662</v>
      </c>
      <c r="EF126" s="2"/>
      <c r="EG126" s="1">
        <f t="shared" si="37"/>
        <v>384984.78275494534</v>
      </c>
      <c r="EH126" s="2"/>
      <c r="HW126" s="4"/>
      <c r="HX126" s="2">
        <f t="shared" si="41"/>
        <v>1591218.2438839523</v>
      </c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1">
        <f t="shared" si="38"/>
        <v>2344301.3049230659</v>
      </c>
      <c r="LU126" s="1">
        <f t="shared" si="39"/>
        <v>1725342.8566737133</v>
      </c>
    </row>
    <row r="127" spans="1:333">
      <c r="A127" s="1">
        <v>1490</v>
      </c>
      <c r="B127" s="1">
        <f t="shared" si="21"/>
        <v>10570352.864686958</v>
      </c>
      <c r="C127" s="1">
        <f t="shared" si="23"/>
        <v>2947905.5881297099</v>
      </c>
      <c r="K127" s="1">
        <f t="shared" si="24"/>
        <v>1262963.130516218</v>
      </c>
      <c r="U127" s="1">
        <f t="shared" si="25"/>
        <v>1317980.8483326123</v>
      </c>
      <c r="AH127" s="1">
        <f t="shared" si="26"/>
        <v>3225345.7696899655</v>
      </c>
      <c r="AT127" s="1">
        <f t="shared" si="27"/>
        <v>1085470.8529969347</v>
      </c>
      <c r="BC127" s="1">
        <f t="shared" si="28"/>
        <v>730686.67502151814</v>
      </c>
      <c r="BI127" s="4">
        <f t="shared" si="22"/>
        <v>6751133.6692982633</v>
      </c>
      <c r="BJ127" s="2">
        <f t="shared" si="40"/>
        <v>670396.90827855619</v>
      </c>
      <c r="BK127" s="2"/>
      <c r="BL127" s="2"/>
      <c r="BM127" s="2"/>
      <c r="BN127" s="2"/>
      <c r="BO127" s="2"/>
      <c r="BP127" s="2"/>
      <c r="BQ127" s="1">
        <f t="shared" si="29"/>
        <v>564183.34037637827</v>
      </c>
      <c r="BR127" s="2"/>
      <c r="BS127" s="2"/>
      <c r="BT127" s="2"/>
      <c r="BU127" s="2"/>
      <c r="BV127" s="2"/>
      <c r="BW127" s="2"/>
      <c r="BX127" s="2"/>
      <c r="BY127" s="2"/>
      <c r="BZ127" s="1">
        <f t="shared" si="30"/>
        <v>1231282.1259365119</v>
      </c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1">
        <f t="shared" si="31"/>
        <v>406034.78057699138</v>
      </c>
      <c r="CU127" s="2"/>
      <c r="CV127" s="2"/>
      <c r="CW127" s="2"/>
      <c r="CX127" s="1">
        <f t="shared" si="32"/>
        <v>1294098.7763543762</v>
      </c>
      <c r="CY127" s="2"/>
      <c r="CZ127" s="2"/>
      <c r="DA127" s="2"/>
      <c r="DB127" s="2"/>
      <c r="DC127" s="2"/>
      <c r="DD127" s="2"/>
      <c r="DE127" s="1">
        <f t="shared" si="33"/>
        <v>724495.2594351935</v>
      </c>
      <c r="DF127" s="2"/>
      <c r="DG127" s="2"/>
      <c r="DH127" s="2"/>
      <c r="DI127" s="2"/>
      <c r="DJ127" s="2"/>
      <c r="DK127" s="2"/>
      <c r="DL127" s="1">
        <f t="shared" si="34"/>
        <v>852921.93288679805</v>
      </c>
      <c r="DM127" s="2"/>
      <c r="DN127" s="2"/>
      <c r="DO127" s="2"/>
      <c r="DP127" s="2"/>
      <c r="DQ127" s="2"/>
      <c r="DR127" s="2"/>
      <c r="DS127" s="1">
        <f t="shared" si="35"/>
        <v>459812.71653521026</v>
      </c>
      <c r="DT127" s="2"/>
      <c r="DU127" s="2"/>
      <c r="DV127" s="2"/>
      <c r="DW127" s="2"/>
      <c r="DX127" s="2"/>
      <c r="DY127" s="2"/>
      <c r="DZ127" s="2"/>
      <c r="EA127" s="2"/>
      <c r="EB127" s="1">
        <f t="shared" si="36"/>
        <v>53861.860277187785</v>
      </c>
      <c r="EC127" s="2"/>
      <c r="ED127" s="2"/>
      <c r="EE127" s="1">
        <f t="shared" si="37"/>
        <v>107752.23762474724</v>
      </c>
      <c r="EF127" s="2"/>
      <c r="EG127" s="1">
        <f t="shared" si="37"/>
        <v>386293.7310163122</v>
      </c>
      <c r="EH127" s="2"/>
      <c r="HW127" s="4"/>
      <c r="HX127" s="2">
        <f t="shared" si="41"/>
        <v>1598378.7259814299</v>
      </c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1">
        <f t="shared" si="38"/>
        <v>2352271.9293598044</v>
      </c>
      <c r="LU127" s="1">
        <f t="shared" si="39"/>
        <v>1731209.022386404</v>
      </c>
    </row>
    <row r="128" spans="1:333">
      <c r="A128" s="1">
        <v>1491</v>
      </c>
      <c r="B128" s="1">
        <f t="shared" si="21"/>
        <v>10609131.102803627</v>
      </c>
      <c r="C128" s="1">
        <f t="shared" si="23"/>
        <v>2957928.4671293511</v>
      </c>
      <c r="K128" s="1">
        <f t="shared" si="24"/>
        <v>1268646.464603541</v>
      </c>
      <c r="U128" s="1">
        <f t="shared" si="25"/>
        <v>1323911.762150109</v>
      </c>
      <c r="AH128" s="1">
        <f t="shared" si="26"/>
        <v>3236311.9453069116</v>
      </c>
      <c r="AT128" s="1">
        <f t="shared" si="27"/>
        <v>1089161.4538971244</v>
      </c>
      <c r="BC128" s="1">
        <f t="shared" si="28"/>
        <v>733171.00971659133</v>
      </c>
      <c r="BI128" s="4">
        <f t="shared" si="22"/>
        <v>6780443.7174013052</v>
      </c>
      <c r="BJ128" s="2">
        <f t="shared" si="40"/>
        <v>673145.53560249822</v>
      </c>
      <c r="BK128" s="2"/>
      <c r="BL128" s="2"/>
      <c r="BM128" s="2"/>
      <c r="BN128" s="2"/>
      <c r="BO128" s="2"/>
      <c r="BP128" s="2"/>
      <c r="BQ128" s="1">
        <f t="shared" si="29"/>
        <v>565706.63539539441</v>
      </c>
      <c r="BR128" s="2"/>
      <c r="BS128" s="2"/>
      <c r="BT128" s="2"/>
      <c r="BU128" s="2"/>
      <c r="BV128" s="2"/>
      <c r="BW128" s="2"/>
      <c r="BX128" s="2"/>
      <c r="BY128" s="2"/>
      <c r="BZ128" s="1">
        <f t="shared" si="30"/>
        <v>1239901.1008180673</v>
      </c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1">
        <f t="shared" si="31"/>
        <v>407415.29883095319</v>
      </c>
      <c r="CU128" s="2"/>
      <c r="CV128" s="2"/>
      <c r="CW128" s="2"/>
      <c r="CX128" s="1">
        <f t="shared" si="32"/>
        <v>1298498.7121939813</v>
      </c>
      <c r="CY128" s="2"/>
      <c r="CZ128" s="2"/>
      <c r="DA128" s="2"/>
      <c r="DB128" s="2"/>
      <c r="DC128" s="2"/>
      <c r="DD128" s="2"/>
      <c r="DE128" s="1">
        <f t="shared" si="33"/>
        <v>726958.54331727326</v>
      </c>
      <c r="DF128" s="2"/>
      <c r="DG128" s="2"/>
      <c r="DH128" s="2"/>
      <c r="DI128" s="2"/>
      <c r="DJ128" s="2"/>
      <c r="DK128" s="2"/>
      <c r="DL128" s="1">
        <f t="shared" si="34"/>
        <v>855821.86745861324</v>
      </c>
      <c r="DM128" s="2"/>
      <c r="DN128" s="2"/>
      <c r="DO128" s="2"/>
      <c r="DP128" s="2"/>
      <c r="DQ128" s="2"/>
      <c r="DR128" s="2"/>
      <c r="DS128" s="1">
        <f t="shared" si="35"/>
        <v>463031.40555095667</v>
      </c>
      <c r="DT128" s="2"/>
      <c r="DU128" s="2"/>
      <c r="DV128" s="2"/>
      <c r="DW128" s="2"/>
      <c r="DX128" s="2"/>
      <c r="DY128" s="2"/>
      <c r="DZ128" s="2"/>
      <c r="EA128" s="2"/>
      <c r="EB128" s="1">
        <f t="shared" si="36"/>
        <v>54238.893299128096</v>
      </c>
      <c r="EC128" s="2"/>
      <c r="ED128" s="2"/>
      <c r="EE128" s="1">
        <f t="shared" si="37"/>
        <v>108118.59523267139</v>
      </c>
      <c r="EF128" s="2"/>
      <c r="EG128" s="1">
        <f t="shared" si="37"/>
        <v>387607.1297017677</v>
      </c>
      <c r="EH128" s="2"/>
      <c r="HW128" s="4"/>
      <c r="HX128" s="2">
        <f t="shared" si="41"/>
        <v>1605571.4302483462</v>
      </c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1">
        <f t="shared" si="38"/>
        <v>2360269.6539196279</v>
      </c>
      <c r="LU128" s="1">
        <f t="shared" si="39"/>
        <v>1737095.133062518</v>
      </c>
    </row>
    <row r="129" spans="1:333">
      <c r="A129" s="1">
        <v>1492</v>
      </c>
      <c r="B129" s="1">
        <f t="shared" si="21"/>
        <v>10648053.962602589</v>
      </c>
      <c r="C129" s="1">
        <f t="shared" si="23"/>
        <v>2967985.4239175911</v>
      </c>
      <c r="K129" s="1">
        <f t="shared" si="24"/>
        <v>1274355.3736942569</v>
      </c>
      <c r="U129" s="1">
        <f t="shared" si="25"/>
        <v>1329869.3650797845</v>
      </c>
      <c r="AH129" s="1">
        <f t="shared" si="26"/>
        <v>3247315.4059209554</v>
      </c>
      <c r="AT129" s="1">
        <f t="shared" si="27"/>
        <v>1092864.6028403747</v>
      </c>
      <c r="BC129" s="1">
        <f t="shared" si="28"/>
        <v>735663.79114962777</v>
      </c>
      <c r="BI129" s="4">
        <f t="shared" si="22"/>
        <v>6809898.2503094189</v>
      </c>
      <c r="BJ129" s="2">
        <f t="shared" si="40"/>
        <v>675905.43229846843</v>
      </c>
      <c r="BK129" s="2"/>
      <c r="BL129" s="2"/>
      <c r="BM129" s="2"/>
      <c r="BN129" s="2"/>
      <c r="BO129" s="2"/>
      <c r="BP129" s="2"/>
      <c r="BQ129" s="1">
        <f t="shared" si="29"/>
        <v>567234.04331096192</v>
      </c>
      <c r="BR129" s="2"/>
      <c r="BS129" s="2"/>
      <c r="BT129" s="2"/>
      <c r="BU129" s="2"/>
      <c r="BV129" s="2"/>
      <c r="BW129" s="2"/>
      <c r="BX129" s="2"/>
      <c r="BY129" s="2"/>
      <c r="BZ129" s="1">
        <f t="shared" si="30"/>
        <v>1248580.4085237936</v>
      </c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1">
        <f t="shared" si="31"/>
        <v>408800.51084697846</v>
      </c>
      <c r="CU129" s="2"/>
      <c r="CV129" s="2"/>
      <c r="CW129" s="2"/>
      <c r="CX129" s="1">
        <f t="shared" si="32"/>
        <v>1302913.607815441</v>
      </c>
      <c r="CY129" s="2"/>
      <c r="CZ129" s="2"/>
      <c r="DA129" s="2"/>
      <c r="DB129" s="2"/>
      <c r="DC129" s="2"/>
      <c r="DD129" s="2"/>
      <c r="DE129" s="1">
        <f t="shared" si="33"/>
        <v>729430.20236455207</v>
      </c>
      <c r="DF129" s="2"/>
      <c r="DG129" s="2"/>
      <c r="DH129" s="2"/>
      <c r="DI129" s="2"/>
      <c r="DJ129" s="2"/>
      <c r="DK129" s="2"/>
      <c r="DL129" s="1">
        <f t="shared" si="34"/>
        <v>858731.66180797259</v>
      </c>
      <c r="DM129" s="2"/>
      <c r="DN129" s="2"/>
      <c r="DO129" s="2"/>
      <c r="DP129" s="2"/>
      <c r="DQ129" s="2"/>
      <c r="DR129" s="2"/>
      <c r="DS129" s="1">
        <f t="shared" si="35"/>
        <v>466272.62538981333</v>
      </c>
      <c r="DT129" s="2"/>
      <c r="DU129" s="2"/>
      <c r="DV129" s="2"/>
      <c r="DW129" s="2"/>
      <c r="DX129" s="2"/>
      <c r="DY129" s="2"/>
      <c r="DZ129" s="2"/>
      <c r="EA129" s="2"/>
      <c r="EB129" s="1">
        <f t="shared" si="36"/>
        <v>54618.565552221989</v>
      </c>
      <c r="EC129" s="2"/>
      <c r="ED129" s="2"/>
      <c r="EE129" s="1">
        <f t="shared" si="37"/>
        <v>108486.19845646247</v>
      </c>
      <c r="EF129" s="2"/>
      <c r="EG129" s="1">
        <f t="shared" si="37"/>
        <v>388924.99394275376</v>
      </c>
      <c r="EH129" s="2"/>
      <c r="HW129" s="4"/>
      <c r="HX129" s="2">
        <f t="shared" si="41"/>
        <v>1612796.5016844636</v>
      </c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1">
        <f t="shared" si="38"/>
        <v>2368294.570742955</v>
      </c>
      <c r="LU129" s="1">
        <f t="shared" si="39"/>
        <v>1743001.2565149306</v>
      </c>
    </row>
    <row r="130" spans="1:333">
      <c r="A130" s="1">
        <v>1493</v>
      </c>
      <c r="B130" s="1">
        <f t="shared" si="21"/>
        <v>10687121.993288092</v>
      </c>
      <c r="C130" s="1">
        <f t="shared" si="23"/>
        <v>2978076.5743589113</v>
      </c>
      <c r="K130" s="1">
        <f t="shared" si="24"/>
        <v>1280089.972875881</v>
      </c>
      <c r="U130" s="1">
        <f t="shared" si="25"/>
        <v>1335853.7772226436</v>
      </c>
      <c r="AH130" s="1">
        <f t="shared" si="26"/>
        <v>3258356.2783010867</v>
      </c>
      <c r="AT130" s="1">
        <f t="shared" si="27"/>
        <v>1096580.3424900321</v>
      </c>
      <c r="BC130" s="1">
        <f t="shared" si="28"/>
        <v>738165.04803953657</v>
      </c>
      <c r="BI130" s="4">
        <f t="shared" si="22"/>
        <v>6839498.07209084</v>
      </c>
      <c r="BJ130" s="2">
        <f t="shared" si="40"/>
        <v>678676.64457089209</v>
      </c>
      <c r="BK130" s="2"/>
      <c r="BL130" s="2"/>
      <c r="BM130" s="2"/>
      <c r="BN130" s="2"/>
      <c r="BO130" s="2"/>
      <c r="BP130" s="2"/>
      <c r="BQ130" s="1">
        <f t="shared" si="29"/>
        <v>568765.57522790146</v>
      </c>
      <c r="BR130" s="2"/>
      <c r="BS130" s="2"/>
      <c r="BT130" s="2"/>
      <c r="BU130" s="2"/>
      <c r="BV130" s="2"/>
      <c r="BW130" s="2"/>
      <c r="BX130" s="2"/>
      <c r="BY130" s="2"/>
      <c r="BZ130" s="1">
        <f t="shared" si="30"/>
        <v>1257320.4713834601</v>
      </c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1">
        <f t="shared" si="31"/>
        <v>410190.4325838582</v>
      </c>
      <c r="CU130" s="2"/>
      <c r="CV130" s="2"/>
      <c r="CW130" s="2"/>
      <c r="CX130" s="1">
        <f t="shared" si="32"/>
        <v>1307343.5140820136</v>
      </c>
      <c r="CY130" s="2"/>
      <c r="CZ130" s="2"/>
      <c r="DA130" s="2"/>
      <c r="DB130" s="2"/>
      <c r="DC130" s="2"/>
      <c r="DD130" s="2"/>
      <c r="DE130" s="1">
        <f t="shared" si="33"/>
        <v>731910.26505259157</v>
      </c>
      <c r="DF130" s="2"/>
      <c r="DG130" s="2"/>
      <c r="DH130" s="2"/>
      <c r="DI130" s="2"/>
      <c r="DJ130" s="2"/>
      <c r="DK130" s="2"/>
      <c r="DL130" s="1">
        <f t="shared" si="34"/>
        <v>861651.34945811972</v>
      </c>
      <c r="DM130" s="2"/>
      <c r="DN130" s="2"/>
      <c r="DO130" s="2"/>
      <c r="DP130" s="2"/>
      <c r="DQ130" s="2"/>
      <c r="DR130" s="2"/>
      <c r="DS130" s="1">
        <f t="shared" si="35"/>
        <v>469536.53376754199</v>
      </c>
      <c r="DT130" s="2"/>
      <c r="DU130" s="2"/>
      <c r="DV130" s="2"/>
      <c r="DW130" s="2"/>
      <c r="DX130" s="2"/>
      <c r="DY130" s="2"/>
      <c r="DZ130" s="2"/>
      <c r="EA130" s="2"/>
      <c r="EB130" s="1">
        <f t="shared" si="36"/>
        <v>55000.895511087539</v>
      </c>
      <c r="EC130" s="2"/>
      <c r="ED130" s="2"/>
      <c r="EE130" s="1">
        <f t="shared" si="37"/>
        <v>108855.05153121446</v>
      </c>
      <c r="EF130" s="2"/>
      <c r="EG130" s="1">
        <f t="shared" si="37"/>
        <v>390247.33892215916</v>
      </c>
      <c r="EH130" s="2"/>
      <c r="HW130" s="4"/>
      <c r="HX130" s="2">
        <f t="shared" si="41"/>
        <v>1620054.0859420437</v>
      </c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1">
        <f t="shared" si="38"/>
        <v>2376346.772283481</v>
      </c>
      <c r="LU130" s="1">
        <f t="shared" si="39"/>
        <v>1748927.4607870816</v>
      </c>
    </row>
    <row r="131" spans="1:333">
      <c r="A131" s="1">
        <v>1494</v>
      </c>
      <c r="B131" s="1">
        <f t="shared" si="21"/>
        <v>10726335.746190378</v>
      </c>
      <c r="C131" s="1">
        <f t="shared" si="23"/>
        <v>2988202.0347117316</v>
      </c>
      <c r="K131" s="1">
        <f t="shared" si="24"/>
        <v>1285850.3777538224</v>
      </c>
      <c r="U131" s="1">
        <f t="shared" si="25"/>
        <v>1341865.1192201455</v>
      </c>
      <c r="AH131" s="1">
        <f t="shared" si="26"/>
        <v>3269434.6896473109</v>
      </c>
      <c r="AT131" s="1">
        <f t="shared" si="27"/>
        <v>1100308.7156544982</v>
      </c>
      <c r="BC131" s="1">
        <f t="shared" si="28"/>
        <v>740674.80920287105</v>
      </c>
      <c r="BI131" s="4">
        <f t="shared" si="22"/>
        <v>6869243.9917268734</v>
      </c>
      <c r="BJ131" s="2">
        <f t="shared" si="40"/>
        <v>681459.21881363273</v>
      </c>
      <c r="BK131" s="2"/>
      <c r="BL131" s="2"/>
      <c r="BM131" s="2"/>
      <c r="BN131" s="2"/>
      <c r="BO131" s="2"/>
      <c r="BP131" s="2"/>
      <c r="BQ131" s="1">
        <f t="shared" si="29"/>
        <v>570301.24228101678</v>
      </c>
      <c r="BR131" s="2"/>
      <c r="BS131" s="2"/>
      <c r="BT131" s="2"/>
      <c r="BU131" s="2"/>
      <c r="BV131" s="2"/>
      <c r="BW131" s="2"/>
      <c r="BX131" s="2"/>
      <c r="BY131" s="2"/>
      <c r="BZ131" s="1">
        <f t="shared" si="30"/>
        <v>1266121.7146831441</v>
      </c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1">
        <f t="shared" si="31"/>
        <v>411585.08005464333</v>
      </c>
      <c r="CU131" s="2"/>
      <c r="CV131" s="2"/>
      <c r="CW131" s="2"/>
      <c r="CX131" s="1">
        <f t="shared" si="32"/>
        <v>1311788.4820298925</v>
      </c>
      <c r="CY131" s="2"/>
      <c r="CZ131" s="2"/>
      <c r="DA131" s="2"/>
      <c r="DB131" s="2"/>
      <c r="DC131" s="2"/>
      <c r="DD131" s="2"/>
      <c r="DE131" s="1">
        <f t="shared" si="33"/>
        <v>734398.75995377044</v>
      </c>
      <c r="DF131" s="2"/>
      <c r="DG131" s="2"/>
      <c r="DH131" s="2"/>
      <c r="DI131" s="2"/>
      <c r="DJ131" s="2"/>
      <c r="DK131" s="2"/>
      <c r="DL131" s="1">
        <f t="shared" si="34"/>
        <v>864580.96404627734</v>
      </c>
      <c r="DM131" s="2"/>
      <c r="DN131" s="2"/>
      <c r="DO131" s="2"/>
      <c r="DP131" s="2"/>
      <c r="DQ131" s="2"/>
      <c r="DR131" s="2"/>
      <c r="DS131" s="1">
        <f t="shared" si="35"/>
        <v>472823.28950391471</v>
      </c>
      <c r="DT131" s="2"/>
      <c r="DU131" s="2"/>
      <c r="DV131" s="2"/>
      <c r="DW131" s="2"/>
      <c r="DX131" s="2"/>
      <c r="DY131" s="2"/>
      <c r="DZ131" s="2"/>
      <c r="EA131" s="2"/>
      <c r="EB131" s="1">
        <f t="shared" si="36"/>
        <v>55385.901779665146</v>
      </c>
      <c r="EC131" s="2"/>
      <c r="ED131" s="2"/>
      <c r="EE131" s="1">
        <f t="shared" si="37"/>
        <v>109225.1587064206</v>
      </c>
      <c r="EF131" s="2"/>
      <c r="EG131" s="1">
        <f t="shared" si="37"/>
        <v>391574.17987449456</v>
      </c>
      <c r="EH131" s="2"/>
      <c r="HW131" s="4"/>
      <c r="HX131" s="2">
        <f t="shared" si="41"/>
        <v>1627344.3293287829</v>
      </c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1">
        <f t="shared" si="38"/>
        <v>2384426.351309245</v>
      </c>
      <c r="LU131" s="1">
        <f t="shared" si="39"/>
        <v>1754873.8141537579</v>
      </c>
    </row>
    <row r="132" spans="1:333">
      <c r="A132" s="1">
        <v>1495</v>
      </c>
      <c r="B132" s="1">
        <f t="shared" si="21"/>
        <v>10765695.774774099</v>
      </c>
      <c r="C132" s="1">
        <f t="shared" si="23"/>
        <v>2998361.9216297516</v>
      </c>
      <c r="K132" s="1">
        <f t="shared" si="24"/>
        <v>1291636.7044537144</v>
      </c>
      <c r="U132" s="1">
        <f t="shared" si="25"/>
        <v>1347903.5122566361</v>
      </c>
      <c r="AH132" s="1">
        <f t="shared" si="26"/>
        <v>3280550.7675921121</v>
      </c>
      <c r="AT132" s="1">
        <f t="shared" si="27"/>
        <v>1104049.7652877236</v>
      </c>
      <c r="BC132" s="1">
        <f t="shared" si="28"/>
        <v>743193.10355416092</v>
      </c>
      <c r="BI132" s="4">
        <f t="shared" si="22"/>
        <v>6899136.8231437961</v>
      </c>
      <c r="BJ132" s="2">
        <f t="shared" si="40"/>
        <v>684253.20161076856</v>
      </c>
      <c r="BK132" s="2"/>
      <c r="BL132" s="2"/>
      <c r="BM132" s="2"/>
      <c r="BN132" s="2"/>
      <c r="BO132" s="2"/>
      <c r="BP132" s="2"/>
      <c r="BQ132" s="1">
        <f t="shared" si="29"/>
        <v>571841.05563517543</v>
      </c>
      <c r="BR132" s="2"/>
      <c r="BS132" s="2"/>
      <c r="BT132" s="2"/>
      <c r="BU132" s="2"/>
      <c r="BV132" s="2"/>
      <c r="BW132" s="2"/>
      <c r="BX132" s="2"/>
      <c r="BY132" s="2"/>
      <c r="BZ132" s="1">
        <f t="shared" si="30"/>
        <v>1274984.5666859259</v>
      </c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1">
        <f t="shared" si="31"/>
        <v>412984.46932682913</v>
      </c>
      <c r="CU132" s="2"/>
      <c r="CV132" s="2"/>
      <c r="CW132" s="2"/>
      <c r="CX132" s="1">
        <f t="shared" si="32"/>
        <v>1316248.5628687942</v>
      </c>
      <c r="CY132" s="2"/>
      <c r="CZ132" s="2"/>
      <c r="DA132" s="2"/>
      <c r="DB132" s="2"/>
      <c r="DC132" s="2"/>
      <c r="DD132" s="2"/>
      <c r="DE132" s="1">
        <f t="shared" si="33"/>
        <v>736895.71573761327</v>
      </c>
      <c r="DF132" s="2"/>
      <c r="DG132" s="2"/>
      <c r="DH132" s="2"/>
      <c r="DI132" s="2"/>
      <c r="DJ132" s="2"/>
      <c r="DK132" s="2"/>
      <c r="DL132" s="1">
        <f t="shared" si="34"/>
        <v>867520.5393240347</v>
      </c>
      <c r="DM132" s="2"/>
      <c r="DN132" s="2"/>
      <c r="DO132" s="2"/>
      <c r="DP132" s="2"/>
      <c r="DQ132" s="2"/>
      <c r="DR132" s="2"/>
      <c r="DS132" s="1">
        <f t="shared" si="35"/>
        <v>476133.05253044207</v>
      </c>
      <c r="DT132" s="2"/>
      <c r="DU132" s="2"/>
      <c r="DV132" s="2"/>
      <c r="DW132" s="2"/>
      <c r="DX132" s="2"/>
      <c r="DY132" s="2"/>
      <c r="DZ132" s="2"/>
      <c r="EA132" s="2"/>
      <c r="EB132" s="1">
        <f t="shared" si="36"/>
        <v>55773.603092122794</v>
      </c>
      <c r="EC132" s="2"/>
      <c r="ED132" s="2"/>
      <c r="EE132" s="1">
        <f t="shared" si="37"/>
        <v>109596.52424602244</v>
      </c>
      <c r="EF132" s="2"/>
      <c r="EG132" s="1">
        <f t="shared" si="37"/>
        <v>392905.53208606789</v>
      </c>
      <c r="EH132" s="2"/>
      <c r="HW132" s="4"/>
      <c r="HX132" s="2">
        <f t="shared" si="41"/>
        <v>1634667.3788107622</v>
      </c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1">
        <f t="shared" si="38"/>
        <v>2392533.4009036967</v>
      </c>
      <c r="LU132" s="1">
        <f t="shared" si="39"/>
        <v>1760840.3851218808</v>
      </c>
    </row>
    <row r="133" spans="1:333">
      <c r="A133" s="1">
        <v>1496</v>
      </c>
      <c r="B133" s="1">
        <f t="shared" si="21"/>
        <v>10805202.634646712</v>
      </c>
      <c r="C133" s="1">
        <f t="shared" si="23"/>
        <v>3008556.3521632929</v>
      </c>
      <c r="K133" s="1">
        <f t="shared" si="24"/>
        <v>1297449.069623756</v>
      </c>
      <c r="U133" s="1">
        <f t="shared" si="25"/>
        <v>1353969.0780617909</v>
      </c>
      <c r="AH133" s="1">
        <f t="shared" si="26"/>
        <v>3291704.6402019253</v>
      </c>
      <c r="AT133" s="1">
        <f t="shared" si="27"/>
        <v>1107803.534489702</v>
      </c>
      <c r="BC133" s="1">
        <f t="shared" si="28"/>
        <v>745719.96010624513</v>
      </c>
      <c r="BI133" s="4">
        <f t="shared" si="22"/>
        <v>6929177.3852449795</v>
      </c>
      <c r="BJ133" s="2">
        <f t="shared" si="40"/>
        <v>687058.63973737275</v>
      </c>
      <c r="BK133" s="2"/>
      <c r="BL133" s="2"/>
      <c r="BM133" s="2"/>
      <c r="BN133" s="2"/>
      <c r="BO133" s="2"/>
      <c r="BP133" s="2"/>
      <c r="BQ133" s="1">
        <f t="shared" si="29"/>
        <v>573385.02648539038</v>
      </c>
      <c r="BR133" s="2"/>
      <c r="BS133" s="2"/>
      <c r="BT133" s="2"/>
      <c r="BU133" s="2"/>
      <c r="BV133" s="2"/>
      <c r="BW133" s="2"/>
      <c r="BX133" s="2"/>
      <c r="BY133" s="2"/>
      <c r="BZ133" s="1">
        <f t="shared" si="30"/>
        <v>1283909.4586527273</v>
      </c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1">
        <f t="shared" si="31"/>
        <v>414388.6165225404</v>
      </c>
      <c r="CU133" s="2"/>
      <c r="CV133" s="2"/>
      <c r="CW133" s="2"/>
      <c r="CX133" s="1">
        <f t="shared" si="32"/>
        <v>1320723.8079825481</v>
      </c>
      <c r="CY133" s="2"/>
      <c r="CZ133" s="2"/>
      <c r="DA133" s="2"/>
      <c r="DB133" s="2"/>
      <c r="DC133" s="2"/>
      <c r="DD133" s="2"/>
      <c r="DE133" s="1">
        <f t="shared" si="33"/>
        <v>739401.16117112117</v>
      </c>
      <c r="DF133" s="2"/>
      <c r="DG133" s="2"/>
      <c r="DH133" s="2"/>
      <c r="DI133" s="2"/>
      <c r="DJ133" s="2"/>
      <c r="DK133" s="2"/>
      <c r="DL133" s="1">
        <f t="shared" si="34"/>
        <v>870470.10915773653</v>
      </c>
      <c r="DM133" s="2"/>
      <c r="DN133" s="2"/>
      <c r="DO133" s="2"/>
      <c r="DP133" s="2"/>
      <c r="DQ133" s="2"/>
      <c r="DR133" s="2"/>
      <c r="DS133" s="1">
        <f t="shared" si="35"/>
        <v>479465.9838981551</v>
      </c>
      <c r="DT133" s="2"/>
      <c r="DU133" s="2"/>
      <c r="DV133" s="2"/>
      <c r="DW133" s="2"/>
      <c r="DX133" s="2"/>
      <c r="DY133" s="2"/>
      <c r="DZ133" s="2"/>
      <c r="EA133" s="2"/>
      <c r="EB133" s="1">
        <f t="shared" si="36"/>
        <v>56164.01831376765</v>
      </c>
      <c r="EC133" s="2"/>
      <c r="ED133" s="2"/>
      <c r="EE133" s="1">
        <f t="shared" si="37"/>
        <v>109969.15242845892</v>
      </c>
      <c r="EF133" s="2"/>
      <c r="EG133" s="1">
        <f t="shared" si="37"/>
        <v>394241.41089516057</v>
      </c>
      <c r="EH133" s="2"/>
      <c r="HW133" s="4"/>
      <c r="HX133" s="2">
        <f t="shared" si="41"/>
        <v>1642023.3820154106</v>
      </c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1">
        <f t="shared" si="38"/>
        <v>2400668.0144667695</v>
      </c>
      <c r="LU133" s="1">
        <f t="shared" si="39"/>
        <v>1766827.2424312953</v>
      </c>
    </row>
    <row r="134" spans="1:333">
      <c r="A134" s="1">
        <v>1497</v>
      </c>
      <c r="B134" s="1">
        <f t="shared" si="21"/>
        <v>10844856.883566966</v>
      </c>
      <c r="C134" s="1">
        <f t="shared" si="23"/>
        <v>3018785.4437606484</v>
      </c>
      <c r="K134" s="1">
        <f t="shared" si="24"/>
        <v>1303287.5904370628</v>
      </c>
      <c r="U134" s="1">
        <f t="shared" si="25"/>
        <v>1360061.938913069</v>
      </c>
      <c r="AH134" s="1">
        <f t="shared" si="26"/>
        <v>3302896.4359786119</v>
      </c>
      <c r="AT134" s="1">
        <f t="shared" si="27"/>
        <v>1111570.0665069669</v>
      </c>
      <c r="BC134" s="1">
        <f t="shared" si="28"/>
        <v>748255.40797060647</v>
      </c>
      <c r="BI134" s="4">
        <f t="shared" si="22"/>
        <v>6959366.5019432008</v>
      </c>
      <c r="BJ134" s="2">
        <f t="shared" si="40"/>
        <v>689875.58016029594</v>
      </c>
      <c r="BK134" s="2"/>
      <c r="BL134" s="2"/>
      <c r="BM134" s="2"/>
      <c r="BN134" s="2"/>
      <c r="BO134" s="2"/>
      <c r="BP134" s="2"/>
      <c r="BQ134" s="1">
        <f t="shared" si="29"/>
        <v>574933.16605690087</v>
      </c>
      <c r="BR134" s="2"/>
      <c r="BS134" s="2"/>
      <c r="BT134" s="2"/>
      <c r="BU134" s="2"/>
      <c r="BV134" s="2"/>
      <c r="BW134" s="2"/>
      <c r="BX134" s="2"/>
      <c r="BY134" s="2"/>
      <c r="BZ134" s="1">
        <f t="shared" si="30"/>
        <v>1292896.8248632962</v>
      </c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1">
        <f t="shared" si="31"/>
        <v>415797.53781871707</v>
      </c>
      <c r="CU134" s="2"/>
      <c r="CV134" s="2"/>
      <c r="CW134" s="2"/>
      <c r="CX134" s="1">
        <f t="shared" si="32"/>
        <v>1325214.268929689</v>
      </c>
      <c r="CY134" s="2"/>
      <c r="CZ134" s="2"/>
      <c r="DA134" s="2"/>
      <c r="DB134" s="2"/>
      <c r="DC134" s="2"/>
      <c r="DD134" s="2"/>
      <c r="DE134" s="1">
        <f t="shared" si="33"/>
        <v>741915.125119103</v>
      </c>
      <c r="DF134" s="2"/>
      <c r="DG134" s="2"/>
      <c r="DH134" s="2"/>
      <c r="DI134" s="2"/>
      <c r="DJ134" s="2"/>
      <c r="DK134" s="2"/>
      <c r="DL134" s="1">
        <f t="shared" si="34"/>
        <v>873429.70752887288</v>
      </c>
      <c r="DM134" s="2"/>
      <c r="DN134" s="2"/>
      <c r="DO134" s="2"/>
      <c r="DP134" s="2"/>
      <c r="DQ134" s="2"/>
      <c r="DR134" s="2"/>
      <c r="DS134" s="1">
        <f t="shared" si="35"/>
        <v>482822.24578544212</v>
      </c>
      <c r="DT134" s="2"/>
      <c r="DU134" s="2"/>
      <c r="DV134" s="2"/>
      <c r="DW134" s="2"/>
      <c r="DX134" s="2"/>
      <c r="DY134" s="2"/>
      <c r="DZ134" s="2"/>
      <c r="EA134" s="2"/>
      <c r="EB134" s="1">
        <f t="shared" si="36"/>
        <v>56557.166441964015</v>
      </c>
      <c r="EC134" s="2"/>
      <c r="ED134" s="2"/>
      <c r="EE134" s="1">
        <f t="shared" si="37"/>
        <v>110343.04754671569</v>
      </c>
      <c r="EF134" s="2"/>
      <c r="EG134" s="1">
        <f t="shared" si="37"/>
        <v>395581.83169220417</v>
      </c>
      <c r="EH134" s="2"/>
      <c r="HW134" s="4"/>
      <c r="HX134" s="2">
        <f t="shared" si="41"/>
        <v>1649412.4872344797</v>
      </c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1">
        <f t="shared" si="38"/>
        <v>2408830.2857159567</v>
      </c>
      <c r="LU134" s="1">
        <f t="shared" si="39"/>
        <v>1772834.4550555618</v>
      </c>
    </row>
    <row r="135" spans="1:333">
      <c r="A135" s="1">
        <v>1498</v>
      </c>
      <c r="B135" s="1">
        <f t="shared" si="21"/>
        <v>10884659.081453379</v>
      </c>
      <c r="C135" s="1">
        <f t="shared" si="23"/>
        <v>3029049.3142694347</v>
      </c>
      <c r="K135" s="1">
        <f t="shared" si="24"/>
        <v>1309152.3845940295</v>
      </c>
      <c r="U135" s="1">
        <f t="shared" si="25"/>
        <v>1366182.2176381778</v>
      </c>
      <c r="AH135" s="1">
        <f t="shared" si="26"/>
        <v>3314126.2838609396</v>
      </c>
      <c r="AT135" s="1">
        <f t="shared" si="27"/>
        <v>1115349.4047330907</v>
      </c>
      <c r="BC135" s="1">
        <f t="shared" si="28"/>
        <v>750799.47635770659</v>
      </c>
      <c r="BI135" s="4">
        <f t="shared" si="22"/>
        <v>6989877.482143024</v>
      </c>
      <c r="BJ135" s="2">
        <f t="shared" si="40"/>
        <v>692704.0700389531</v>
      </c>
      <c r="BK135" s="2"/>
      <c r="BL135" s="2"/>
      <c r="BM135" s="2"/>
      <c r="BN135" s="2"/>
      <c r="BO135" s="2"/>
      <c r="BP135" s="2"/>
      <c r="BQ135" s="2">
        <f>BQ134*1.003</f>
        <v>576657.96555507148</v>
      </c>
      <c r="BR135" s="2"/>
      <c r="BS135" s="2"/>
      <c r="BT135" s="2"/>
      <c r="BU135" s="2"/>
      <c r="BV135" s="2"/>
      <c r="BW135" s="2"/>
      <c r="BX135" s="2"/>
      <c r="BY135" s="2"/>
      <c r="BZ135" s="1">
        <f t="shared" si="30"/>
        <v>1301947.1026373392</v>
      </c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1">
        <f t="shared" si="31"/>
        <v>417211.24944730074</v>
      </c>
      <c r="CU135" s="2"/>
      <c r="CV135" s="2"/>
      <c r="CW135" s="2"/>
      <c r="CX135" s="1">
        <f t="shared" si="32"/>
        <v>1329719.9974440499</v>
      </c>
      <c r="CY135" s="2"/>
      <c r="CZ135" s="2"/>
      <c r="DA135" s="2"/>
      <c r="DB135" s="2"/>
      <c r="DC135" s="2"/>
      <c r="DD135" s="2"/>
      <c r="DE135" s="1">
        <f t="shared" si="33"/>
        <v>744437.63654450804</v>
      </c>
      <c r="DF135" s="2"/>
      <c r="DG135" s="2"/>
      <c r="DH135" s="2"/>
      <c r="DI135" s="2"/>
      <c r="DJ135" s="2"/>
      <c r="DK135" s="2"/>
      <c r="DL135" s="1">
        <f t="shared" si="34"/>
        <v>876399.36853447114</v>
      </c>
      <c r="DM135" s="2"/>
      <c r="DN135" s="2"/>
      <c r="DO135" s="2"/>
      <c r="DP135" s="2"/>
      <c r="DQ135" s="2"/>
      <c r="DR135" s="2"/>
      <c r="DS135" s="1">
        <f t="shared" si="35"/>
        <v>486202.00150594016</v>
      </c>
      <c r="DT135" s="2"/>
      <c r="DU135" s="2"/>
      <c r="DV135" s="2"/>
      <c r="DW135" s="2"/>
      <c r="DX135" s="2"/>
      <c r="DY135" s="2"/>
      <c r="DZ135" s="2"/>
      <c r="EA135" s="2"/>
      <c r="EB135" s="1">
        <f t="shared" si="36"/>
        <v>56953.066607057757</v>
      </c>
      <c r="EC135" s="2"/>
      <c r="ED135" s="2"/>
      <c r="EE135" s="1">
        <f t="shared" si="37"/>
        <v>110718.21390837453</v>
      </c>
      <c r="EF135" s="2"/>
      <c r="EG135" s="1">
        <f t="shared" si="37"/>
        <v>396926.80991995771</v>
      </c>
      <c r="EH135" s="2"/>
      <c r="HW135" s="4"/>
      <c r="HX135" s="2">
        <f t="shared" si="41"/>
        <v>1656834.8434270348</v>
      </c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1">
        <f t="shared" si="38"/>
        <v>2417020.3086873912</v>
      </c>
      <c r="LU135" s="1">
        <f t="shared" si="39"/>
        <v>1778862.092202751</v>
      </c>
    </row>
    <row r="136" spans="1:333">
      <c r="A136" s="1">
        <v>1499</v>
      </c>
      <c r="B136" s="1">
        <f t="shared" si="21"/>
        <v>10924609.790392777</v>
      </c>
      <c r="C136" s="1">
        <f t="shared" si="23"/>
        <v>3039348.081937951</v>
      </c>
      <c r="K136" s="1">
        <f t="shared" si="24"/>
        <v>1315043.5703247027</v>
      </c>
      <c r="U136" s="1">
        <f t="shared" si="25"/>
        <v>1372330.0376175495</v>
      </c>
      <c r="AH136" s="1">
        <f t="shared" si="26"/>
        <v>3325394.313226067</v>
      </c>
      <c r="AT136" s="1">
        <f t="shared" si="27"/>
        <v>1119141.5927091832</v>
      </c>
      <c r="BC136" s="1">
        <f t="shared" si="28"/>
        <v>753352.19457732281</v>
      </c>
      <c r="BI136" s="4">
        <f t="shared" si="22"/>
        <v>7020539.6630598167</v>
      </c>
      <c r="BJ136" s="2">
        <f t="shared" si="40"/>
        <v>695544.15672611282</v>
      </c>
      <c r="BK136" s="2"/>
      <c r="BL136" s="2"/>
      <c r="BM136" s="2"/>
      <c r="BN136" s="2"/>
      <c r="BO136" s="2"/>
      <c r="BP136" s="2"/>
      <c r="BQ136" s="2">
        <f>BQ135*1.003</f>
        <v>578387.93945173663</v>
      </c>
      <c r="BR136" s="2"/>
      <c r="BS136" s="2"/>
      <c r="BT136" s="2"/>
      <c r="BU136" s="2"/>
      <c r="BV136" s="2"/>
      <c r="BW136" s="2"/>
      <c r="BX136" s="2"/>
      <c r="BY136" s="2"/>
      <c r="BZ136" s="1">
        <f t="shared" si="30"/>
        <v>1311060.7323558005</v>
      </c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1">
        <f t="shared" si="31"/>
        <v>418629.76769542159</v>
      </c>
      <c r="CU136" s="2"/>
      <c r="CV136" s="2"/>
      <c r="CW136" s="2"/>
      <c r="CX136" s="1">
        <f t="shared" si="32"/>
        <v>1334241.0454353597</v>
      </c>
      <c r="CY136" s="2"/>
      <c r="CZ136" s="2"/>
      <c r="DA136" s="2"/>
      <c r="DB136" s="2"/>
      <c r="DC136" s="2"/>
      <c r="DD136" s="2"/>
      <c r="DE136" s="1">
        <f t="shared" si="33"/>
        <v>746968.72450875945</v>
      </c>
      <c r="DF136" s="2"/>
      <c r="DG136" s="2"/>
      <c r="DH136" s="2"/>
      <c r="DI136" s="2"/>
      <c r="DJ136" s="2"/>
      <c r="DK136" s="2"/>
      <c r="DL136" s="1">
        <f t="shared" si="34"/>
        <v>879379.12638748845</v>
      </c>
      <c r="DM136" s="2"/>
      <c r="DN136" s="2"/>
      <c r="DO136" s="2"/>
      <c r="DP136" s="2"/>
      <c r="DQ136" s="2"/>
      <c r="DR136" s="2"/>
      <c r="DS136" s="1">
        <f t="shared" si="35"/>
        <v>489605.41551648168</v>
      </c>
      <c r="DT136" s="2"/>
      <c r="DU136" s="2"/>
      <c r="DV136" s="2"/>
      <c r="DW136" s="2"/>
      <c r="DX136" s="2"/>
      <c r="DY136" s="2"/>
      <c r="DZ136" s="2"/>
      <c r="EA136" s="2"/>
      <c r="EB136" s="1">
        <f t="shared" si="36"/>
        <v>57351.738073307155</v>
      </c>
      <c r="EC136" s="2"/>
      <c r="ED136" s="2"/>
      <c r="EE136" s="1">
        <f t="shared" si="37"/>
        <v>111094.65583566301</v>
      </c>
      <c r="EF136" s="2"/>
      <c r="EG136" s="1">
        <f t="shared" si="37"/>
        <v>398276.36107368558</v>
      </c>
      <c r="EH136" s="2"/>
      <c r="HW136" s="4"/>
      <c r="HX136" s="2">
        <f t="shared" si="41"/>
        <v>1664290.6002224563</v>
      </c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1">
        <f t="shared" si="38"/>
        <v>2425238.1777369287</v>
      </c>
      <c r="LU136" s="1">
        <f t="shared" si="39"/>
        <v>1784910.2233162404</v>
      </c>
    </row>
    <row r="137" spans="1:333">
      <c r="A137" s="1">
        <v>1500</v>
      </c>
      <c r="B137" s="1">
        <f t="shared" si="21"/>
        <v>10964709.574648848</v>
      </c>
      <c r="C137" s="1">
        <f t="shared" si="23"/>
        <v>3049681.8654165403</v>
      </c>
      <c r="K137" s="1">
        <f t="shared" si="24"/>
        <v>1320961.2663911637</v>
      </c>
      <c r="U137" s="1">
        <f t="shared" si="25"/>
        <v>1378505.5227868285</v>
      </c>
      <c r="AH137" s="1">
        <f t="shared" si="26"/>
        <v>3336700.6538910358</v>
      </c>
      <c r="AT137" s="1">
        <f t="shared" si="27"/>
        <v>1122946.6741243945</v>
      </c>
      <c r="BC137" s="1">
        <f t="shared" si="28"/>
        <v>755913.59203888581</v>
      </c>
      <c r="BI137" s="4">
        <f t="shared" si="22"/>
        <v>7051353.8880375503</v>
      </c>
      <c r="BJ137" s="2">
        <f t="shared" si="40"/>
        <v>698395.88776868989</v>
      </c>
      <c r="BK137" s="2"/>
      <c r="BL137" s="2"/>
      <c r="BM137" s="2"/>
      <c r="BN137" s="2"/>
      <c r="BO137" s="2"/>
      <c r="BP137" s="2"/>
      <c r="BQ137" s="2">
        <f t="shared" ref="BQ137:BQ200" si="42">BQ136*1.003</f>
        <v>580123.10327009181</v>
      </c>
      <c r="BR137" s="2"/>
      <c r="BS137" s="2"/>
      <c r="BT137" s="2"/>
      <c r="BU137" s="2"/>
      <c r="BV137" s="2"/>
      <c r="BW137" s="2"/>
      <c r="BX137" s="2"/>
      <c r="BY137" s="2"/>
      <c r="BZ137" s="1">
        <f t="shared" si="30"/>
        <v>1320238.1574822909</v>
      </c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1">
        <f t="shared" si="31"/>
        <v>420053.10890558606</v>
      </c>
      <c r="CU137" s="2"/>
      <c r="CV137" s="2"/>
      <c r="CW137" s="2"/>
      <c r="CX137" s="1">
        <f t="shared" si="32"/>
        <v>1338777.4649898401</v>
      </c>
      <c r="CY137" s="2"/>
      <c r="CZ137" s="2"/>
      <c r="DA137" s="2"/>
      <c r="DB137" s="2"/>
      <c r="DC137" s="2"/>
      <c r="DD137" s="2"/>
      <c r="DE137" s="1">
        <f t="shared" si="33"/>
        <v>749508.41817208927</v>
      </c>
      <c r="DF137" s="2"/>
      <c r="DG137" s="2"/>
      <c r="DH137" s="2"/>
      <c r="DI137" s="2"/>
      <c r="DJ137" s="2"/>
      <c r="DK137" s="2"/>
      <c r="DL137" s="1">
        <f t="shared" si="34"/>
        <v>882369.01541720598</v>
      </c>
      <c r="DM137" s="2"/>
      <c r="DN137" s="2"/>
      <c r="DO137" s="2"/>
      <c r="DP137" s="2"/>
      <c r="DQ137" s="2"/>
      <c r="DR137" s="2"/>
      <c r="DS137" s="1">
        <f t="shared" si="35"/>
        <v>493032.653425097</v>
      </c>
      <c r="DT137" s="2"/>
      <c r="DU137" s="2"/>
      <c r="DV137" s="2"/>
      <c r="DW137" s="2"/>
      <c r="DX137" s="2"/>
      <c r="DY137" s="2"/>
      <c r="DZ137" s="2"/>
      <c r="EA137" s="2"/>
      <c r="EB137" s="1">
        <f t="shared" si="36"/>
        <v>57753.200239820297</v>
      </c>
      <c r="EC137" s="2"/>
      <c r="ED137" s="2"/>
      <c r="EE137" s="1">
        <f t="shared" si="37"/>
        <v>111472.37766550427</v>
      </c>
      <c r="EF137" s="2"/>
      <c r="EG137" s="1">
        <f t="shared" si="37"/>
        <v>399630.50070133613</v>
      </c>
      <c r="EH137" s="2"/>
      <c r="HW137" s="4"/>
      <c r="HX137" s="2">
        <f t="shared" si="41"/>
        <v>1671779.9079234572</v>
      </c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1">
        <f t="shared" si="38"/>
        <v>2433483.9875412346</v>
      </c>
      <c r="LU137" s="1">
        <f t="shared" si="39"/>
        <v>1790978.9180755157</v>
      </c>
    </row>
    <row r="138" spans="1:333">
      <c r="A138" s="1">
        <v>1501</v>
      </c>
      <c r="B138" s="1">
        <f t="shared" si="21"/>
        <v>11004959.00067075</v>
      </c>
      <c r="C138" s="1">
        <f t="shared" si="23"/>
        <v>3060050.7837589569</v>
      </c>
      <c r="K138" s="1">
        <f t="shared" si="24"/>
        <v>1326905.5920899238</v>
      </c>
      <c r="U138" s="1">
        <f t="shared" si="25"/>
        <v>1384708.797639369</v>
      </c>
      <c r="AH138" s="1">
        <f t="shared" si="26"/>
        <v>3348045.4361142656</v>
      </c>
      <c r="AT138" s="1">
        <f t="shared" si="27"/>
        <v>1126764.6928164177</v>
      </c>
      <c r="BC138" s="1">
        <f t="shared" si="28"/>
        <v>758483.69825181807</v>
      </c>
      <c r="BI138" s="4">
        <f t="shared" si="22"/>
        <v>7082321.0055771405</v>
      </c>
      <c r="BJ138" s="2">
        <f t="shared" si="40"/>
        <v>701259.31090854155</v>
      </c>
      <c r="BK138" s="2"/>
      <c r="BL138" s="2"/>
      <c r="BM138" s="2"/>
      <c r="BN138" s="2"/>
      <c r="BO138" s="2"/>
      <c r="BP138" s="2"/>
      <c r="BQ138" s="2">
        <f t="shared" si="42"/>
        <v>581863.47257990204</v>
      </c>
      <c r="BR138" s="2"/>
      <c r="BS138" s="2"/>
      <c r="BT138" s="2"/>
      <c r="BU138" s="2"/>
      <c r="BV138" s="2"/>
      <c r="BW138" s="2"/>
      <c r="BX138" s="2"/>
      <c r="BY138" s="2"/>
      <c r="BZ138" s="1">
        <f t="shared" si="30"/>
        <v>1329479.8245846669</v>
      </c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1">
        <f t="shared" si="31"/>
        <v>421481.28947586508</v>
      </c>
      <c r="CU138" s="2"/>
      <c r="CV138" s="2"/>
      <c r="CW138" s="2"/>
      <c r="CX138" s="1">
        <f t="shared" si="32"/>
        <v>1343329.3083708056</v>
      </c>
      <c r="CY138" s="2"/>
      <c r="CZ138" s="2"/>
      <c r="DA138" s="2"/>
      <c r="DB138" s="2"/>
      <c r="DC138" s="2"/>
      <c r="DD138" s="2"/>
      <c r="DE138" s="1">
        <f t="shared" si="33"/>
        <v>752056.74679387442</v>
      </c>
      <c r="DF138" s="2"/>
      <c r="DG138" s="2"/>
      <c r="DH138" s="2"/>
      <c r="DI138" s="2"/>
      <c r="DJ138" s="2"/>
      <c r="DK138" s="2"/>
      <c r="DL138" s="1">
        <f t="shared" si="34"/>
        <v>885369.07006962458</v>
      </c>
      <c r="DM138" s="2"/>
      <c r="DN138" s="2"/>
      <c r="DO138" s="2"/>
      <c r="DP138" s="2"/>
      <c r="DQ138" s="2"/>
      <c r="DR138" s="2"/>
      <c r="DS138" s="1">
        <f t="shared" si="35"/>
        <v>496483.88199907262</v>
      </c>
      <c r="DT138" s="2"/>
      <c r="DU138" s="2"/>
      <c r="DV138" s="2"/>
      <c r="DW138" s="2"/>
      <c r="DX138" s="2"/>
      <c r="DY138" s="2"/>
      <c r="DZ138" s="2"/>
      <c r="EA138" s="2"/>
      <c r="EB138" s="1">
        <f t="shared" si="36"/>
        <v>58157.472641499029</v>
      </c>
      <c r="EC138" s="2"/>
      <c r="ED138" s="2"/>
      <c r="EE138" s="1">
        <f t="shared" si="37"/>
        <v>111851.383749567</v>
      </c>
      <c r="EF138" s="2"/>
      <c r="EG138" s="1">
        <f t="shared" si="37"/>
        <v>400989.24440372072</v>
      </c>
      <c r="EH138" s="2"/>
      <c r="HW138" s="4"/>
      <c r="HX138" s="2">
        <f t="shared" si="41"/>
        <v>1679302.9175091127</v>
      </c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1">
        <f t="shared" si="38"/>
        <v>2441757.8330988749</v>
      </c>
      <c r="LU138" s="1">
        <f t="shared" si="39"/>
        <v>1797068.2463969726</v>
      </c>
    </row>
    <row r="139" spans="1:333">
      <c r="A139" s="1">
        <v>1502</v>
      </c>
      <c r="B139" s="1">
        <f t="shared" si="21"/>
        <v>11045358.637101732</v>
      </c>
      <c r="C139" s="1">
        <f t="shared" si="23"/>
        <v>3070454.9564237376</v>
      </c>
      <c r="K139" s="1">
        <f t="shared" si="24"/>
        <v>1332876.6672543285</v>
      </c>
      <c r="U139" s="1">
        <f t="shared" si="25"/>
        <v>1390939.9872287461</v>
      </c>
      <c r="AH139" s="1">
        <f t="shared" si="26"/>
        <v>3359428.7905970542</v>
      </c>
      <c r="AT139" s="1">
        <f t="shared" si="27"/>
        <v>1130595.6927719936</v>
      </c>
      <c r="BC139" s="1">
        <f t="shared" si="28"/>
        <v>761062.54282587429</v>
      </c>
      <c r="BI139" s="4">
        <f t="shared" si="22"/>
        <v>7113441.8693699157</v>
      </c>
      <c r="BJ139" s="2">
        <f t="shared" si="40"/>
        <v>704134.47408326657</v>
      </c>
      <c r="BK139" s="2"/>
      <c r="BL139" s="2"/>
      <c r="BM139" s="2"/>
      <c r="BN139" s="2"/>
      <c r="BO139" s="2"/>
      <c r="BP139" s="2"/>
      <c r="BQ139" s="2">
        <f t="shared" si="42"/>
        <v>583609.06299764162</v>
      </c>
      <c r="BR139" s="2"/>
      <c r="BS139" s="2"/>
      <c r="BT139" s="2"/>
      <c r="BU139" s="2"/>
      <c r="BV139" s="2"/>
      <c r="BW139" s="2"/>
      <c r="BX139" s="2"/>
      <c r="BY139" s="2"/>
      <c r="BZ139" s="1">
        <f t="shared" si="30"/>
        <v>1338786.1833567594</v>
      </c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1">
        <f t="shared" si="31"/>
        <v>422914.32586008304</v>
      </c>
      <c r="CU139" s="2"/>
      <c r="CV139" s="2"/>
      <c r="CW139" s="2"/>
      <c r="CX139" s="1">
        <f t="shared" si="32"/>
        <v>1347896.6280192663</v>
      </c>
      <c r="CY139" s="2"/>
      <c r="CZ139" s="2"/>
      <c r="DA139" s="2"/>
      <c r="DB139" s="2"/>
      <c r="DC139" s="2"/>
      <c r="DD139" s="2"/>
      <c r="DE139" s="1">
        <f t="shared" si="33"/>
        <v>754613.73973297363</v>
      </c>
      <c r="DF139" s="2"/>
      <c r="DG139" s="2"/>
      <c r="DH139" s="2"/>
      <c r="DI139" s="2"/>
      <c r="DJ139" s="2"/>
      <c r="DK139" s="2"/>
      <c r="DL139" s="1">
        <f t="shared" si="34"/>
        <v>888379.32490786142</v>
      </c>
      <c r="DM139" s="2"/>
      <c r="DN139" s="2"/>
      <c r="DO139" s="2"/>
      <c r="DP139" s="2"/>
      <c r="DQ139" s="2"/>
      <c r="DR139" s="2"/>
      <c r="DS139" s="1">
        <f t="shared" si="35"/>
        <v>499959.26917306607</v>
      </c>
      <c r="DT139" s="2"/>
      <c r="DU139" s="2"/>
      <c r="DV139" s="2"/>
      <c r="DW139" s="2"/>
      <c r="DX139" s="2"/>
      <c r="DY139" s="2"/>
      <c r="DZ139" s="2"/>
      <c r="EA139" s="2"/>
      <c r="EB139" s="1">
        <f t="shared" si="36"/>
        <v>58564.574949989517</v>
      </c>
      <c r="EC139" s="2"/>
      <c r="ED139" s="2"/>
      <c r="EE139" s="1">
        <f t="shared" si="37"/>
        <v>112231.67845431554</v>
      </c>
      <c r="EF139" s="2"/>
      <c r="EG139" s="1">
        <f t="shared" si="37"/>
        <v>402352.60783469339</v>
      </c>
      <c r="EH139" s="2"/>
      <c r="HW139" s="4"/>
      <c r="HX139" s="2">
        <f t="shared" si="41"/>
        <v>1686859.7806379036</v>
      </c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1">
        <f t="shared" si="38"/>
        <v>2450059.8097314113</v>
      </c>
      <c r="LU139" s="1">
        <f t="shared" si="39"/>
        <v>1803178.2784347225</v>
      </c>
    </row>
    <row r="140" spans="1:333">
      <c r="A140" s="1">
        <v>1503</v>
      </c>
      <c r="B140" s="1">
        <f t="shared" si="21"/>
        <v>11085909.054787811</v>
      </c>
      <c r="C140" s="1">
        <f t="shared" si="23"/>
        <v>3080894.5032755784</v>
      </c>
      <c r="K140" s="1">
        <f t="shared" si="24"/>
        <v>1338874.6122569728</v>
      </c>
      <c r="U140" s="1">
        <f t="shared" si="25"/>
        <v>1397199.2171712753</v>
      </c>
      <c r="AH140" s="1">
        <f t="shared" si="26"/>
        <v>3370850.8484850843</v>
      </c>
      <c r="AT140" s="1">
        <f t="shared" si="27"/>
        <v>1134439.7181274185</v>
      </c>
      <c r="BC140" s="1">
        <f t="shared" si="28"/>
        <v>763650.15547148231</v>
      </c>
      <c r="BI140" s="4">
        <f t="shared" si="22"/>
        <v>7144717.3383313604</v>
      </c>
      <c r="BJ140" s="2">
        <f t="shared" si="40"/>
        <v>707021.42542700795</v>
      </c>
      <c r="BK140" s="2"/>
      <c r="BL140" s="2"/>
      <c r="BM140" s="2"/>
      <c r="BN140" s="2"/>
      <c r="BO140" s="2"/>
      <c r="BP140" s="2"/>
      <c r="BQ140" s="2">
        <f t="shared" si="42"/>
        <v>585359.8901866345</v>
      </c>
      <c r="BR140" s="2"/>
      <c r="BS140" s="2"/>
      <c r="BT140" s="2"/>
      <c r="BU140" s="2"/>
      <c r="BV140" s="2"/>
      <c r="BW140" s="2"/>
      <c r="BX140" s="2"/>
      <c r="BY140" s="2"/>
      <c r="BZ140" s="1">
        <f t="shared" si="30"/>
        <v>1348157.6866402566</v>
      </c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1">
        <f t="shared" si="31"/>
        <v>424352.23456800735</v>
      </c>
      <c r="CU140" s="2"/>
      <c r="CV140" s="2"/>
      <c r="CW140" s="2"/>
      <c r="CX140" s="1">
        <f t="shared" si="32"/>
        <v>1352479.4765545318</v>
      </c>
      <c r="CY140" s="2"/>
      <c r="CZ140" s="2"/>
      <c r="DA140" s="2"/>
      <c r="DB140" s="2"/>
      <c r="DC140" s="2"/>
      <c r="DD140" s="2"/>
      <c r="DE140" s="1">
        <f t="shared" si="33"/>
        <v>757179.42644806579</v>
      </c>
      <c r="DF140" s="2"/>
      <c r="DG140" s="2"/>
      <c r="DH140" s="2"/>
      <c r="DI140" s="2"/>
      <c r="DJ140" s="2"/>
      <c r="DK140" s="2"/>
      <c r="DL140" s="1">
        <f t="shared" si="34"/>
        <v>891399.81461254822</v>
      </c>
      <c r="DM140" s="2"/>
      <c r="DN140" s="2"/>
      <c r="DO140" s="2"/>
      <c r="DP140" s="2"/>
      <c r="DQ140" s="2"/>
      <c r="DR140" s="2"/>
      <c r="DS140" s="1">
        <f t="shared" si="35"/>
        <v>503458.9840572775</v>
      </c>
      <c r="DT140" s="2"/>
      <c r="DU140" s="2"/>
      <c r="DV140" s="2"/>
      <c r="DW140" s="2"/>
      <c r="DX140" s="2"/>
      <c r="DY140" s="2"/>
      <c r="DZ140" s="2"/>
      <c r="EA140" s="2"/>
      <c r="EB140" s="1">
        <f t="shared" si="36"/>
        <v>58974.526974639441</v>
      </c>
      <c r="EC140" s="2"/>
      <c r="ED140" s="2"/>
      <c r="EE140" s="1">
        <f t="shared" si="37"/>
        <v>112613.26616106022</v>
      </c>
      <c r="EF140" s="2"/>
      <c r="EG140" s="1">
        <f t="shared" si="37"/>
        <v>403720.60670133139</v>
      </c>
      <c r="EH140" s="2"/>
      <c r="HW140" s="4"/>
      <c r="HX140" s="2">
        <f t="shared" si="41"/>
        <v>1694450.6496507742</v>
      </c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1">
        <f t="shared" si="38"/>
        <v>2458390.0130844982</v>
      </c>
      <c r="LU140" s="1">
        <f t="shared" si="39"/>
        <v>1809309.0845814007</v>
      </c>
    </row>
    <row r="141" spans="1:333">
      <c r="A141" s="1">
        <v>1504</v>
      </c>
      <c r="B141" s="1">
        <f t="shared" si="21"/>
        <v>11126610.826786462</v>
      </c>
      <c r="C141" s="1">
        <f t="shared" si="23"/>
        <v>3091369.5445867158</v>
      </c>
      <c r="K141" s="1">
        <f t="shared" si="24"/>
        <v>1344899.548012129</v>
      </c>
      <c r="U141" s="1">
        <f t="shared" si="25"/>
        <v>1403486.6136485459</v>
      </c>
      <c r="AH141" s="1">
        <f t="shared" si="26"/>
        <v>3382311.7413699338</v>
      </c>
      <c r="AT141" s="1">
        <f t="shared" si="27"/>
        <v>1138296.8131690519</v>
      </c>
      <c r="BC141" s="1">
        <f t="shared" si="28"/>
        <v>766246.56600008544</v>
      </c>
      <c r="BI141" s="4">
        <f t="shared" si="22"/>
        <v>7176148.2766350321</v>
      </c>
      <c r="BJ141" s="2">
        <f t="shared" si="40"/>
        <v>709920.21327125863</v>
      </c>
      <c r="BK141" s="2"/>
      <c r="BL141" s="2"/>
      <c r="BM141" s="2"/>
      <c r="BN141" s="2"/>
      <c r="BO141" s="2"/>
      <c r="BP141" s="2"/>
      <c r="BQ141" s="2">
        <f t="shared" si="42"/>
        <v>587115.96985719434</v>
      </c>
      <c r="BR141" s="2"/>
      <c r="BS141" s="2"/>
      <c r="BT141" s="2"/>
      <c r="BU141" s="2"/>
      <c r="BV141" s="2"/>
      <c r="BW141" s="2"/>
      <c r="BX141" s="2"/>
      <c r="BY141" s="2"/>
      <c r="BZ141" s="1">
        <f t="shared" si="30"/>
        <v>1357594.7904467382</v>
      </c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1">
        <f t="shared" si="31"/>
        <v>425795.03216553858</v>
      </c>
      <c r="CU141" s="2"/>
      <c r="CV141" s="2"/>
      <c r="CW141" s="2"/>
      <c r="CX141" s="1">
        <f t="shared" si="32"/>
        <v>1357077.9067748173</v>
      </c>
      <c r="CY141" s="2"/>
      <c r="CZ141" s="2"/>
      <c r="DA141" s="2"/>
      <c r="DB141" s="2"/>
      <c r="DC141" s="2"/>
      <c r="DD141" s="2"/>
      <c r="DE141" s="1">
        <f t="shared" si="33"/>
        <v>759753.83649798925</v>
      </c>
      <c r="DF141" s="2"/>
      <c r="DG141" s="2"/>
      <c r="DH141" s="2"/>
      <c r="DI141" s="2"/>
      <c r="DJ141" s="2"/>
      <c r="DK141" s="2"/>
      <c r="DL141" s="1">
        <f t="shared" si="34"/>
        <v>894430.57398223097</v>
      </c>
      <c r="DM141" s="2"/>
      <c r="DN141" s="2"/>
      <c r="DO141" s="2"/>
      <c r="DP141" s="2"/>
      <c r="DQ141" s="2"/>
      <c r="DR141" s="2"/>
      <c r="DS141" s="1">
        <f t="shared" si="35"/>
        <v>506983.19694567838</v>
      </c>
      <c r="DT141" s="2"/>
      <c r="DU141" s="2"/>
      <c r="DV141" s="2"/>
      <c r="DW141" s="2"/>
      <c r="DX141" s="2"/>
      <c r="DY141" s="2"/>
      <c r="DZ141" s="2"/>
      <c r="EA141" s="2"/>
      <c r="EB141" s="1">
        <f t="shared" si="36"/>
        <v>59387.348663461911</v>
      </c>
      <c r="EC141" s="2"/>
      <c r="ED141" s="2"/>
      <c r="EE141" s="1">
        <f t="shared" si="37"/>
        <v>112996.15126600783</v>
      </c>
      <c r="EF141" s="2"/>
      <c r="EG141" s="1">
        <f t="shared" si="37"/>
        <v>405093.25676411594</v>
      </c>
      <c r="EH141" s="2"/>
      <c r="HW141" s="4"/>
      <c r="HX141" s="2">
        <f t="shared" si="41"/>
        <v>1702075.6775742027</v>
      </c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1">
        <f t="shared" si="38"/>
        <v>2466748.5391289857</v>
      </c>
      <c r="LU141" s="1">
        <f t="shared" si="39"/>
        <v>1815460.7354689776</v>
      </c>
    </row>
    <row r="142" spans="1:333">
      <c r="A142" s="1">
        <v>1505</v>
      </c>
      <c r="B142" s="1">
        <f t="shared" si="21"/>
        <v>11167464.528375361</v>
      </c>
      <c r="C142" s="1">
        <f t="shared" si="23"/>
        <v>3101880.2010383108</v>
      </c>
      <c r="K142" s="1">
        <f t="shared" si="24"/>
        <v>1350951.5959781834</v>
      </c>
      <c r="U142" s="1">
        <f t="shared" si="25"/>
        <v>1409802.3034099643</v>
      </c>
      <c r="AH142" s="1">
        <f t="shared" si="26"/>
        <v>3393811.601290592</v>
      </c>
      <c r="AT142" s="1">
        <f t="shared" si="27"/>
        <v>1142167.0223338266</v>
      </c>
      <c r="BC142" s="1">
        <f t="shared" si="28"/>
        <v>768851.80432448583</v>
      </c>
      <c r="BI142" s="4">
        <f t="shared" si="22"/>
        <v>7207735.5537467385</v>
      </c>
      <c r="BJ142" s="2">
        <f t="shared" si="40"/>
        <v>712830.88614567078</v>
      </c>
      <c r="BK142" s="2"/>
      <c r="BL142" s="2"/>
      <c r="BM142" s="2"/>
      <c r="BN142" s="2"/>
      <c r="BO142" s="2"/>
      <c r="BP142" s="2"/>
      <c r="BQ142" s="2">
        <f t="shared" si="42"/>
        <v>588877.31776676583</v>
      </c>
      <c r="BR142" s="2"/>
      <c r="BS142" s="2"/>
      <c r="BT142" s="2"/>
      <c r="BU142" s="2"/>
      <c r="BV142" s="2"/>
      <c r="BW142" s="2"/>
      <c r="BX142" s="2"/>
      <c r="BY142" s="2"/>
      <c r="BZ142" s="1">
        <f t="shared" si="30"/>
        <v>1367097.9539798652</v>
      </c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1">
        <f t="shared" si="31"/>
        <v>427242.73527490144</v>
      </c>
      <c r="CU142" s="2"/>
      <c r="CV142" s="2"/>
      <c r="CW142" s="2"/>
      <c r="CX142" s="1">
        <f t="shared" si="32"/>
        <v>1361691.9716578517</v>
      </c>
      <c r="CY142" s="2"/>
      <c r="CZ142" s="2"/>
      <c r="DA142" s="2"/>
      <c r="DB142" s="2"/>
      <c r="DC142" s="2"/>
      <c r="DD142" s="2"/>
      <c r="DE142" s="1">
        <f t="shared" si="33"/>
        <v>762336.99954208243</v>
      </c>
      <c r="DF142" s="2"/>
      <c r="DG142" s="2"/>
      <c r="DH142" s="2"/>
      <c r="DI142" s="2"/>
      <c r="DJ142" s="2"/>
      <c r="DK142" s="2"/>
      <c r="DL142" s="1">
        <f t="shared" si="34"/>
        <v>897471.63793377066</v>
      </c>
      <c r="DM142" s="2"/>
      <c r="DN142" s="2"/>
      <c r="DO142" s="2"/>
      <c r="DP142" s="2"/>
      <c r="DQ142" s="2"/>
      <c r="DR142" s="2"/>
      <c r="DS142" s="1">
        <f t="shared" si="35"/>
        <v>510532.07932429807</v>
      </c>
      <c r="DT142" s="2"/>
      <c r="DU142" s="2"/>
      <c r="DV142" s="2"/>
      <c r="DW142" s="2"/>
      <c r="DX142" s="2"/>
      <c r="DY142" s="2"/>
      <c r="DZ142" s="2"/>
      <c r="EA142" s="2"/>
      <c r="EB142" s="1">
        <f t="shared" si="36"/>
        <v>59803.060104106138</v>
      </c>
      <c r="EC142" s="2"/>
      <c r="ED142" s="2"/>
      <c r="EE142" s="1">
        <f t="shared" si="37"/>
        <v>113380.33818031226</v>
      </c>
      <c r="EF142" s="2"/>
      <c r="EG142" s="1">
        <f t="shared" si="37"/>
        <v>406470.57383711397</v>
      </c>
      <c r="EH142" s="2"/>
      <c r="HW142" s="4"/>
      <c r="HX142" s="2">
        <f t="shared" si="41"/>
        <v>1709735.0181232865</v>
      </c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1">
        <f t="shared" si="38"/>
        <v>2475135.4841620242</v>
      </c>
      <c r="LU142" s="1">
        <f t="shared" si="39"/>
        <v>1821633.3019695722</v>
      </c>
    </row>
    <row r="143" spans="1:333">
      <c r="A143" s="1">
        <v>1506</v>
      </c>
      <c r="B143" s="1">
        <f t="shared" si="21"/>
        <v>11208470.737061167</v>
      </c>
      <c r="C143" s="1">
        <f t="shared" si="23"/>
        <v>3112426.5937218415</v>
      </c>
      <c r="K143" s="1">
        <f t="shared" si="24"/>
        <v>1357030.8781600853</v>
      </c>
      <c r="U143" s="1">
        <f t="shared" si="25"/>
        <v>1416146.413775309</v>
      </c>
      <c r="AH143" s="1">
        <f t="shared" si="26"/>
        <v>3405350.5607349803</v>
      </c>
      <c r="AT143" s="1">
        <f t="shared" si="27"/>
        <v>1146050.3902097617</v>
      </c>
      <c r="BC143" s="1">
        <f t="shared" si="28"/>
        <v>771465.90045918908</v>
      </c>
      <c r="BI143" s="4">
        <f t="shared" si="22"/>
        <v>7239480.0444589425</v>
      </c>
      <c r="BJ143" s="2">
        <f t="shared" si="40"/>
        <v>715753.49277886807</v>
      </c>
      <c r="BK143" s="2"/>
      <c r="BL143" s="2"/>
      <c r="BM143" s="2"/>
      <c r="BN143" s="2"/>
      <c r="BO143" s="2"/>
      <c r="BP143" s="2"/>
      <c r="BQ143" s="2">
        <f t="shared" si="42"/>
        <v>590643.94972006604</v>
      </c>
      <c r="BR143" s="2"/>
      <c r="BS143" s="2"/>
      <c r="BT143" s="2"/>
      <c r="BU143" s="2"/>
      <c r="BV143" s="2"/>
      <c r="BW143" s="2"/>
      <c r="BX143" s="2"/>
      <c r="BY143" s="2"/>
      <c r="BZ143" s="1">
        <f t="shared" si="30"/>
        <v>1376667.6396577242</v>
      </c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1">
        <f t="shared" si="31"/>
        <v>428695.36057483614</v>
      </c>
      <c r="CU143" s="2"/>
      <c r="CV143" s="2"/>
      <c r="CW143" s="2"/>
      <c r="CX143" s="1">
        <f t="shared" si="32"/>
        <v>1366321.7243614886</v>
      </c>
      <c r="CY143" s="2"/>
      <c r="CZ143" s="2"/>
      <c r="DA143" s="2"/>
      <c r="DB143" s="2"/>
      <c r="DC143" s="2"/>
      <c r="DD143" s="2"/>
      <c r="DE143" s="1">
        <f t="shared" si="33"/>
        <v>764928.94534052559</v>
      </c>
      <c r="DF143" s="2"/>
      <c r="DG143" s="2"/>
      <c r="DH143" s="2"/>
      <c r="DI143" s="2"/>
      <c r="DJ143" s="2"/>
      <c r="DK143" s="2"/>
      <c r="DL143" s="1">
        <f t="shared" si="34"/>
        <v>900523.04150274559</v>
      </c>
      <c r="DM143" s="2"/>
      <c r="DN143" s="2"/>
      <c r="DO143" s="2"/>
      <c r="DP143" s="2"/>
      <c r="DQ143" s="2"/>
      <c r="DR143" s="2"/>
      <c r="DS143" s="1">
        <f t="shared" si="35"/>
        <v>514105.80387956812</v>
      </c>
      <c r="DT143" s="2"/>
      <c r="DU143" s="2"/>
      <c r="DV143" s="2"/>
      <c r="DW143" s="2"/>
      <c r="DX143" s="2"/>
      <c r="DY143" s="2"/>
      <c r="DZ143" s="2"/>
      <c r="EA143" s="2"/>
      <c r="EB143" s="1">
        <f t="shared" si="36"/>
        <v>60221.681524834872</v>
      </c>
      <c r="EC143" s="2"/>
      <c r="ED143" s="2"/>
      <c r="EE143" s="1">
        <f t="shared" si="37"/>
        <v>113765.83133012534</v>
      </c>
      <c r="EF143" s="2"/>
      <c r="EG143" s="1">
        <f t="shared" si="37"/>
        <v>407852.57378816017</v>
      </c>
      <c r="EH143" s="2"/>
      <c r="HW143" s="4"/>
      <c r="HX143" s="2">
        <f t="shared" si="41"/>
        <v>1717428.8257048412</v>
      </c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1">
        <f t="shared" si="38"/>
        <v>2483550.9448081753</v>
      </c>
      <c r="LU143" s="1">
        <f t="shared" si="39"/>
        <v>1827826.8551962688</v>
      </c>
    </row>
    <row r="144" spans="1:333">
      <c r="A144" s="1">
        <v>1507</v>
      </c>
      <c r="B144" s="1">
        <f t="shared" si="21"/>
        <v>11249630.032588303</v>
      </c>
      <c r="C144" s="1">
        <f t="shared" si="23"/>
        <v>3123008.8441404961</v>
      </c>
      <c r="K144" s="1">
        <f t="shared" si="24"/>
        <v>1363137.5171118055</v>
      </c>
      <c r="U144" s="1">
        <f t="shared" si="25"/>
        <v>1422519.0726372979</v>
      </c>
      <c r="AH144" s="1">
        <f t="shared" si="26"/>
        <v>3416928.7526414795</v>
      </c>
      <c r="AT144" s="1">
        <f t="shared" si="27"/>
        <v>1149946.961536475</v>
      </c>
      <c r="BC144" s="1">
        <f t="shared" si="28"/>
        <v>774088.88452075038</v>
      </c>
      <c r="BI144" s="4">
        <f t="shared" si="22"/>
        <v>7271382.6289253831</v>
      </c>
      <c r="BJ144" s="2">
        <f t="shared" si="40"/>
        <v>718688.08209926146</v>
      </c>
      <c r="BK144" s="2"/>
      <c r="BL144" s="2"/>
      <c r="BM144" s="2"/>
      <c r="BN144" s="2"/>
      <c r="BO144" s="2"/>
      <c r="BP144" s="2"/>
      <c r="BQ144" s="2">
        <f t="shared" si="42"/>
        <v>592415.88156922616</v>
      </c>
      <c r="BR144" s="2"/>
      <c r="BS144" s="2"/>
      <c r="BT144" s="2"/>
      <c r="BU144" s="2"/>
      <c r="BV144" s="2"/>
      <c r="BW144" s="2"/>
      <c r="BX144" s="2"/>
      <c r="BY144" s="2"/>
      <c r="BZ144" s="1">
        <f t="shared" si="30"/>
        <v>1386304.313135328</v>
      </c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1">
        <f t="shared" si="31"/>
        <v>430152.92480079061</v>
      </c>
      <c r="CU144" s="2"/>
      <c r="CV144" s="2"/>
      <c r="CW144" s="2"/>
      <c r="CX144" s="1">
        <f t="shared" si="32"/>
        <v>1370967.2182243178</v>
      </c>
      <c r="CY144" s="2"/>
      <c r="CZ144" s="2"/>
      <c r="DA144" s="2"/>
      <c r="DB144" s="2"/>
      <c r="DC144" s="2"/>
      <c r="DD144" s="2"/>
      <c r="DE144" s="1">
        <f t="shared" si="33"/>
        <v>767529.70375468337</v>
      </c>
      <c r="DF144" s="2"/>
      <c r="DG144" s="2"/>
      <c r="DH144" s="2"/>
      <c r="DI144" s="2"/>
      <c r="DJ144" s="2"/>
      <c r="DK144" s="2"/>
      <c r="DL144" s="1">
        <f t="shared" si="34"/>
        <v>903584.81984385499</v>
      </c>
      <c r="DM144" s="2"/>
      <c r="DN144" s="2"/>
      <c r="DO144" s="2"/>
      <c r="DP144" s="2"/>
      <c r="DQ144" s="2"/>
      <c r="DR144" s="2"/>
      <c r="DS144" s="1">
        <f t="shared" si="35"/>
        <v>517704.54450672504</v>
      </c>
      <c r="DT144" s="2"/>
      <c r="DU144" s="2"/>
      <c r="DV144" s="2"/>
      <c r="DW144" s="2"/>
      <c r="DX144" s="2"/>
      <c r="DY144" s="2"/>
      <c r="DZ144" s="2"/>
      <c r="EA144" s="2"/>
      <c r="EB144" s="1">
        <f t="shared" si="36"/>
        <v>60643.233295508711</v>
      </c>
      <c r="EC144" s="2"/>
      <c r="ED144" s="2"/>
      <c r="EE144" s="1">
        <f t="shared" si="37"/>
        <v>114152.63515664777</v>
      </c>
      <c r="EF144" s="2"/>
      <c r="EG144" s="1">
        <f t="shared" si="37"/>
        <v>409239.27253903996</v>
      </c>
      <c r="EH144" s="2"/>
      <c r="HW144" s="4"/>
      <c r="HX144" s="2">
        <f t="shared" si="41"/>
        <v>1725157.255420513</v>
      </c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1">
        <f t="shared" si="38"/>
        <v>2491995.0180205232</v>
      </c>
      <c r="LU144" s="1">
        <f t="shared" si="39"/>
        <v>1834041.4665039361</v>
      </c>
    </row>
    <row r="145" spans="1:333">
      <c r="A145" s="1">
        <v>1508</v>
      </c>
      <c r="B145" s="1">
        <f t="shared" si="21"/>
        <v>11290942.996947829</v>
      </c>
      <c r="C145" s="1">
        <f t="shared" si="23"/>
        <v>3133627.0742105739</v>
      </c>
      <c r="K145" s="1">
        <f t="shared" si="24"/>
        <v>1369271.6359388086</v>
      </c>
      <c r="U145" s="1">
        <f t="shared" si="25"/>
        <v>1428920.4084641656</v>
      </c>
      <c r="AH145" s="1">
        <f t="shared" si="26"/>
        <v>3428546.3104004608</v>
      </c>
      <c r="AT145" s="1">
        <f t="shared" si="27"/>
        <v>1153856.7812056991</v>
      </c>
      <c r="BC145" s="1">
        <f t="shared" si="28"/>
        <v>776720.78672812099</v>
      </c>
      <c r="BI145" s="4">
        <f t="shared" si="22"/>
        <v>7303444.1926959474</v>
      </c>
      <c r="BJ145" s="2">
        <f t="shared" si="40"/>
        <v>721634.70323586848</v>
      </c>
      <c r="BK145" s="2"/>
      <c r="BL145" s="2"/>
      <c r="BM145" s="2"/>
      <c r="BN145" s="2"/>
      <c r="BO145" s="2"/>
      <c r="BP145" s="2"/>
      <c r="BQ145" s="2">
        <f t="shared" si="42"/>
        <v>594193.12921393372</v>
      </c>
      <c r="BR145" s="2"/>
      <c r="BS145" s="2"/>
      <c r="BT145" s="2"/>
      <c r="BU145" s="2"/>
      <c r="BV145" s="2"/>
      <c r="BW145" s="2"/>
      <c r="BX145" s="2"/>
      <c r="BY145" s="2"/>
      <c r="BZ145" s="1">
        <f t="shared" si="30"/>
        <v>1396008.4433272751</v>
      </c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1">
        <f t="shared" si="31"/>
        <v>431615.44474511332</v>
      </c>
      <c r="CU145" s="2"/>
      <c r="CV145" s="2"/>
      <c r="CW145" s="2"/>
      <c r="CX145" s="1">
        <f t="shared" si="32"/>
        <v>1375628.5067662806</v>
      </c>
      <c r="CY145" s="2"/>
      <c r="CZ145" s="2"/>
      <c r="DA145" s="2"/>
      <c r="DB145" s="2"/>
      <c r="DC145" s="2"/>
      <c r="DD145" s="2"/>
      <c r="DE145" s="1">
        <f t="shared" si="33"/>
        <v>770139.30474744935</v>
      </c>
      <c r="DF145" s="2"/>
      <c r="DG145" s="2"/>
      <c r="DH145" s="2"/>
      <c r="DI145" s="2"/>
      <c r="DJ145" s="2"/>
      <c r="DK145" s="2"/>
      <c r="DL145" s="1">
        <f t="shared" si="34"/>
        <v>906657.00823132414</v>
      </c>
      <c r="DM145" s="2"/>
      <c r="DN145" s="2"/>
      <c r="DO145" s="2"/>
      <c r="DP145" s="2"/>
      <c r="DQ145" s="2"/>
      <c r="DR145" s="2"/>
      <c r="DS145" s="1">
        <f t="shared" si="35"/>
        <v>521328.47631827206</v>
      </c>
      <c r="DT145" s="2"/>
      <c r="DU145" s="2"/>
      <c r="DV145" s="2"/>
      <c r="DW145" s="2"/>
      <c r="DX145" s="2"/>
      <c r="DY145" s="2"/>
      <c r="DZ145" s="2"/>
      <c r="EA145" s="2"/>
      <c r="EB145" s="1">
        <f t="shared" si="36"/>
        <v>61067.735928577269</v>
      </c>
      <c r="EC145" s="2"/>
      <c r="ED145" s="2"/>
      <c r="EE145" s="1">
        <f t="shared" si="37"/>
        <v>114540.75411618038</v>
      </c>
      <c r="EF145" s="2"/>
      <c r="EG145" s="1">
        <f t="shared" si="37"/>
        <v>410630.68606567272</v>
      </c>
      <c r="EH145" s="2"/>
      <c r="HW145" s="4"/>
      <c r="HX145" s="2">
        <f t="shared" si="41"/>
        <v>1732920.4630699053</v>
      </c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1">
        <f t="shared" si="38"/>
        <v>2500467.8010817934</v>
      </c>
      <c r="LU145" s="1">
        <f t="shared" si="39"/>
        <v>1840277.2074900495</v>
      </c>
    </row>
    <row r="146" spans="1:333">
      <c r="A146" s="1">
        <v>1509</v>
      </c>
      <c r="B146" s="1">
        <f t="shared" si="21"/>
        <v>11332410.214386294</v>
      </c>
      <c r="C146" s="1">
        <f t="shared" si="23"/>
        <v>3144281.40626289</v>
      </c>
      <c r="K146" s="1">
        <f t="shared" si="24"/>
        <v>1375433.3583005331</v>
      </c>
      <c r="U146" s="1">
        <f t="shared" si="25"/>
        <v>1435350.5503022543</v>
      </c>
      <c r="AH146" s="1">
        <f t="shared" si="26"/>
        <v>3440203.3678558227</v>
      </c>
      <c r="AT146" s="1">
        <f t="shared" si="27"/>
        <v>1157779.8942617986</v>
      </c>
      <c r="BC146" s="1">
        <f t="shared" si="28"/>
        <v>779361.63740299665</v>
      </c>
      <c r="BI146" s="4">
        <f t="shared" si="22"/>
        <v>7335665.6267517582</v>
      </c>
      <c r="BJ146" s="2">
        <f t="shared" si="40"/>
        <v>724593.40551913553</v>
      </c>
      <c r="BK146" s="2"/>
      <c r="BL146" s="2"/>
      <c r="BM146" s="2"/>
      <c r="BN146" s="2"/>
      <c r="BO146" s="2"/>
      <c r="BP146" s="2"/>
      <c r="BQ146" s="2">
        <f t="shared" si="42"/>
        <v>595975.70860157546</v>
      </c>
      <c r="BR146" s="2"/>
      <c r="BS146" s="2"/>
      <c r="BT146" s="2"/>
      <c r="BU146" s="2"/>
      <c r="BV146" s="2"/>
      <c r="BW146" s="2"/>
      <c r="BX146" s="2"/>
      <c r="BY146" s="2"/>
      <c r="BZ146" s="1">
        <f t="shared" si="30"/>
        <v>1405780.5024305659</v>
      </c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1">
        <f t="shared" si="31"/>
        <v>433082.93725724675</v>
      </c>
      <c r="CU146" s="2"/>
      <c r="CV146" s="2"/>
      <c r="CW146" s="2"/>
      <c r="CX146" s="1">
        <f t="shared" si="32"/>
        <v>1380305.643689286</v>
      </c>
      <c r="CY146" s="2"/>
      <c r="CZ146" s="2"/>
      <c r="DA146" s="2"/>
      <c r="DB146" s="2"/>
      <c r="DC146" s="2"/>
      <c r="DD146" s="2"/>
      <c r="DE146" s="1">
        <f t="shared" si="33"/>
        <v>772757.77838359075</v>
      </c>
      <c r="DF146" s="2"/>
      <c r="DG146" s="2"/>
      <c r="DH146" s="2"/>
      <c r="DI146" s="2"/>
      <c r="DJ146" s="2"/>
      <c r="DK146" s="2"/>
      <c r="DL146" s="1">
        <f t="shared" si="34"/>
        <v>909739.64205931069</v>
      </c>
      <c r="DM146" s="2"/>
      <c r="DN146" s="2"/>
      <c r="DO146" s="2"/>
      <c r="DP146" s="2"/>
      <c r="DQ146" s="2"/>
      <c r="DR146" s="2"/>
      <c r="DS146" s="1">
        <f t="shared" si="35"/>
        <v>524977.77565249987</v>
      </c>
      <c r="DT146" s="2"/>
      <c r="DU146" s="2"/>
      <c r="DV146" s="2"/>
      <c r="DW146" s="2"/>
      <c r="DX146" s="2"/>
      <c r="DY146" s="2"/>
      <c r="DZ146" s="2"/>
      <c r="EA146" s="2"/>
      <c r="EB146" s="1">
        <f t="shared" si="36"/>
        <v>61495.210080077304</v>
      </c>
      <c r="EC146" s="2"/>
      <c r="ED146" s="2"/>
      <c r="EE146" s="1">
        <f t="shared" si="37"/>
        <v>114930.1926801754</v>
      </c>
      <c r="EF146" s="2"/>
      <c r="EG146" s="1">
        <f t="shared" si="37"/>
        <v>412026.83039829606</v>
      </c>
      <c r="EH146" s="2"/>
      <c r="HW146" s="4"/>
      <c r="HX146" s="2">
        <f t="shared" si="41"/>
        <v>1740718.6051537199</v>
      </c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1">
        <f t="shared" si="38"/>
        <v>2508969.3916054717</v>
      </c>
      <c r="LU146" s="1">
        <f t="shared" si="39"/>
        <v>1846534.1499955158</v>
      </c>
    </row>
    <row r="147" spans="1:333">
      <c r="A147" s="1">
        <v>1510</v>
      </c>
      <c r="B147" s="1">
        <f t="shared" si="21"/>
        <v>11374032.271414671</v>
      </c>
      <c r="C147" s="1">
        <f t="shared" si="23"/>
        <v>3154971.9630441838</v>
      </c>
      <c r="K147" s="1">
        <f t="shared" si="24"/>
        <v>1381622.8084128855</v>
      </c>
      <c r="U147" s="1">
        <f t="shared" si="25"/>
        <v>1441809.6277786144</v>
      </c>
      <c r="AH147" s="1">
        <f t="shared" si="26"/>
        <v>3451900.0593065326</v>
      </c>
      <c r="AT147" s="1">
        <f t="shared" si="27"/>
        <v>1161716.3459022888</v>
      </c>
      <c r="BC147" s="1">
        <f t="shared" si="28"/>
        <v>782011.46697016689</v>
      </c>
      <c r="BI147" s="4">
        <f t="shared" si="22"/>
        <v>7368047.8275405262</v>
      </c>
      <c r="BJ147" s="2">
        <f t="shared" si="40"/>
        <v>727564.23848176398</v>
      </c>
      <c r="BK147" s="2"/>
      <c r="BL147" s="2"/>
      <c r="BM147" s="2"/>
      <c r="BN147" s="2"/>
      <c r="BO147" s="2"/>
      <c r="BP147" s="2"/>
      <c r="BQ147" s="2">
        <f t="shared" si="42"/>
        <v>597763.63572738017</v>
      </c>
      <c r="BR147" s="2"/>
      <c r="BS147" s="2"/>
      <c r="BT147" s="2"/>
      <c r="BU147" s="2"/>
      <c r="BV147" s="2"/>
      <c r="BW147" s="2"/>
      <c r="BX147" s="2"/>
      <c r="BY147" s="2"/>
      <c r="BZ147" s="1">
        <f t="shared" si="30"/>
        <v>1415620.9659475796</v>
      </c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1">
        <f t="shared" si="31"/>
        <v>434555.41924392141</v>
      </c>
      <c r="CU147" s="2"/>
      <c r="CV147" s="2"/>
      <c r="CW147" s="2"/>
      <c r="CX147" s="1">
        <f t="shared" si="32"/>
        <v>1384998.6828778295</v>
      </c>
      <c r="CY147" s="2"/>
      <c r="CZ147" s="2"/>
      <c r="DA147" s="2"/>
      <c r="DB147" s="2"/>
      <c r="DC147" s="2"/>
      <c r="DD147" s="2"/>
      <c r="DE147" s="1">
        <f t="shared" si="33"/>
        <v>775385.15483009501</v>
      </c>
      <c r="DF147" s="2"/>
      <c r="DG147" s="2"/>
      <c r="DH147" s="2"/>
      <c r="DI147" s="2"/>
      <c r="DJ147" s="2"/>
      <c r="DK147" s="2"/>
      <c r="DL147" s="1">
        <f t="shared" si="34"/>
        <v>912832.7568423124</v>
      </c>
      <c r="DM147" s="2"/>
      <c r="DN147" s="2"/>
      <c r="DO147" s="2"/>
      <c r="DP147" s="2"/>
      <c r="DQ147" s="2"/>
      <c r="DR147" s="2"/>
      <c r="DS147" s="1">
        <f t="shared" si="35"/>
        <v>528652.62008206733</v>
      </c>
      <c r="DT147" s="2"/>
      <c r="DU147" s="2"/>
      <c r="DV147" s="2"/>
      <c r="DW147" s="2"/>
      <c r="DX147" s="2"/>
      <c r="DY147" s="2"/>
      <c r="DZ147" s="2"/>
      <c r="EA147" s="2"/>
      <c r="EB147" s="1">
        <f t="shared" si="36"/>
        <v>61925.676550637836</v>
      </c>
      <c r="EC147" s="2"/>
      <c r="ED147" s="2"/>
      <c r="EE147" s="1">
        <f t="shared" si="37"/>
        <v>115320.955335288</v>
      </c>
      <c r="EF147" s="2"/>
      <c r="EG147" s="1">
        <f t="shared" si="37"/>
        <v>413427.72162165027</v>
      </c>
      <c r="EH147" s="2"/>
      <c r="HW147" s="4"/>
      <c r="HX147" s="2">
        <f t="shared" si="41"/>
        <v>1748551.8388769114</v>
      </c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1">
        <f t="shared" si="38"/>
        <v>2517499.8875369304</v>
      </c>
      <c r="LU147" s="1">
        <f t="shared" si="39"/>
        <v>1852812.3661055006</v>
      </c>
    </row>
    <row r="148" spans="1:333">
      <c r="A148" s="1">
        <v>1511</v>
      </c>
      <c r="B148" s="1">
        <f t="shared" si="21"/>
        <v>11415809.756817292</v>
      </c>
      <c r="C148" s="1">
        <f t="shared" si="23"/>
        <v>3165698.8677185341</v>
      </c>
      <c r="K148" s="1">
        <f t="shared" si="24"/>
        <v>1387840.1110507434</v>
      </c>
      <c r="U148" s="1">
        <f t="shared" si="25"/>
        <v>1448297.7711036182</v>
      </c>
      <c r="AH148" s="1">
        <f t="shared" si="26"/>
        <v>3463636.5195081751</v>
      </c>
      <c r="AT148" s="1">
        <f t="shared" si="27"/>
        <v>1165666.1814783567</v>
      </c>
      <c r="BC148" s="1">
        <f t="shared" si="28"/>
        <v>784670.30595786555</v>
      </c>
      <c r="BI148" s="4">
        <f t="shared" si="22"/>
        <v>7400591.6970120985</v>
      </c>
      <c r="BJ148" s="2">
        <f t="shared" si="40"/>
        <v>730547.25185953919</v>
      </c>
      <c r="BK148" s="2"/>
      <c r="BL148" s="2"/>
      <c r="BM148" s="2"/>
      <c r="BN148" s="2"/>
      <c r="BO148" s="2"/>
      <c r="BP148" s="2"/>
      <c r="BQ148" s="2">
        <f t="shared" si="42"/>
        <v>599556.9266345622</v>
      </c>
      <c r="BR148" s="2"/>
      <c r="BS148" s="2"/>
      <c r="BT148" s="2"/>
      <c r="BU148" s="2"/>
      <c r="BV148" s="2"/>
      <c r="BW148" s="2"/>
      <c r="BX148" s="2"/>
      <c r="BY148" s="2"/>
      <c r="BZ148" s="1">
        <f t="shared" si="30"/>
        <v>1425530.3127092125</v>
      </c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1">
        <f t="shared" si="31"/>
        <v>436032.9076693508</v>
      </c>
      <c r="CU148" s="2"/>
      <c r="CV148" s="2"/>
      <c r="CW148" s="2"/>
      <c r="CX148" s="1">
        <f t="shared" si="32"/>
        <v>1389707.6783996143</v>
      </c>
      <c r="CY148" s="2"/>
      <c r="CZ148" s="2"/>
      <c r="DA148" s="2"/>
      <c r="DB148" s="2"/>
      <c r="DC148" s="2"/>
      <c r="DD148" s="2"/>
      <c r="DE148" s="1">
        <f t="shared" si="33"/>
        <v>778021.46435651742</v>
      </c>
      <c r="DF148" s="2"/>
      <c r="DG148" s="2"/>
      <c r="DH148" s="2"/>
      <c r="DI148" s="2"/>
      <c r="DJ148" s="2"/>
      <c r="DK148" s="2"/>
      <c r="DL148" s="1">
        <f t="shared" si="34"/>
        <v>915936.3882155763</v>
      </c>
      <c r="DM148" s="2"/>
      <c r="DN148" s="2"/>
      <c r="DO148" s="2"/>
      <c r="DP148" s="2"/>
      <c r="DQ148" s="2"/>
      <c r="DR148" s="2"/>
      <c r="DS148" s="1">
        <f t="shared" si="35"/>
        <v>532353.18842264172</v>
      </c>
      <c r="DT148" s="2"/>
      <c r="DU148" s="2"/>
      <c r="DV148" s="2"/>
      <c r="DW148" s="2"/>
      <c r="DX148" s="2"/>
      <c r="DY148" s="2"/>
      <c r="DZ148" s="2"/>
      <c r="EA148" s="2"/>
      <c r="EB148" s="1">
        <f t="shared" si="36"/>
        <v>62359.156286492296</v>
      </c>
      <c r="EC148" s="2"/>
      <c r="ED148" s="2"/>
      <c r="EE148" s="1">
        <f t="shared" si="37"/>
        <v>115713.04658342799</v>
      </c>
      <c r="EF148" s="2"/>
      <c r="EG148" s="1">
        <f t="shared" si="37"/>
        <v>414833.37587516394</v>
      </c>
      <c r="EH148" s="2"/>
      <c r="HW148" s="4"/>
      <c r="HX148" s="2">
        <f t="shared" si="41"/>
        <v>1756420.3221518574</v>
      </c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1">
        <f t="shared" si="38"/>
        <v>2526059.3871545563</v>
      </c>
      <c r="LU148" s="1">
        <f t="shared" si="39"/>
        <v>1859111.9281502594</v>
      </c>
    </row>
    <row r="149" spans="1:333">
      <c r="A149" s="1">
        <v>1512</v>
      </c>
      <c r="B149" s="1">
        <f t="shared" si="21"/>
        <v>11457743.261660844</v>
      </c>
      <c r="C149" s="1">
        <f t="shared" si="23"/>
        <v>3176462.2438687775</v>
      </c>
      <c r="K149" s="1">
        <f t="shared" si="24"/>
        <v>1394085.3915504715</v>
      </c>
      <c r="U149" s="1">
        <f t="shared" si="25"/>
        <v>1454815.1110735843</v>
      </c>
      <c r="AH149" s="1">
        <f t="shared" si="26"/>
        <v>3475412.8836745033</v>
      </c>
      <c r="AT149" s="1">
        <f t="shared" si="27"/>
        <v>1169629.4464953833</v>
      </c>
      <c r="BC149" s="1">
        <f t="shared" si="28"/>
        <v>787338.18499812239</v>
      </c>
      <c r="BI149" s="4">
        <f t="shared" si="22"/>
        <v>7433298.1426542932</v>
      </c>
      <c r="BJ149" s="2">
        <f t="shared" si="40"/>
        <v>733542.49559216329</v>
      </c>
      <c r="BK149" s="2"/>
      <c r="BL149" s="2"/>
      <c r="BM149" s="2"/>
      <c r="BN149" s="2"/>
      <c r="BO149" s="2"/>
      <c r="BP149" s="2"/>
      <c r="BQ149" s="2">
        <f t="shared" si="42"/>
        <v>601355.59741446585</v>
      </c>
      <c r="BR149" s="2"/>
      <c r="BS149" s="2"/>
      <c r="BT149" s="2"/>
      <c r="BU149" s="2"/>
      <c r="BV149" s="2"/>
      <c r="BW149" s="2"/>
      <c r="BX149" s="2"/>
      <c r="BY149" s="2"/>
      <c r="BZ149" s="1">
        <f t="shared" si="30"/>
        <v>1435509.0248981768</v>
      </c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1">
        <f t="shared" si="31"/>
        <v>437515.41955542663</v>
      </c>
      <c r="CU149" s="2"/>
      <c r="CV149" s="2"/>
      <c r="CW149" s="2"/>
      <c r="CX149" s="1">
        <f t="shared" si="32"/>
        <v>1394432.684506173</v>
      </c>
      <c r="CY149" s="2"/>
      <c r="CZ149" s="2"/>
      <c r="DA149" s="2"/>
      <c r="DB149" s="2"/>
      <c r="DC149" s="2"/>
      <c r="DD149" s="2"/>
      <c r="DE149" s="1">
        <f t="shared" si="33"/>
        <v>780666.73733532964</v>
      </c>
      <c r="DF149" s="2"/>
      <c r="DG149" s="2"/>
      <c r="DH149" s="2"/>
      <c r="DI149" s="2"/>
      <c r="DJ149" s="2"/>
      <c r="DK149" s="2"/>
      <c r="DL149" s="1">
        <f t="shared" si="34"/>
        <v>919050.57193550933</v>
      </c>
      <c r="DM149" s="2"/>
      <c r="DN149" s="2"/>
      <c r="DO149" s="2"/>
      <c r="DP149" s="2"/>
      <c r="DQ149" s="2"/>
      <c r="DR149" s="2"/>
      <c r="DS149" s="1">
        <f t="shared" si="35"/>
        <v>536079.66074160021</v>
      </c>
      <c r="DT149" s="2"/>
      <c r="DU149" s="2"/>
      <c r="DV149" s="2"/>
      <c r="DW149" s="2"/>
      <c r="DX149" s="2"/>
      <c r="DY149" s="2"/>
      <c r="DZ149" s="2"/>
      <c r="EA149" s="2"/>
      <c r="EB149" s="1">
        <f t="shared" si="36"/>
        <v>62795.670380497737</v>
      </c>
      <c r="EC149" s="2"/>
      <c r="ED149" s="2"/>
      <c r="EE149" s="1">
        <f t="shared" si="37"/>
        <v>116106.47094181165</v>
      </c>
      <c r="EF149" s="2"/>
      <c r="EG149" s="1">
        <f t="shared" si="37"/>
        <v>416243.80935313954</v>
      </c>
      <c r="EH149" s="2"/>
      <c r="HW149" s="4"/>
      <c r="HX149" s="2">
        <f t="shared" si="41"/>
        <v>1764324.2136015408</v>
      </c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1">
        <f t="shared" si="38"/>
        <v>2534647.9890708821</v>
      </c>
      <c r="LU149" s="1">
        <f t="shared" si="39"/>
        <v>1865432.9087059705</v>
      </c>
    </row>
    <row r="150" spans="1:333">
      <c r="A150" s="1">
        <v>1513</v>
      </c>
      <c r="B150" s="1">
        <f t="shared" si="21"/>
        <v>11499833.379303377</v>
      </c>
      <c r="C150" s="1">
        <f t="shared" si="23"/>
        <v>3187262.2154979315</v>
      </c>
      <c r="K150" s="1">
        <f t="shared" si="24"/>
        <v>1400358.7758124487</v>
      </c>
      <c r="U150" s="1">
        <f t="shared" si="25"/>
        <v>1461361.7790734153</v>
      </c>
      <c r="AH150" s="1">
        <f t="shared" si="26"/>
        <v>3487229.2874789969</v>
      </c>
      <c r="AT150" s="1">
        <f t="shared" si="27"/>
        <v>1173606.1866134678</v>
      </c>
      <c r="BC150" s="1">
        <f t="shared" si="28"/>
        <v>790015.13482711604</v>
      </c>
      <c r="BI150" s="4">
        <f t="shared" si="22"/>
        <v>7466168.0775289396</v>
      </c>
      <c r="BJ150" s="2">
        <f t="shared" si="40"/>
        <v>736550.01982409111</v>
      </c>
      <c r="BK150" s="2"/>
      <c r="BL150" s="2"/>
      <c r="BM150" s="2"/>
      <c r="BN150" s="2"/>
      <c r="BO150" s="2"/>
      <c r="BP150" s="2"/>
      <c r="BQ150" s="2">
        <f t="shared" si="42"/>
        <v>603159.66420670913</v>
      </c>
      <c r="BR150" s="2"/>
      <c r="BS150" s="2"/>
      <c r="BT150" s="2"/>
      <c r="BU150" s="2"/>
      <c r="BV150" s="2"/>
      <c r="BW150" s="2"/>
      <c r="BX150" s="2"/>
      <c r="BY150" s="2"/>
      <c r="BZ150" s="1">
        <f t="shared" si="30"/>
        <v>1445557.5880724639</v>
      </c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1">
        <f t="shared" si="31"/>
        <v>439002.97198191512</v>
      </c>
      <c r="CU150" s="2"/>
      <c r="CV150" s="2"/>
      <c r="CW150" s="2"/>
      <c r="CX150" s="1">
        <f t="shared" si="32"/>
        <v>1399173.7556334941</v>
      </c>
      <c r="CY150" s="2"/>
      <c r="CZ150" s="2"/>
      <c r="DA150" s="2"/>
      <c r="DB150" s="2"/>
      <c r="DC150" s="2"/>
      <c r="DD150" s="2"/>
      <c r="DE150" s="1">
        <f t="shared" si="33"/>
        <v>783321.00424226979</v>
      </c>
      <c r="DF150" s="2"/>
      <c r="DG150" s="2"/>
      <c r="DH150" s="2"/>
      <c r="DI150" s="2"/>
      <c r="DJ150" s="2"/>
      <c r="DK150" s="2"/>
      <c r="DL150" s="1">
        <f t="shared" si="34"/>
        <v>922175.34388009016</v>
      </c>
      <c r="DM150" s="2"/>
      <c r="DN150" s="2"/>
      <c r="DO150" s="2"/>
      <c r="DP150" s="2"/>
      <c r="DQ150" s="2"/>
      <c r="DR150" s="2"/>
      <c r="DS150" s="1">
        <f t="shared" si="35"/>
        <v>539832.21836679138</v>
      </c>
      <c r="DT150" s="2"/>
      <c r="DU150" s="2"/>
      <c r="DV150" s="2"/>
      <c r="DW150" s="2"/>
      <c r="DX150" s="2"/>
      <c r="DY150" s="2"/>
      <c r="DZ150" s="2"/>
      <c r="EA150" s="2"/>
      <c r="EB150" s="1">
        <f t="shared" si="36"/>
        <v>63235.240073161214</v>
      </c>
      <c r="EC150" s="2"/>
      <c r="ED150" s="2"/>
      <c r="EE150" s="1">
        <f t="shared" si="37"/>
        <v>116501.23294301382</v>
      </c>
      <c r="EF150" s="2"/>
      <c r="EG150" s="1">
        <f t="shared" si="37"/>
        <v>417659.03830494027</v>
      </c>
      <c r="EH150" s="2"/>
      <c r="HW150" s="4"/>
      <c r="HX150" s="2">
        <f t="shared" si="41"/>
        <v>1772263.6725627477</v>
      </c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1">
        <f t="shared" si="38"/>
        <v>2543265.7922337232</v>
      </c>
      <c r="LU150" s="1">
        <f t="shared" si="39"/>
        <v>1871775.3805955709</v>
      </c>
    </row>
    <row r="151" spans="1:333">
      <c r="A151" s="1">
        <v>1514</v>
      </c>
      <c r="B151" s="1">
        <f t="shared" si="21"/>
        <v>11542080.705403382</v>
      </c>
      <c r="C151" s="1">
        <f t="shared" si="23"/>
        <v>3198098.9070306248</v>
      </c>
      <c r="K151" s="1">
        <f t="shared" si="24"/>
        <v>1406660.3903036045</v>
      </c>
      <c r="U151" s="1">
        <f t="shared" si="25"/>
        <v>1467937.9070792457</v>
      </c>
      <c r="AH151" s="1">
        <f t="shared" si="26"/>
        <v>3499085.8670564257</v>
      </c>
      <c r="AT151" s="1">
        <f t="shared" si="27"/>
        <v>1177596.4476479536</v>
      </c>
      <c r="BC151" s="1">
        <f t="shared" si="28"/>
        <v>792701.18628552824</v>
      </c>
      <c r="BI151" s="4">
        <f t="shared" si="22"/>
        <v>7499202.4203081764</v>
      </c>
      <c r="BJ151" s="2">
        <f t="shared" si="40"/>
        <v>739569.87490536983</v>
      </c>
      <c r="BK151" s="2"/>
      <c r="BL151" s="2"/>
      <c r="BM151" s="2"/>
      <c r="BN151" s="2"/>
      <c r="BO151" s="2"/>
      <c r="BP151" s="2"/>
      <c r="BQ151" s="2">
        <f t="shared" si="42"/>
        <v>604969.14319932915</v>
      </c>
      <c r="BR151" s="2"/>
      <c r="BS151" s="2"/>
      <c r="BT151" s="2"/>
      <c r="BU151" s="2"/>
      <c r="BV151" s="2"/>
      <c r="BW151" s="2"/>
      <c r="BX151" s="2"/>
      <c r="BY151" s="2"/>
      <c r="BZ151" s="1">
        <f t="shared" si="30"/>
        <v>1455676.4911889709</v>
      </c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1">
        <f t="shared" si="31"/>
        <v>440495.58208665368</v>
      </c>
      <c r="CU151" s="2"/>
      <c r="CV151" s="2"/>
      <c r="CW151" s="2"/>
      <c r="CX151" s="1">
        <f t="shared" si="32"/>
        <v>1403930.946402648</v>
      </c>
      <c r="CY151" s="2"/>
      <c r="CZ151" s="2"/>
      <c r="DA151" s="2"/>
      <c r="DB151" s="2"/>
      <c r="DC151" s="2"/>
      <c r="DD151" s="2"/>
      <c r="DE151" s="1">
        <f t="shared" si="33"/>
        <v>785984.29565669352</v>
      </c>
      <c r="DF151" s="2"/>
      <c r="DG151" s="2"/>
      <c r="DH151" s="2"/>
      <c r="DI151" s="2"/>
      <c r="DJ151" s="2"/>
      <c r="DK151" s="2"/>
      <c r="DL151" s="1">
        <f t="shared" si="34"/>
        <v>925310.74004928255</v>
      </c>
      <c r="DM151" s="2"/>
      <c r="DN151" s="2"/>
      <c r="DO151" s="2"/>
      <c r="DP151" s="2"/>
      <c r="DQ151" s="2"/>
      <c r="DR151" s="2"/>
      <c r="DS151" s="1">
        <f t="shared" si="35"/>
        <v>543611.04389535892</v>
      </c>
      <c r="DT151" s="2"/>
      <c r="DU151" s="2"/>
      <c r="DV151" s="2"/>
      <c r="DW151" s="2"/>
      <c r="DX151" s="2"/>
      <c r="DY151" s="2"/>
      <c r="DZ151" s="2"/>
      <c r="EA151" s="2"/>
      <c r="EB151" s="1">
        <f t="shared" si="36"/>
        <v>63677.886753673338</v>
      </c>
      <c r="EC151" s="2"/>
      <c r="ED151" s="2"/>
      <c r="EE151" s="1">
        <f t="shared" si="37"/>
        <v>116897.33713502008</v>
      </c>
      <c r="EF151" s="2"/>
      <c r="EG151" s="1">
        <f t="shared" si="37"/>
        <v>419079.07903517713</v>
      </c>
      <c r="EH151" s="2"/>
      <c r="HW151" s="4"/>
      <c r="HX151" s="2">
        <f t="shared" si="41"/>
        <v>1780238.85908928</v>
      </c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1">
        <f t="shared" si="38"/>
        <v>2551912.8959273179</v>
      </c>
      <c r="LU151" s="1">
        <f t="shared" si="39"/>
        <v>1878139.416889596</v>
      </c>
    </row>
    <row r="152" spans="1:333">
      <c r="A152" s="1">
        <v>1515</v>
      </c>
      <c r="B152" s="1">
        <f t="shared" si="21"/>
        <v>11584485.837928874</v>
      </c>
      <c r="C152" s="1">
        <f t="shared" si="23"/>
        <v>3208972.443314529</v>
      </c>
      <c r="K152" s="1">
        <f t="shared" si="24"/>
        <v>1412990.3620599706</v>
      </c>
      <c r="U152" s="1">
        <f t="shared" si="25"/>
        <v>1474543.6276611022</v>
      </c>
      <c r="AH152" s="1">
        <f t="shared" si="26"/>
        <v>3510982.7590044178</v>
      </c>
      <c r="AT152" s="1">
        <f t="shared" si="27"/>
        <v>1181600.2755699567</v>
      </c>
      <c r="BC152" s="1">
        <f t="shared" si="28"/>
        <v>795396.37031889905</v>
      </c>
      <c r="BI152" s="4">
        <f t="shared" si="22"/>
        <v>7532402.0953109944</v>
      </c>
      <c r="BJ152" s="2">
        <f t="shared" si="40"/>
        <v>742602.11139248183</v>
      </c>
      <c r="BK152" s="2"/>
      <c r="BL152" s="2"/>
      <c r="BM152" s="2"/>
      <c r="BN152" s="2"/>
      <c r="BO152" s="2"/>
      <c r="BP152" s="2"/>
      <c r="BQ152" s="2">
        <f t="shared" si="42"/>
        <v>606784.05062892707</v>
      </c>
      <c r="BR152" s="2"/>
      <c r="BS152" s="2"/>
      <c r="BT152" s="2"/>
      <c r="BU152" s="2"/>
      <c r="BV152" s="2"/>
      <c r="BW152" s="2"/>
      <c r="BX152" s="2"/>
      <c r="BY152" s="2"/>
      <c r="BZ152" s="1">
        <f t="shared" si="30"/>
        <v>1465866.2266272935</v>
      </c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1">
        <f t="shared" si="31"/>
        <v>441993.26706574834</v>
      </c>
      <c r="CU152" s="2"/>
      <c r="CV152" s="2"/>
      <c r="CW152" s="2"/>
      <c r="CX152" s="1">
        <f t="shared" si="32"/>
        <v>1408704.3116204171</v>
      </c>
      <c r="CY152" s="2"/>
      <c r="CZ152" s="2"/>
      <c r="DA152" s="2"/>
      <c r="DB152" s="2"/>
      <c r="DC152" s="2"/>
      <c r="DD152" s="2"/>
      <c r="DE152" s="1">
        <f t="shared" si="33"/>
        <v>788656.64226192632</v>
      </c>
      <c r="DF152" s="2"/>
      <c r="DG152" s="2"/>
      <c r="DH152" s="2"/>
      <c r="DI152" s="2"/>
      <c r="DJ152" s="2"/>
      <c r="DK152" s="2"/>
      <c r="DL152" s="1">
        <f t="shared" si="34"/>
        <v>928456.79656545015</v>
      </c>
      <c r="DM152" s="2"/>
      <c r="DN152" s="2"/>
      <c r="DO152" s="2"/>
      <c r="DP152" s="2"/>
      <c r="DQ152" s="2"/>
      <c r="DR152" s="2"/>
      <c r="DS152" s="1">
        <f t="shared" si="35"/>
        <v>547416.32120262634</v>
      </c>
      <c r="DT152" s="2"/>
      <c r="DU152" s="2"/>
      <c r="DV152" s="2"/>
      <c r="DW152" s="2"/>
      <c r="DX152" s="2"/>
      <c r="DY152" s="2"/>
      <c r="DZ152" s="2"/>
      <c r="EA152" s="2"/>
      <c r="EB152" s="1">
        <f t="shared" si="36"/>
        <v>64123.631960949046</v>
      </c>
      <c r="EC152" s="2"/>
      <c r="ED152" s="2"/>
      <c r="EE152" s="1">
        <f t="shared" si="37"/>
        <v>117294.78808127916</v>
      </c>
      <c r="EF152" s="2"/>
      <c r="EG152" s="1">
        <f t="shared" si="37"/>
        <v>420503.94790389674</v>
      </c>
      <c r="EH152" s="2"/>
      <c r="HW152" s="4"/>
      <c r="HX152" s="2">
        <f t="shared" si="41"/>
        <v>1788249.9339551816</v>
      </c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1">
        <f t="shared" si="38"/>
        <v>2560589.3997734711</v>
      </c>
      <c r="LU152" s="1">
        <f t="shared" si="39"/>
        <v>1884525.0909070207</v>
      </c>
    </row>
    <row r="153" spans="1:333">
      <c r="A153" s="1">
        <v>1516</v>
      </c>
      <c r="B153" s="1">
        <f t="shared" si="21"/>
        <v>11627049.377166526</v>
      </c>
      <c r="C153" s="1">
        <f t="shared" si="23"/>
        <v>3219882.9496217985</v>
      </c>
      <c r="K153" s="1">
        <f t="shared" si="24"/>
        <v>1419348.8186892404</v>
      </c>
      <c r="U153" s="1">
        <f t="shared" si="25"/>
        <v>1481179.0739855771</v>
      </c>
      <c r="AH153" s="1">
        <f t="shared" si="26"/>
        <v>3522920.1003850331</v>
      </c>
      <c r="AT153" s="1">
        <f t="shared" si="27"/>
        <v>1185617.7165068947</v>
      </c>
      <c r="BC153" s="1">
        <f t="shared" si="28"/>
        <v>798100.71797798341</v>
      </c>
      <c r="BI153" s="4">
        <f t="shared" si="22"/>
        <v>7565768.0325400224</v>
      </c>
      <c r="BJ153" s="2">
        <f t="shared" si="40"/>
        <v>745646.78004919097</v>
      </c>
      <c r="BK153" s="2"/>
      <c r="BL153" s="2"/>
      <c r="BM153" s="2"/>
      <c r="BN153" s="2"/>
      <c r="BO153" s="2"/>
      <c r="BP153" s="2"/>
      <c r="BQ153" s="2">
        <f t="shared" si="42"/>
        <v>608604.40278081375</v>
      </c>
      <c r="BR153" s="2"/>
      <c r="BS153" s="2"/>
      <c r="BT153" s="2"/>
      <c r="BU153" s="2"/>
      <c r="BV153" s="2"/>
      <c r="BW153" s="2"/>
      <c r="BX153" s="2"/>
      <c r="BY153" s="2"/>
      <c r="BZ153" s="1">
        <f t="shared" si="30"/>
        <v>1476127.2902136843</v>
      </c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1">
        <f t="shared" si="31"/>
        <v>443496.04417377192</v>
      </c>
      <c r="CU153" s="2"/>
      <c r="CV153" s="2"/>
      <c r="CW153" s="2"/>
      <c r="CX153" s="1">
        <f t="shared" si="32"/>
        <v>1413493.9062799267</v>
      </c>
      <c r="CY153" s="2"/>
      <c r="CZ153" s="2"/>
      <c r="DA153" s="2"/>
      <c r="DB153" s="2"/>
      <c r="DC153" s="2"/>
      <c r="DD153" s="2"/>
      <c r="DE153" s="1">
        <f t="shared" si="33"/>
        <v>791338.07484561694</v>
      </c>
      <c r="DF153" s="2"/>
      <c r="DG153" s="2"/>
      <c r="DH153" s="2"/>
      <c r="DI153" s="2"/>
      <c r="DJ153" s="2"/>
      <c r="DK153" s="2"/>
      <c r="DL153" s="1">
        <f t="shared" si="34"/>
        <v>931613.54967377277</v>
      </c>
      <c r="DM153" s="2"/>
      <c r="DN153" s="2"/>
      <c r="DO153" s="2"/>
      <c r="DP153" s="2"/>
      <c r="DQ153" s="2"/>
      <c r="DR153" s="2"/>
      <c r="DS153" s="1">
        <f t="shared" si="35"/>
        <v>551248.23545104463</v>
      </c>
      <c r="DT153" s="2"/>
      <c r="DU153" s="2"/>
      <c r="DV153" s="2"/>
      <c r="DW153" s="2"/>
      <c r="DX153" s="2"/>
      <c r="DY153" s="2"/>
      <c r="DZ153" s="2"/>
      <c r="EA153" s="2"/>
      <c r="EB153" s="1">
        <f t="shared" si="36"/>
        <v>64572.497384675684</v>
      </c>
      <c r="EC153" s="2"/>
      <c r="ED153" s="2"/>
      <c r="EE153" s="1">
        <f t="shared" si="37"/>
        <v>117693.59036075551</v>
      </c>
      <c r="EF153" s="2"/>
      <c r="EG153" s="1">
        <f t="shared" si="37"/>
        <v>421933.66132677003</v>
      </c>
      <c r="EH153" s="2"/>
      <c r="HW153" s="4"/>
      <c r="HX153" s="2">
        <f t="shared" si="41"/>
        <v>1796297.0586579798</v>
      </c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1">
        <f t="shared" si="38"/>
        <v>2569295.4037327012</v>
      </c>
      <c r="LU153" s="1">
        <f t="shared" si="39"/>
        <v>1890932.4762161048</v>
      </c>
    </row>
    <row r="154" spans="1:333">
      <c r="A154" s="1">
        <v>1517</v>
      </c>
      <c r="B154" s="1">
        <f t="shared" si="21"/>
        <v>11669771.925730836</v>
      </c>
      <c r="C154" s="1">
        <f t="shared" si="23"/>
        <v>3230830.551650513</v>
      </c>
      <c r="K154" s="1">
        <f t="shared" si="24"/>
        <v>1425735.8883733419</v>
      </c>
      <c r="U154" s="1">
        <f t="shared" si="25"/>
        <v>1487844.3798185121</v>
      </c>
      <c r="AH154" s="1">
        <f t="shared" si="26"/>
        <v>3534898.0287263426</v>
      </c>
      <c r="AT154" s="1">
        <f t="shared" si="27"/>
        <v>1189648.8167430181</v>
      </c>
      <c r="BC154" s="1">
        <f t="shared" si="28"/>
        <v>800814.26041910856</v>
      </c>
      <c r="BI154" s="4">
        <f t="shared" si="22"/>
        <v>7599301.1677185586</v>
      </c>
      <c r="BJ154" s="2">
        <f t="shared" si="40"/>
        <v>748703.9318473927</v>
      </c>
      <c r="BK154" s="2"/>
      <c r="BL154" s="2"/>
      <c r="BM154" s="2"/>
      <c r="BN154" s="2"/>
      <c r="BO154" s="2"/>
      <c r="BP154" s="2"/>
      <c r="BQ154" s="2">
        <f t="shared" si="42"/>
        <v>610430.21598915616</v>
      </c>
      <c r="BR154" s="2"/>
      <c r="BS154" s="2"/>
      <c r="BT154" s="2"/>
      <c r="BU154" s="2"/>
      <c r="BV154" s="2"/>
      <c r="BW154" s="2"/>
      <c r="BX154" s="2"/>
      <c r="BY154" s="2"/>
      <c r="BZ154" s="1">
        <f t="shared" si="30"/>
        <v>1486460.1812451798</v>
      </c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1">
        <f t="shared" si="31"/>
        <v>445003.93072396278</v>
      </c>
      <c r="CU154" s="2"/>
      <c r="CV154" s="2"/>
      <c r="CW154" s="2"/>
      <c r="CX154" s="1">
        <f t="shared" si="32"/>
        <v>1418299.7855612785</v>
      </c>
      <c r="CY154" s="2"/>
      <c r="CZ154" s="2"/>
      <c r="DA154" s="2"/>
      <c r="DB154" s="2"/>
      <c r="DC154" s="2"/>
      <c r="DD154" s="2"/>
      <c r="DE154" s="1">
        <f t="shared" si="33"/>
        <v>794028.62430009211</v>
      </c>
      <c r="DF154" s="2"/>
      <c r="DG154" s="2"/>
      <c r="DH154" s="2"/>
      <c r="DI154" s="2"/>
      <c r="DJ154" s="2"/>
      <c r="DK154" s="2"/>
      <c r="DL154" s="1">
        <f t="shared" si="34"/>
        <v>934781.03574266366</v>
      </c>
      <c r="DM154" s="2"/>
      <c r="DN154" s="2"/>
      <c r="DO154" s="2"/>
      <c r="DP154" s="2"/>
      <c r="DQ154" s="2"/>
      <c r="DR154" s="2"/>
      <c r="DS154" s="1">
        <f t="shared" si="35"/>
        <v>555106.97309920192</v>
      </c>
      <c r="DT154" s="2"/>
      <c r="DU154" s="2"/>
      <c r="DV154" s="2"/>
      <c r="DW154" s="2"/>
      <c r="DX154" s="2"/>
      <c r="DY154" s="2"/>
      <c r="DZ154" s="2"/>
      <c r="EA154" s="2"/>
      <c r="EB154" s="1">
        <f t="shared" si="36"/>
        <v>65024.504866368407</v>
      </c>
      <c r="EC154" s="2"/>
      <c r="ED154" s="2"/>
      <c r="EE154" s="1">
        <f t="shared" si="37"/>
        <v>118093.74856798208</v>
      </c>
      <c r="EF154" s="2"/>
      <c r="EG154" s="1">
        <f t="shared" si="37"/>
        <v>423368.23577528109</v>
      </c>
      <c r="EH154" s="2"/>
      <c r="HW154" s="4"/>
      <c r="HX154" s="2">
        <f t="shared" si="41"/>
        <v>1804380.3954219406</v>
      </c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1">
        <f t="shared" si="38"/>
        <v>2578031.0081053926</v>
      </c>
      <c r="LU154" s="1">
        <f t="shared" si="39"/>
        <v>1897361.6466352397</v>
      </c>
    </row>
    <row r="155" spans="1:333">
      <c r="A155" s="1">
        <v>1518</v>
      </c>
      <c r="B155" s="1">
        <f t="shared" si="21"/>
        <v>11712654.088573331</v>
      </c>
      <c r="C155" s="1">
        <f t="shared" si="23"/>
        <v>3241815.3755261251</v>
      </c>
      <c r="K155" s="1">
        <f t="shared" si="24"/>
        <v>1432151.6998710218</v>
      </c>
      <c r="U155" s="1">
        <f t="shared" si="25"/>
        <v>1494539.6795276953</v>
      </c>
      <c r="AH155" s="1">
        <f t="shared" si="26"/>
        <v>3546916.6820240123</v>
      </c>
      <c r="AT155" s="1">
        <f t="shared" si="27"/>
        <v>1193693.6227199445</v>
      </c>
      <c r="BC155" s="1">
        <f t="shared" si="28"/>
        <v>803537.0289045336</v>
      </c>
      <c r="BI155" s="4">
        <f t="shared" si="22"/>
        <v>7633002.4423278589</v>
      </c>
      <c r="BJ155" s="2">
        <f t="shared" si="40"/>
        <v>751773.61796796706</v>
      </c>
      <c r="BK155" s="2"/>
      <c r="BL155" s="2"/>
      <c r="BM155" s="2"/>
      <c r="BN155" s="2"/>
      <c r="BO155" s="2"/>
      <c r="BP155" s="2"/>
      <c r="BQ155" s="2">
        <f t="shared" si="42"/>
        <v>612261.50663712353</v>
      </c>
      <c r="BR155" s="2"/>
      <c r="BS155" s="2"/>
      <c r="BT155" s="2"/>
      <c r="BU155" s="2"/>
      <c r="BV155" s="2"/>
      <c r="BW155" s="2"/>
      <c r="BX155" s="2"/>
      <c r="BY155" s="2"/>
      <c r="BZ155" s="1">
        <f t="shared" si="30"/>
        <v>1496865.4025138959</v>
      </c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1">
        <f t="shared" si="31"/>
        <v>446516.94408842426</v>
      </c>
      <c r="CU155" s="2"/>
      <c r="CV155" s="2"/>
      <c r="CW155" s="2"/>
      <c r="CX155" s="1">
        <f t="shared" si="32"/>
        <v>1423122.004832187</v>
      </c>
      <c r="CY155" s="2"/>
      <c r="CZ155" s="2"/>
      <c r="DA155" s="2"/>
      <c r="DB155" s="2"/>
      <c r="DC155" s="2"/>
      <c r="DD155" s="2"/>
      <c r="DE155" s="1">
        <f t="shared" si="33"/>
        <v>796728.32162271242</v>
      </c>
      <c r="DF155" s="2"/>
      <c r="DG155" s="2"/>
      <c r="DH155" s="2"/>
      <c r="DI155" s="2"/>
      <c r="DJ155" s="2"/>
      <c r="DK155" s="2"/>
      <c r="DL155" s="1">
        <f t="shared" si="34"/>
        <v>937959.29126418883</v>
      </c>
      <c r="DM155" s="2"/>
      <c r="DN155" s="2"/>
      <c r="DO155" s="2"/>
      <c r="DP155" s="2"/>
      <c r="DQ155" s="2"/>
      <c r="DR155" s="2"/>
      <c r="DS155" s="1">
        <f t="shared" si="35"/>
        <v>558992.72191089625</v>
      </c>
      <c r="DT155" s="2"/>
      <c r="DU155" s="2"/>
      <c r="DV155" s="2"/>
      <c r="DW155" s="2"/>
      <c r="DX155" s="2"/>
      <c r="DY155" s="2"/>
      <c r="DZ155" s="2"/>
      <c r="EA155" s="2"/>
      <c r="EB155" s="1">
        <f t="shared" si="36"/>
        <v>65479.676400432982</v>
      </c>
      <c r="EC155" s="2"/>
      <c r="ED155" s="2"/>
      <c r="EE155" s="1">
        <f t="shared" si="37"/>
        <v>118495.26731311323</v>
      </c>
      <c r="EF155" s="2"/>
      <c r="EG155" s="1">
        <f t="shared" si="37"/>
        <v>424807.68777691707</v>
      </c>
      <c r="EH155" s="2"/>
      <c r="HW155" s="4"/>
      <c r="HX155" s="2">
        <f t="shared" si="41"/>
        <v>1812500.1072013392</v>
      </c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1">
        <f t="shared" si="38"/>
        <v>2586796.3135329513</v>
      </c>
      <c r="LU155" s="1">
        <f t="shared" si="39"/>
        <v>1903812.6762337997</v>
      </c>
    </row>
    <row r="156" spans="1:333">
      <c r="A156" s="1">
        <v>1519</v>
      </c>
      <c r="B156" s="1">
        <f t="shared" ref="B156:B219" si="43">C156+K156+U156+AD156+AH156+AG156+AT156+BC156+R156</f>
        <v>11755696.47299182</v>
      </c>
      <c r="C156" s="1">
        <f t="shared" si="23"/>
        <v>3252837.5478029139</v>
      </c>
      <c r="K156" s="1">
        <f t="shared" si="24"/>
        <v>1438596.3825204412</v>
      </c>
      <c r="U156" s="1">
        <f t="shared" si="25"/>
        <v>1501265.1080855699</v>
      </c>
      <c r="AH156" s="1">
        <f t="shared" si="26"/>
        <v>3558976.198742894</v>
      </c>
      <c r="AT156" s="1">
        <f t="shared" si="27"/>
        <v>1197752.1810371922</v>
      </c>
      <c r="BC156" s="1">
        <f t="shared" si="28"/>
        <v>806269.05480280903</v>
      </c>
      <c r="BI156" s="4">
        <f t="shared" si="22"/>
        <v>7666872.8036446674</v>
      </c>
      <c r="BJ156" s="2">
        <f t="shared" si="40"/>
        <v>754855.88980163576</v>
      </c>
      <c r="BK156" s="2"/>
      <c r="BL156" s="2"/>
      <c r="BM156" s="2"/>
      <c r="BN156" s="2"/>
      <c r="BO156" s="2"/>
      <c r="BP156" s="2"/>
      <c r="BQ156" s="2">
        <f t="shared" si="42"/>
        <v>614098.29115703481</v>
      </c>
      <c r="BR156" s="2"/>
      <c r="BS156" s="2"/>
      <c r="BT156" s="2"/>
      <c r="BU156" s="2"/>
      <c r="BV156" s="2"/>
      <c r="BW156" s="2"/>
      <c r="BX156" s="2"/>
      <c r="BY156" s="2"/>
      <c r="BZ156" s="1">
        <f t="shared" si="30"/>
        <v>1507343.4603314931</v>
      </c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1">
        <f t="shared" si="31"/>
        <v>448035.10169832496</v>
      </c>
      <c r="CU156" s="2"/>
      <c r="CV156" s="2"/>
      <c r="CW156" s="2"/>
      <c r="CX156" s="1">
        <f t="shared" si="32"/>
        <v>1427960.6196486165</v>
      </c>
      <c r="CY156" s="2"/>
      <c r="CZ156" s="2"/>
      <c r="DA156" s="2"/>
      <c r="DB156" s="2"/>
      <c r="DC156" s="2"/>
      <c r="DD156" s="2"/>
      <c r="DE156" s="1">
        <f t="shared" si="33"/>
        <v>799437.19791622972</v>
      </c>
      <c r="DF156" s="2"/>
      <c r="DG156" s="2"/>
      <c r="DH156" s="2"/>
      <c r="DI156" s="2"/>
      <c r="DJ156" s="2"/>
      <c r="DK156" s="2"/>
      <c r="DL156" s="1">
        <f t="shared" si="34"/>
        <v>941148.35285448714</v>
      </c>
      <c r="DM156" s="2"/>
      <c r="DN156" s="2"/>
      <c r="DO156" s="2"/>
      <c r="DP156" s="2"/>
      <c r="DQ156" s="2"/>
      <c r="DR156" s="2"/>
      <c r="DS156" s="1">
        <f t="shared" si="35"/>
        <v>562905.67096427246</v>
      </c>
      <c r="DT156" s="2"/>
      <c r="DU156" s="2"/>
      <c r="DV156" s="2"/>
      <c r="DW156" s="2"/>
      <c r="DX156" s="2"/>
      <c r="DY156" s="2"/>
      <c r="DZ156" s="2"/>
      <c r="EA156" s="2"/>
      <c r="EB156" s="1">
        <f t="shared" si="36"/>
        <v>65938.034135236012</v>
      </c>
      <c r="EC156" s="2"/>
      <c r="ED156" s="2"/>
      <c r="EE156" s="1">
        <f t="shared" si="37"/>
        <v>118898.15122197782</v>
      </c>
      <c r="EF156" s="2"/>
      <c r="EG156" s="1">
        <f t="shared" si="37"/>
        <v>426252.0339153586</v>
      </c>
      <c r="EH156" s="2"/>
      <c r="HW156" s="4"/>
      <c r="HX156" s="2">
        <f t="shared" si="41"/>
        <v>1820656.3576837452</v>
      </c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1">
        <f t="shared" si="38"/>
        <v>2595591.4209989635</v>
      </c>
      <c r="LU156" s="1">
        <f t="shared" si="39"/>
        <v>1910285.6393329948</v>
      </c>
    </row>
    <row r="157" spans="1:333">
      <c r="A157" s="1">
        <v>1520</v>
      </c>
      <c r="B157" s="1">
        <f t="shared" si="43"/>
        <v>11798899.688639659</v>
      </c>
      <c r="C157" s="1">
        <f t="shared" si="23"/>
        <v>3263897.1954654441</v>
      </c>
      <c r="K157" s="1">
        <f t="shared" si="24"/>
        <v>1445070.0662417831</v>
      </c>
      <c r="U157" s="1">
        <f t="shared" si="25"/>
        <v>1508020.8010719549</v>
      </c>
      <c r="AH157" s="1">
        <f t="shared" si="26"/>
        <v>3571076.7178186201</v>
      </c>
      <c r="AT157" s="1">
        <f t="shared" si="27"/>
        <v>1201824.5384527189</v>
      </c>
      <c r="BC157" s="1">
        <f t="shared" si="28"/>
        <v>809010.36958913866</v>
      </c>
      <c r="BI157" s="4">
        <f t="shared" ref="BI157:BI220" si="44">BJ157+BQ157+BW157+BZ157+CH157+CL157+CT157+CX157+DE157+DL157+DS157+EB157+EE157+EG157</f>
        <v>7700913.2047790093</v>
      </c>
      <c r="BJ157" s="2">
        <f t="shared" si="40"/>
        <v>757950.79894982243</v>
      </c>
      <c r="BK157" s="2"/>
      <c r="BL157" s="2"/>
      <c r="BM157" s="2"/>
      <c r="BN157" s="2"/>
      <c r="BO157" s="2"/>
      <c r="BP157" s="2"/>
      <c r="BQ157" s="2">
        <f t="shared" si="42"/>
        <v>615940.58603050583</v>
      </c>
      <c r="BR157" s="2"/>
      <c r="BS157" s="2"/>
      <c r="BT157" s="2"/>
      <c r="BU157" s="2"/>
      <c r="BV157" s="2"/>
      <c r="BW157" s="2"/>
      <c r="BX157" s="2"/>
      <c r="BY157" s="2"/>
      <c r="BZ157" s="1">
        <f t="shared" si="30"/>
        <v>1517894.8645538134</v>
      </c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1">
        <f t="shared" si="31"/>
        <v>449558.42104409932</v>
      </c>
      <c r="CU157" s="2"/>
      <c r="CV157" s="2"/>
      <c r="CW157" s="2"/>
      <c r="CX157" s="1">
        <f t="shared" si="32"/>
        <v>1432815.6857554219</v>
      </c>
      <c r="CY157" s="2"/>
      <c r="CZ157" s="2"/>
      <c r="DA157" s="2"/>
      <c r="DB157" s="2"/>
      <c r="DC157" s="2"/>
      <c r="DD157" s="2"/>
      <c r="DE157" s="1">
        <f t="shared" si="33"/>
        <v>802155.28438914497</v>
      </c>
      <c r="DF157" s="2"/>
      <c r="DG157" s="2"/>
      <c r="DH157" s="2"/>
      <c r="DI157" s="2"/>
      <c r="DJ157" s="2"/>
      <c r="DK157" s="2"/>
      <c r="DL157" s="1">
        <f t="shared" si="34"/>
        <v>944348.25725419249</v>
      </c>
      <c r="DM157" s="2"/>
      <c r="DN157" s="2"/>
      <c r="DO157" s="2"/>
      <c r="DP157" s="2"/>
      <c r="DQ157" s="2"/>
      <c r="DR157" s="2"/>
      <c r="DS157" s="1">
        <f t="shared" si="35"/>
        <v>566846.01066102227</v>
      </c>
      <c r="DT157" s="2"/>
      <c r="DU157" s="2"/>
      <c r="DV157" s="2"/>
      <c r="DW157" s="2"/>
      <c r="DX157" s="2"/>
      <c r="DY157" s="2"/>
      <c r="DZ157" s="2"/>
      <c r="EA157" s="2"/>
      <c r="EB157" s="1">
        <f t="shared" si="36"/>
        <v>66399.600374182657</v>
      </c>
      <c r="EC157" s="2"/>
      <c r="ED157" s="2"/>
      <c r="EE157" s="1">
        <f t="shared" si="37"/>
        <v>119302.40493613256</v>
      </c>
      <c r="EF157" s="2"/>
      <c r="EG157" s="1">
        <f t="shared" si="37"/>
        <v>427701.29083067086</v>
      </c>
      <c r="EH157" s="2"/>
      <c r="HW157" s="4"/>
      <c r="HX157" s="2">
        <f t="shared" si="41"/>
        <v>1828849.3112933219</v>
      </c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1">
        <f t="shared" si="38"/>
        <v>2604416.4318303601</v>
      </c>
      <c r="LU157" s="1">
        <f t="shared" si="39"/>
        <v>1916780.6105067271</v>
      </c>
    </row>
    <row r="158" spans="1:333">
      <c r="A158" s="1">
        <v>1521</v>
      </c>
      <c r="B158" s="1">
        <f t="shared" si="43"/>
        <v>11842264.347535081</v>
      </c>
      <c r="C158" s="1">
        <f t="shared" ref="C158:C221" si="45">C157*1.0034</f>
        <v>3274994.4459300269</v>
      </c>
      <c r="K158" s="1">
        <f t="shared" ref="K158:K221" si="46">K157*1.0045</f>
        <v>1451572.881539871</v>
      </c>
      <c r="U158" s="1">
        <f t="shared" ref="U158:U221" si="47">U157*1.0045</f>
        <v>1514806.8946767787</v>
      </c>
      <c r="AH158" s="1">
        <f t="shared" ref="AH158:AH221" si="48">AH157*1.0034</f>
        <v>3583218.3786592036</v>
      </c>
      <c r="AT158" s="1">
        <f t="shared" ref="AT158:AT221" si="49">AT157*1.0034</f>
        <v>1205910.7418834581</v>
      </c>
      <c r="BC158" s="1">
        <f t="shared" ref="BC158:BC221" si="50">BC157*1.0034</f>
        <v>811761.00484574179</v>
      </c>
      <c r="BI158" s="4">
        <f t="shared" si="44"/>
        <v>7735124.6047122311</v>
      </c>
      <c r="BJ158" s="2">
        <f t="shared" si="40"/>
        <v>761058.39722551673</v>
      </c>
      <c r="BK158" s="2"/>
      <c r="BL158" s="2"/>
      <c r="BM158" s="2"/>
      <c r="BN158" s="2"/>
      <c r="BO158" s="2"/>
      <c r="BP158" s="2"/>
      <c r="BQ158" s="2">
        <f t="shared" si="42"/>
        <v>617788.40778859728</v>
      </c>
      <c r="BR158" s="2"/>
      <c r="BS158" s="2"/>
      <c r="BT158" s="2"/>
      <c r="BU158" s="2"/>
      <c r="BV158" s="2"/>
      <c r="BW158" s="2"/>
      <c r="BX158" s="2"/>
      <c r="BY158" s="2"/>
      <c r="BZ158" s="1">
        <f t="shared" ref="BZ158:BZ221" si="51">BZ157*1.007</f>
        <v>1528520.1286056899</v>
      </c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1">
        <f t="shared" ref="CT158:CT221" si="52">CT157*1.0034</f>
        <v>451086.91967564926</v>
      </c>
      <c r="CU158" s="2"/>
      <c r="CV158" s="2"/>
      <c r="CW158" s="2"/>
      <c r="CX158" s="1">
        <f t="shared" ref="CX158:CX221" si="53">CX157*1.0034</f>
        <v>1437687.2590869905</v>
      </c>
      <c r="CY158" s="2"/>
      <c r="CZ158" s="2"/>
      <c r="DA158" s="2"/>
      <c r="DB158" s="2"/>
      <c r="DC158" s="2"/>
      <c r="DD158" s="2"/>
      <c r="DE158" s="1">
        <f t="shared" ref="DE158:DE221" si="54">DE157*1.0034</f>
        <v>804882.6123560681</v>
      </c>
      <c r="DF158" s="2"/>
      <c r="DG158" s="2"/>
      <c r="DH158" s="2"/>
      <c r="DI158" s="2"/>
      <c r="DJ158" s="2"/>
      <c r="DK158" s="2"/>
      <c r="DL158" s="1">
        <f t="shared" ref="DL158:DL221" si="55">DL157*1.0034</f>
        <v>947559.04132885684</v>
      </c>
      <c r="DM158" s="2"/>
      <c r="DN158" s="2"/>
      <c r="DO158" s="2"/>
      <c r="DP158" s="2"/>
      <c r="DQ158" s="2"/>
      <c r="DR158" s="2"/>
      <c r="DS158" s="1">
        <f t="shared" ref="DS158:DS221" si="56">DS157*1.007</f>
        <v>570813.9327356494</v>
      </c>
      <c r="DT158" s="2"/>
      <c r="DU158" s="2"/>
      <c r="DV158" s="2"/>
      <c r="DW158" s="2"/>
      <c r="DX158" s="2"/>
      <c r="DY158" s="2"/>
      <c r="DZ158" s="2"/>
      <c r="EA158" s="2"/>
      <c r="EB158" s="1">
        <f t="shared" ref="EB158:EB221" si="57">EB157*1.007</f>
        <v>66864.39757680193</v>
      </c>
      <c r="EC158" s="2"/>
      <c r="ED158" s="2"/>
      <c r="EE158" s="1">
        <f t="shared" ref="EE158:EG221" si="58">EE157*1.0034</f>
        <v>119708.03311291542</v>
      </c>
      <c r="EF158" s="2"/>
      <c r="EG158" s="1">
        <f t="shared" si="58"/>
        <v>429155.47521949519</v>
      </c>
      <c r="EH158" s="2"/>
      <c r="HW158" s="4"/>
      <c r="HX158" s="2">
        <f t="shared" si="41"/>
        <v>1837079.1331941418</v>
      </c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1">
        <f t="shared" ref="LO158:LO221" si="59">LO157*1.0034</f>
        <v>2613271.4476985834</v>
      </c>
      <c r="LU158" s="1">
        <f t="shared" ref="LU158:LU221" si="60">LU157*1.0034</f>
        <v>1923297.6645824502</v>
      </c>
    </row>
    <row r="159" spans="1:333">
      <c r="A159" s="1">
        <v>1522</v>
      </c>
      <c r="B159" s="1">
        <f t="shared" si="43"/>
        <v>11885791.06407054</v>
      </c>
      <c r="C159" s="1">
        <f t="shared" si="45"/>
        <v>3286129.4270461891</v>
      </c>
      <c r="K159" s="1">
        <f t="shared" si="46"/>
        <v>1458104.9595068004</v>
      </c>
      <c r="U159" s="1">
        <f t="shared" si="47"/>
        <v>1521623.5257028241</v>
      </c>
      <c r="AH159" s="1">
        <f t="shared" si="48"/>
        <v>3595401.3211466451</v>
      </c>
      <c r="AT159" s="1">
        <f t="shared" si="49"/>
        <v>1210010.838405862</v>
      </c>
      <c r="BC159" s="1">
        <f t="shared" si="50"/>
        <v>814520.99226221733</v>
      </c>
      <c r="BI159" s="4">
        <f t="shared" si="44"/>
        <v>7769507.9683353007</v>
      </c>
      <c r="BJ159" s="2">
        <f t="shared" ref="BJ159:BJ222" si="61">BJ158*1.0041</f>
        <v>764178.73665414134</v>
      </c>
      <c r="BK159" s="2"/>
      <c r="BL159" s="2"/>
      <c r="BM159" s="2"/>
      <c r="BN159" s="2"/>
      <c r="BO159" s="2"/>
      <c r="BP159" s="2"/>
      <c r="BQ159" s="2">
        <f t="shared" si="42"/>
        <v>619641.773011963</v>
      </c>
      <c r="BR159" s="2"/>
      <c r="BS159" s="2"/>
      <c r="BT159" s="2"/>
      <c r="BU159" s="2"/>
      <c r="BV159" s="2"/>
      <c r="BW159" s="2"/>
      <c r="BX159" s="2"/>
      <c r="BY159" s="2"/>
      <c r="BZ159" s="1">
        <f t="shared" si="51"/>
        <v>1539219.7695059294</v>
      </c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1">
        <f t="shared" si="52"/>
        <v>452620.61520254653</v>
      </c>
      <c r="CU159" s="2"/>
      <c r="CV159" s="2"/>
      <c r="CW159" s="2"/>
      <c r="CX159" s="1">
        <f t="shared" si="53"/>
        <v>1442575.3957678864</v>
      </c>
      <c r="CY159" s="2"/>
      <c r="CZ159" s="2"/>
      <c r="DA159" s="2"/>
      <c r="DB159" s="2"/>
      <c r="DC159" s="2"/>
      <c r="DD159" s="2"/>
      <c r="DE159" s="1">
        <f t="shared" si="54"/>
        <v>807619.21323807875</v>
      </c>
      <c r="DF159" s="2"/>
      <c r="DG159" s="2"/>
      <c r="DH159" s="2"/>
      <c r="DI159" s="2"/>
      <c r="DJ159" s="2"/>
      <c r="DK159" s="2"/>
      <c r="DL159" s="1">
        <f t="shared" si="55"/>
        <v>950780.742069375</v>
      </c>
      <c r="DM159" s="2"/>
      <c r="DN159" s="2"/>
      <c r="DO159" s="2"/>
      <c r="DP159" s="2"/>
      <c r="DQ159" s="2"/>
      <c r="DR159" s="2"/>
      <c r="DS159" s="1">
        <f t="shared" si="56"/>
        <v>574809.63026479888</v>
      </c>
      <c r="DT159" s="2"/>
      <c r="DU159" s="2"/>
      <c r="DV159" s="2"/>
      <c r="DW159" s="2"/>
      <c r="DX159" s="2"/>
      <c r="DY159" s="2"/>
      <c r="DZ159" s="2"/>
      <c r="EA159" s="2"/>
      <c r="EB159" s="1">
        <f t="shared" si="57"/>
        <v>67332.448359839531</v>
      </c>
      <c r="EC159" s="2"/>
      <c r="ED159" s="2"/>
      <c r="EE159" s="1">
        <f t="shared" si="58"/>
        <v>120115.04042549935</v>
      </c>
      <c r="EF159" s="2"/>
      <c r="EG159" s="1">
        <f t="shared" si="58"/>
        <v>430614.60383524152</v>
      </c>
      <c r="EH159" s="2"/>
      <c r="HW159" s="4"/>
      <c r="HX159" s="2">
        <f t="shared" si="41"/>
        <v>1845345.9892935152</v>
      </c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1">
        <f t="shared" si="59"/>
        <v>2622156.5706207589</v>
      </c>
      <c r="LU159" s="1">
        <f t="shared" si="60"/>
        <v>1929836.8766420307</v>
      </c>
    </row>
    <row r="160" spans="1:333">
      <c r="A160" s="1">
        <v>1523</v>
      </c>
      <c r="B160" s="1">
        <f t="shared" si="43"/>
        <v>11929480.455022108</v>
      </c>
      <c r="C160" s="1">
        <f t="shared" si="45"/>
        <v>3297302.2670981465</v>
      </c>
      <c r="K160" s="1">
        <f t="shared" si="46"/>
        <v>1464666.431824581</v>
      </c>
      <c r="U160" s="1">
        <f t="shared" si="47"/>
        <v>1528470.8315684868</v>
      </c>
      <c r="AH160" s="1">
        <f t="shared" si="48"/>
        <v>3607625.6856385441</v>
      </c>
      <c r="AT160" s="1">
        <f t="shared" si="49"/>
        <v>1214124.875256442</v>
      </c>
      <c r="BC160" s="1">
        <f t="shared" si="50"/>
        <v>817290.36363590893</v>
      </c>
      <c r="BI160" s="4">
        <f t="shared" si="44"/>
        <v>7804064.2664873637</v>
      </c>
      <c r="BJ160" s="2">
        <f t="shared" si="61"/>
        <v>767311.86947442335</v>
      </c>
      <c r="BK160" s="2"/>
      <c r="BL160" s="2"/>
      <c r="BM160" s="2"/>
      <c r="BN160" s="2"/>
      <c r="BO160" s="2"/>
      <c r="BP160" s="2"/>
      <c r="BQ160" s="2">
        <f t="shared" si="42"/>
        <v>621500.69833099877</v>
      </c>
      <c r="BR160" s="2"/>
      <c r="BS160" s="2"/>
      <c r="BT160" s="2"/>
      <c r="BU160" s="2"/>
      <c r="BV160" s="2"/>
      <c r="BW160" s="2"/>
      <c r="BX160" s="2"/>
      <c r="BY160" s="2"/>
      <c r="BZ160" s="1">
        <f t="shared" si="51"/>
        <v>1549994.3078924709</v>
      </c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1">
        <f t="shared" si="52"/>
        <v>454159.52529423521</v>
      </c>
      <c r="CU160" s="2"/>
      <c r="CV160" s="2"/>
      <c r="CW160" s="2"/>
      <c r="CX160" s="1">
        <f t="shared" si="53"/>
        <v>1447480.1521134973</v>
      </c>
      <c r="CY160" s="2"/>
      <c r="CZ160" s="2"/>
      <c r="DA160" s="2"/>
      <c r="DB160" s="2"/>
      <c r="DC160" s="2"/>
      <c r="DD160" s="2"/>
      <c r="DE160" s="1">
        <f t="shared" si="54"/>
        <v>810365.11856308824</v>
      </c>
      <c r="DF160" s="2"/>
      <c r="DG160" s="2"/>
      <c r="DH160" s="2"/>
      <c r="DI160" s="2"/>
      <c r="DJ160" s="2"/>
      <c r="DK160" s="2"/>
      <c r="DL160" s="1">
        <f t="shared" si="55"/>
        <v>954013.39659241098</v>
      </c>
      <c r="DM160" s="2"/>
      <c r="DN160" s="2"/>
      <c r="DO160" s="2"/>
      <c r="DP160" s="2"/>
      <c r="DQ160" s="2"/>
      <c r="DR160" s="2"/>
      <c r="DS160" s="1">
        <f t="shared" si="56"/>
        <v>578833.29767665244</v>
      </c>
      <c r="DT160" s="2"/>
      <c r="DU160" s="2"/>
      <c r="DV160" s="2"/>
      <c r="DW160" s="2"/>
      <c r="DX160" s="2"/>
      <c r="DY160" s="2"/>
      <c r="DZ160" s="2"/>
      <c r="EA160" s="2"/>
      <c r="EB160" s="1">
        <f t="shared" si="57"/>
        <v>67803.775498358402</v>
      </c>
      <c r="EC160" s="2"/>
      <c r="ED160" s="2"/>
      <c r="EE160" s="1">
        <f t="shared" si="58"/>
        <v>120523.43156294606</v>
      </c>
      <c r="EF160" s="2"/>
      <c r="EG160" s="1">
        <f t="shared" si="58"/>
        <v>432078.69348828139</v>
      </c>
      <c r="EH160" s="2"/>
      <c r="HW160" s="4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1">
        <f t="shared" si="59"/>
        <v>2631071.9029608695</v>
      </c>
      <c r="LU160" s="1">
        <f t="shared" si="60"/>
        <v>1936398.3220226136</v>
      </c>
    </row>
    <row r="161" spans="1:333">
      <c r="A161" s="1">
        <v>1524</v>
      </c>
      <c r="B161" s="1">
        <f t="shared" si="43"/>
        <v>11973333.139558919</v>
      </c>
      <c r="C161" s="1">
        <f t="shared" si="45"/>
        <v>3308513.0948062805</v>
      </c>
      <c r="K161" s="1">
        <f t="shared" si="46"/>
        <v>1471257.4307677916</v>
      </c>
      <c r="U161" s="1">
        <f t="shared" si="47"/>
        <v>1535348.9503105448</v>
      </c>
      <c r="AH161" s="1">
        <f t="shared" si="48"/>
        <v>3619891.6129697156</v>
      </c>
      <c r="AT161" s="1">
        <f t="shared" si="49"/>
        <v>1218252.8998323139</v>
      </c>
      <c r="BC161" s="1">
        <f t="shared" si="50"/>
        <v>820069.15087227104</v>
      </c>
      <c r="BI161" s="4">
        <f t="shared" si="44"/>
        <v>7838794.4759945618</v>
      </c>
      <c r="BJ161" s="2">
        <f t="shared" si="61"/>
        <v>770457.84813926846</v>
      </c>
      <c r="BK161" s="2"/>
      <c r="BL161" s="2"/>
      <c r="BM161" s="2"/>
      <c r="BN161" s="2"/>
      <c r="BO161" s="2"/>
      <c r="BP161" s="2"/>
      <c r="BQ161" s="2">
        <f t="shared" si="42"/>
        <v>623365.20042599167</v>
      </c>
      <c r="BR161" s="2"/>
      <c r="BS161" s="2"/>
      <c r="BT161" s="2"/>
      <c r="BU161" s="2"/>
      <c r="BV161" s="2"/>
      <c r="BW161" s="2"/>
      <c r="BX161" s="2"/>
      <c r="BY161" s="2"/>
      <c r="BZ161" s="1">
        <f t="shared" si="51"/>
        <v>1560844.2680477181</v>
      </c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1">
        <f t="shared" si="52"/>
        <v>455703.66768023564</v>
      </c>
      <c r="CU161" s="2"/>
      <c r="CV161" s="2"/>
      <c r="CW161" s="2"/>
      <c r="CX161" s="1">
        <f t="shared" si="53"/>
        <v>1452401.5846306833</v>
      </c>
      <c r="CY161" s="2"/>
      <c r="CZ161" s="2"/>
      <c r="DA161" s="2"/>
      <c r="DB161" s="2"/>
      <c r="DC161" s="2"/>
      <c r="DD161" s="2"/>
      <c r="DE161" s="1">
        <f t="shared" si="54"/>
        <v>813120.35996620276</v>
      </c>
      <c r="DF161" s="2"/>
      <c r="DG161" s="2"/>
      <c r="DH161" s="2"/>
      <c r="DI161" s="2"/>
      <c r="DJ161" s="2"/>
      <c r="DK161" s="2"/>
      <c r="DL161" s="1">
        <f t="shared" si="55"/>
        <v>957257.04214082519</v>
      </c>
      <c r="DM161" s="2"/>
      <c r="DN161" s="2"/>
      <c r="DO161" s="2"/>
      <c r="DP161" s="2"/>
      <c r="DQ161" s="2"/>
      <c r="DR161" s="2"/>
      <c r="DS161" s="1">
        <f t="shared" si="56"/>
        <v>582885.13076038891</v>
      </c>
      <c r="DT161" s="2"/>
      <c r="DU161" s="2"/>
      <c r="DV161" s="2"/>
      <c r="DW161" s="2"/>
      <c r="DX161" s="2"/>
      <c r="DY161" s="2"/>
      <c r="DZ161" s="2"/>
      <c r="EA161" s="2"/>
      <c r="EB161" s="1">
        <f t="shared" si="57"/>
        <v>68278.401926846898</v>
      </c>
      <c r="EC161" s="2"/>
      <c r="ED161" s="2"/>
      <c r="EE161" s="1">
        <f t="shared" si="58"/>
        <v>120933.21123026009</v>
      </c>
      <c r="EF161" s="2"/>
      <c r="EG161" s="1">
        <f t="shared" si="58"/>
        <v>433547.76104614156</v>
      </c>
      <c r="EH161" s="2"/>
      <c r="HW161" s="4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1">
        <f t="shared" si="59"/>
        <v>2640017.5474309367</v>
      </c>
      <c r="LU161" s="1">
        <f t="shared" si="60"/>
        <v>1942982.0763174905</v>
      </c>
    </row>
    <row r="162" spans="1:333">
      <c r="A162" s="1">
        <v>1525</v>
      </c>
      <c r="B162" s="1">
        <f t="shared" si="43"/>
        <v>12017349.739252605</v>
      </c>
      <c r="C162" s="1">
        <f t="shared" si="45"/>
        <v>3319762.0393286222</v>
      </c>
      <c r="K162" s="1">
        <f t="shared" si="46"/>
        <v>1477878.0892062467</v>
      </c>
      <c r="U162" s="1">
        <f t="shared" si="47"/>
        <v>1542258.0205869421</v>
      </c>
      <c r="AH162" s="1">
        <f t="shared" si="48"/>
        <v>3632199.2444538129</v>
      </c>
      <c r="AT162" s="1">
        <f t="shared" si="49"/>
        <v>1222394.9596917438</v>
      </c>
      <c r="BC162" s="1">
        <f t="shared" si="50"/>
        <v>822857.38598523685</v>
      </c>
      <c r="BI162" s="4">
        <f t="shared" si="44"/>
        <v>7873699.5797091173</v>
      </c>
      <c r="BJ162" s="2">
        <f t="shared" si="61"/>
        <v>773616.72531663941</v>
      </c>
      <c r="BK162" s="2"/>
      <c r="BL162" s="2"/>
      <c r="BM162" s="2"/>
      <c r="BN162" s="2"/>
      <c r="BO162" s="2"/>
      <c r="BP162" s="2"/>
      <c r="BQ162" s="2">
        <f t="shared" si="42"/>
        <v>625235.29602726956</v>
      </c>
      <c r="BR162" s="2"/>
      <c r="BS162" s="2"/>
      <c r="BT162" s="2"/>
      <c r="BU162" s="2"/>
      <c r="BV162" s="2"/>
      <c r="BW162" s="2"/>
      <c r="BX162" s="2"/>
      <c r="BY162" s="2"/>
      <c r="BZ162" s="1">
        <f t="shared" si="51"/>
        <v>1571770.1779240519</v>
      </c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1">
        <f t="shared" si="52"/>
        <v>457253.06015034846</v>
      </c>
      <c r="CU162" s="2"/>
      <c r="CV162" s="2"/>
      <c r="CW162" s="2"/>
      <c r="CX162" s="1">
        <f t="shared" si="53"/>
        <v>1457339.7500184276</v>
      </c>
      <c r="CY162" s="2"/>
      <c r="CZ162" s="2"/>
      <c r="DA162" s="2"/>
      <c r="DB162" s="2"/>
      <c r="DC162" s="2"/>
      <c r="DD162" s="2"/>
      <c r="DE162" s="1">
        <f t="shared" si="54"/>
        <v>815884.96919008787</v>
      </c>
      <c r="DF162" s="2"/>
      <c r="DG162" s="2"/>
      <c r="DH162" s="2"/>
      <c r="DI162" s="2"/>
      <c r="DJ162" s="2"/>
      <c r="DK162" s="2"/>
      <c r="DL162" s="1">
        <f t="shared" si="55"/>
        <v>960511.71608410403</v>
      </c>
      <c r="DM162" s="2"/>
      <c r="DN162" s="2"/>
      <c r="DO162" s="2"/>
      <c r="DP162" s="2"/>
      <c r="DQ162" s="2"/>
      <c r="DR162" s="2"/>
      <c r="DS162" s="1">
        <f t="shared" si="56"/>
        <v>586965.32667571155</v>
      </c>
      <c r="DT162" s="2"/>
      <c r="DU162" s="2"/>
      <c r="DV162" s="2"/>
      <c r="DW162" s="2"/>
      <c r="DX162" s="2"/>
      <c r="DY162" s="2"/>
      <c r="DZ162" s="2"/>
      <c r="EA162" s="2"/>
      <c r="EB162" s="1">
        <f t="shared" si="57"/>
        <v>68756.350740334819</v>
      </c>
      <c r="EC162" s="2"/>
      <c r="ED162" s="2"/>
      <c r="EE162" s="1">
        <f t="shared" si="58"/>
        <v>121344.38414844299</v>
      </c>
      <c r="EF162" s="2"/>
      <c r="EG162" s="1">
        <f t="shared" si="58"/>
        <v>435021.82343369845</v>
      </c>
      <c r="EH162" s="2"/>
      <c r="HW162" s="4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1">
        <f t="shared" si="59"/>
        <v>2648993.6070922022</v>
      </c>
      <c r="LU162" s="1">
        <f t="shared" si="60"/>
        <v>1949588.2153769701</v>
      </c>
    </row>
    <row r="163" spans="1:333">
      <c r="A163" s="1">
        <v>1526</v>
      </c>
      <c r="B163" s="1">
        <f t="shared" si="43"/>
        <v>12061530.878086837</v>
      </c>
      <c r="C163" s="1">
        <f t="shared" si="45"/>
        <v>3331049.2302623396</v>
      </c>
      <c r="K163" s="1">
        <f t="shared" si="46"/>
        <v>1484528.5406076747</v>
      </c>
      <c r="U163" s="1">
        <f t="shared" si="47"/>
        <v>1549198.1816795832</v>
      </c>
      <c r="AH163" s="1">
        <f t="shared" si="48"/>
        <v>3644548.7218849561</v>
      </c>
      <c r="AT163" s="1">
        <f t="shared" si="49"/>
        <v>1226551.1025546959</v>
      </c>
      <c r="BC163" s="1">
        <f t="shared" si="50"/>
        <v>825655.10109758668</v>
      </c>
      <c r="BI163" s="4">
        <f t="shared" si="44"/>
        <v>7908780.5665486613</v>
      </c>
      <c r="BJ163" s="2">
        <f t="shared" si="61"/>
        <v>776788.55389043759</v>
      </c>
      <c r="BK163" s="2"/>
      <c r="BL163" s="2"/>
      <c r="BM163" s="2"/>
      <c r="BN163" s="2"/>
      <c r="BO163" s="2"/>
      <c r="BP163" s="2"/>
      <c r="BQ163" s="2">
        <f t="shared" si="42"/>
        <v>627111.00191535125</v>
      </c>
      <c r="BR163" s="2"/>
      <c r="BS163" s="2"/>
      <c r="BT163" s="2"/>
      <c r="BU163" s="2"/>
      <c r="BV163" s="2"/>
      <c r="BW163" s="2"/>
      <c r="BX163" s="2"/>
      <c r="BY163" s="2"/>
      <c r="BZ163" s="1">
        <f t="shared" si="51"/>
        <v>1582772.5691695202</v>
      </c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1">
        <f t="shared" si="52"/>
        <v>458807.72055485967</v>
      </c>
      <c r="CU163" s="2"/>
      <c r="CV163" s="2"/>
      <c r="CW163" s="2"/>
      <c r="CX163" s="1">
        <f t="shared" si="53"/>
        <v>1462294.7051684903</v>
      </c>
      <c r="CY163" s="2"/>
      <c r="CZ163" s="2"/>
      <c r="DA163" s="2"/>
      <c r="DB163" s="2"/>
      <c r="DC163" s="2"/>
      <c r="DD163" s="2"/>
      <c r="DE163" s="1">
        <f t="shared" si="54"/>
        <v>818658.97808533418</v>
      </c>
      <c r="DF163" s="2"/>
      <c r="DG163" s="2"/>
      <c r="DH163" s="2"/>
      <c r="DI163" s="2"/>
      <c r="DJ163" s="2"/>
      <c r="DK163" s="2"/>
      <c r="DL163" s="1">
        <f t="shared" si="55"/>
        <v>963777.45591879007</v>
      </c>
      <c r="DM163" s="2"/>
      <c r="DN163" s="2"/>
      <c r="DO163" s="2"/>
      <c r="DP163" s="2"/>
      <c r="DQ163" s="2"/>
      <c r="DR163" s="2"/>
      <c r="DS163" s="1">
        <f t="shared" si="56"/>
        <v>591074.08396244142</v>
      </c>
      <c r="DT163" s="2"/>
      <c r="DU163" s="2"/>
      <c r="DV163" s="2"/>
      <c r="DW163" s="2"/>
      <c r="DX163" s="2"/>
      <c r="DY163" s="2"/>
      <c r="DZ163" s="2"/>
      <c r="EA163" s="2"/>
      <c r="EB163" s="1">
        <f t="shared" si="57"/>
        <v>69237.645195517151</v>
      </c>
      <c r="EC163" s="2"/>
      <c r="ED163" s="2"/>
      <c r="EE163" s="1">
        <f t="shared" si="58"/>
        <v>121756.9550545477</v>
      </c>
      <c r="EF163" s="2"/>
      <c r="EG163" s="1">
        <f t="shared" si="58"/>
        <v>436500.89763337304</v>
      </c>
      <c r="EH163" s="2"/>
      <c r="HW163" s="4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1">
        <f t="shared" si="59"/>
        <v>2658000.1853563157</v>
      </c>
      <c r="LU163" s="1">
        <f t="shared" si="60"/>
        <v>1956216.8153092519</v>
      </c>
    </row>
    <row r="164" spans="1:333">
      <c r="A164" s="1">
        <v>1527</v>
      </c>
      <c r="B164" s="1">
        <f t="shared" si="43"/>
        <v>12105877.182466848</v>
      </c>
      <c r="C164" s="1">
        <f t="shared" si="45"/>
        <v>3342374.7976452317</v>
      </c>
      <c r="K164" s="1">
        <f t="shared" si="46"/>
        <v>1491208.9190404091</v>
      </c>
      <c r="U164" s="1">
        <f t="shared" si="47"/>
        <v>1556169.5734971412</v>
      </c>
      <c r="AH164" s="1">
        <f t="shared" si="48"/>
        <v>3656940.1875393651</v>
      </c>
      <c r="AT164" s="1">
        <f t="shared" si="49"/>
        <v>1230721.376303382</v>
      </c>
      <c r="BC164" s="1">
        <f t="shared" si="50"/>
        <v>828462.32844131859</v>
      </c>
      <c r="BI164" s="4">
        <f t="shared" si="44"/>
        <v>7944038.4315358642</v>
      </c>
      <c r="BJ164" s="2">
        <f t="shared" si="61"/>
        <v>779973.3869613884</v>
      </c>
      <c r="BK164" s="2"/>
      <c r="BL164" s="2"/>
      <c r="BM164" s="2"/>
      <c r="BN164" s="2"/>
      <c r="BO164" s="2"/>
      <c r="BP164" s="2"/>
      <c r="BQ164" s="2">
        <f t="shared" si="42"/>
        <v>628992.33492109727</v>
      </c>
      <c r="BR164" s="2"/>
      <c r="BS164" s="2"/>
      <c r="BT164" s="2"/>
      <c r="BU164" s="2"/>
      <c r="BV164" s="2"/>
      <c r="BW164" s="2"/>
      <c r="BX164" s="2"/>
      <c r="BY164" s="2"/>
      <c r="BZ164" s="1">
        <f t="shared" si="51"/>
        <v>1593851.9771537066</v>
      </c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1">
        <f t="shared" si="52"/>
        <v>460367.6668047462</v>
      </c>
      <c r="CU164" s="2"/>
      <c r="CV164" s="2"/>
      <c r="CW164" s="2"/>
      <c r="CX164" s="1">
        <f t="shared" si="53"/>
        <v>1467266.5071660632</v>
      </c>
      <c r="CY164" s="2"/>
      <c r="CZ164" s="2"/>
      <c r="DA164" s="2"/>
      <c r="DB164" s="2"/>
      <c r="DC164" s="2"/>
      <c r="DD164" s="2"/>
      <c r="DE164" s="1">
        <f t="shared" si="54"/>
        <v>821442.41861082439</v>
      </c>
      <c r="DF164" s="2"/>
      <c r="DG164" s="2"/>
      <c r="DH164" s="2"/>
      <c r="DI164" s="2"/>
      <c r="DJ164" s="2"/>
      <c r="DK164" s="2"/>
      <c r="DL164" s="1">
        <f t="shared" si="55"/>
        <v>967054.29926891404</v>
      </c>
      <c r="DM164" s="2"/>
      <c r="DN164" s="2"/>
      <c r="DO164" s="2"/>
      <c r="DP164" s="2"/>
      <c r="DQ164" s="2"/>
      <c r="DR164" s="2"/>
      <c r="DS164" s="1">
        <f t="shared" si="56"/>
        <v>595211.60255017842</v>
      </c>
      <c r="DT164" s="2"/>
      <c r="DU164" s="2"/>
      <c r="DV164" s="2"/>
      <c r="DW164" s="2"/>
      <c r="DX164" s="2"/>
      <c r="DY164" s="2"/>
      <c r="DZ164" s="2"/>
      <c r="EA164" s="2"/>
      <c r="EB164" s="1">
        <f t="shared" si="57"/>
        <v>69722.308711885766</v>
      </c>
      <c r="EC164" s="2"/>
      <c r="ED164" s="2"/>
      <c r="EE164" s="1">
        <f t="shared" si="58"/>
        <v>122170.92870173317</v>
      </c>
      <c r="EF164" s="2"/>
      <c r="EG164" s="1">
        <f t="shared" si="58"/>
        <v>437985.00068532652</v>
      </c>
      <c r="EH164" s="2"/>
      <c r="HW164" s="4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1">
        <f t="shared" si="59"/>
        <v>2667037.3859865274</v>
      </c>
      <c r="LU164" s="1">
        <f t="shared" si="60"/>
        <v>1962867.9524813036</v>
      </c>
    </row>
    <row r="165" spans="1:333">
      <c r="A165" s="1">
        <v>1528</v>
      </c>
      <c r="B165" s="1">
        <f t="shared" si="43"/>
        <v>12150389.281229027</v>
      </c>
      <c r="C165" s="1">
        <f t="shared" si="45"/>
        <v>3353738.8719572257</v>
      </c>
      <c r="K165" s="1">
        <f t="shared" si="46"/>
        <v>1497919.3591760909</v>
      </c>
      <c r="U165" s="1">
        <f t="shared" si="47"/>
        <v>1563172.3365778783</v>
      </c>
      <c r="AH165" s="1">
        <f t="shared" si="48"/>
        <v>3669373.7841769992</v>
      </c>
      <c r="AT165" s="1">
        <f t="shared" si="49"/>
        <v>1234905.8289828135</v>
      </c>
      <c r="BC165" s="1">
        <f t="shared" si="50"/>
        <v>831279.10035801912</v>
      </c>
      <c r="BI165" s="4">
        <f t="shared" si="44"/>
        <v>7979474.1758382861</v>
      </c>
      <c r="BJ165" s="2">
        <f t="shared" si="61"/>
        <v>783171.27784793009</v>
      </c>
      <c r="BK165" s="2"/>
      <c r="BL165" s="2"/>
      <c r="BM165" s="2"/>
      <c r="BN165" s="2"/>
      <c r="BO165" s="2"/>
      <c r="BP165" s="2"/>
      <c r="BQ165" s="2">
        <f t="shared" si="42"/>
        <v>630879.31192586047</v>
      </c>
      <c r="BR165" s="2"/>
      <c r="BS165" s="2"/>
      <c r="BT165" s="2"/>
      <c r="BU165" s="2"/>
      <c r="BV165" s="2"/>
      <c r="BW165" s="2"/>
      <c r="BX165" s="2"/>
      <c r="BY165" s="2"/>
      <c r="BZ165" s="1">
        <f t="shared" si="51"/>
        <v>1605008.9409937824</v>
      </c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1">
        <f t="shared" si="52"/>
        <v>461932.91687188239</v>
      </c>
      <c r="CU165" s="2"/>
      <c r="CV165" s="2"/>
      <c r="CW165" s="2"/>
      <c r="CX165" s="1">
        <f t="shared" si="53"/>
        <v>1472255.2132904278</v>
      </c>
      <c r="CY165" s="2"/>
      <c r="CZ165" s="2"/>
      <c r="DA165" s="2"/>
      <c r="DB165" s="2"/>
      <c r="DC165" s="2"/>
      <c r="DD165" s="2"/>
      <c r="DE165" s="1">
        <f t="shared" si="54"/>
        <v>824235.32283410127</v>
      </c>
      <c r="DF165" s="2"/>
      <c r="DG165" s="2"/>
      <c r="DH165" s="2"/>
      <c r="DI165" s="2"/>
      <c r="DJ165" s="2"/>
      <c r="DK165" s="2"/>
      <c r="DL165" s="1">
        <f t="shared" si="55"/>
        <v>970342.28388642846</v>
      </c>
      <c r="DM165" s="2"/>
      <c r="DN165" s="2"/>
      <c r="DO165" s="2"/>
      <c r="DP165" s="2"/>
      <c r="DQ165" s="2"/>
      <c r="DR165" s="2"/>
      <c r="DS165" s="1">
        <f t="shared" si="56"/>
        <v>599378.08376802958</v>
      </c>
      <c r="DT165" s="2"/>
      <c r="DU165" s="2"/>
      <c r="DV165" s="2"/>
      <c r="DW165" s="2"/>
      <c r="DX165" s="2"/>
      <c r="DY165" s="2"/>
      <c r="DZ165" s="2"/>
      <c r="EA165" s="2"/>
      <c r="EB165" s="1">
        <f t="shared" si="57"/>
        <v>70210.364872868959</v>
      </c>
      <c r="EC165" s="2"/>
      <c r="ED165" s="2"/>
      <c r="EE165" s="1">
        <f t="shared" si="58"/>
        <v>122586.30985931907</v>
      </c>
      <c r="EF165" s="2"/>
      <c r="EG165" s="1">
        <f t="shared" si="58"/>
        <v>439474.14968765667</v>
      </c>
      <c r="EH165" s="2"/>
      <c r="HW165" s="4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1">
        <f t="shared" si="59"/>
        <v>2676105.3130988819</v>
      </c>
      <c r="LU165" s="1">
        <f t="shared" si="60"/>
        <v>1969541.7035197401</v>
      </c>
    </row>
    <row r="166" spans="1:333">
      <c r="A166" s="1">
        <v>1529</v>
      </c>
      <c r="B166" s="1">
        <f t="shared" si="43"/>
        <v>12195067.805650536</v>
      </c>
      <c r="C166" s="1">
        <f t="shared" si="45"/>
        <v>3365141.5841218806</v>
      </c>
      <c r="K166" s="1">
        <f t="shared" si="46"/>
        <v>1504659.9962923832</v>
      </c>
      <c r="U166" s="1">
        <f t="shared" si="47"/>
        <v>1570206.6120924787</v>
      </c>
      <c r="AH166" s="1">
        <f t="shared" si="48"/>
        <v>3681849.6550432015</v>
      </c>
      <c r="AT166" s="1">
        <f t="shared" si="49"/>
        <v>1239104.5088013553</v>
      </c>
      <c r="BC166" s="1">
        <f t="shared" si="50"/>
        <v>834105.44929923641</v>
      </c>
      <c r="BI166" s="4">
        <f t="shared" si="44"/>
        <v>8015088.8068085462</v>
      </c>
      <c r="BJ166" s="2">
        <f t="shared" si="61"/>
        <v>786382.28008710663</v>
      </c>
      <c r="BK166" s="2"/>
      <c r="BL166" s="2"/>
      <c r="BM166" s="2"/>
      <c r="BN166" s="2"/>
      <c r="BO166" s="2"/>
      <c r="BP166" s="2"/>
      <c r="BQ166" s="2">
        <f t="shared" si="42"/>
        <v>632771.94986163802</v>
      </c>
      <c r="BR166" s="2"/>
      <c r="BS166" s="2"/>
      <c r="BT166" s="2"/>
      <c r="BU166" s="2"/>
      <c r="BV166" s="2"/>
      <c r="BW166" s="2"/>
      <c r="BX166" s="2"/>
      <c r="BY166" s="2"/>
      <c r="BZ166" s="1">
        <f t="shared" si="51"/>
        <v>1616244.0035807388</v>
      </c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1">
        <f t="shared" si="52"/>
        <v>463503.48878924683</v>
      </c>
      <c r="CU166" s="2"/>
      <c r="CV166" s="2"/>
      <c r="CW166" s="2"/>
      <c r="CX166" s="1">
        <f t="shared" si="53"/>
        <v>1477260.8810156153</v>
      </c>
      <c r="CY166" s="2"/>
      <c r="CZ166" s="2"/>
      <c r="DA166" s="2"/>
      <c r="DB166" s="2"/>
      <c r="DC166" s="2"/>
      <c r="DD166" s="2"/>
      <c r="DE166" s="1">
        <f t="shared" si="54"/>
        <v>827037.72293173731</v>
      </c>
      <c r="DF166" s="2"/>
      <c r="DG166" s="2"/>
      <c r="DH166" s="2"/>
      <c r="DI166" s="2"/>
      <c r="DJ166" s="2"/>
      <c r="DK166" s="2"/>
      <c r="DL166" s="1">
        <f t="shared" si="55"/>
        <v>973641.44765164237</v>
      </c>
      <c r="DM166" s="2"/>
      <c r="DN166" s="2"/>
      <c r="DO166" s="2"/>
      <c r="DP166" s="2"/>
      <c r="DQ166" s="2"/>
      <c r="DR166" s="2"/>
      <c r="DS166" s="1">
        <f t="shared" si="56"/>
        <v>603573.73035440571</v>
      </c>
      <c r="DT166" s="2"/>
      <c r="DU166" s="2"/>
      <c r="DV166" s="2"/>
      <c r="DW166" s="2"/>
      <c r="DX166" s="2"/>
      <c r="DY166" s="2"/>
      <c r="DZ166" s="2"/>
      <c r="EA166" s="2"/>
      <c r="EB166" s="1">
        <f t="shared" si="57"/>
        <v>70701.837426979037</v>
      </c>
      <c r="EC166" s="2"/>
      <c r="ED166" s="2"/>
      <c r="EE166" s="1">
        <f t="shared" si="58"/>
        <v>123003.10331284076</v>
      </c>
      <c r="EF166" s="2"/>
      <c r="EG166" s="1">
        <f t="shared" si="58"/>
        <v>440968.36179659475</v>
      </c>
      <c r="EH166" s="2"/>
      <c r="HW166" s="4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1">
        <f t="shared" si="59"/>
        <v>2685204.0711634182</v>
      </c>
      <c r="LU166" s="1">
        <f t="shared" si="60"/>
        <v>1976238.1453117074</v>
      </c>
    </row>
    <row r="167" spans="1:333">
      <c r="A167" s="1">
        <v>1530</v>
      </c>
      <c r="B167" s="1">
        <f t="shared" si="43"/>
        <v>12239913.389458971</v>
      </c>
      <c r="C167" s="1">
        <f t="shared" si="45"/>
        <v>3376583.0655078953</v>
      </c>
      <c r="K167" s="1">
        <f t="shared" si="46"/>
        <v>1511430.9662756987</v>
      </c>
      <c r="U167" s="1">
        <f t="shared" si="47"/>
        <v>1577272.5418468947</v>
      </c>
      <c r="AH167" s="1">
        <f t="shared" si="48"/>
        <v>3694367.9438703489</v>
      </c>
      <c r="AT167" s="1">
        <f t="shared" si="49"/>
        <v>1243317.4641312798</v>
      </c>
      <c r="BC167" s="1">
        <f t="shared" si="50"/>
        <v>836941.40782685392</v>
      </c>
      <c r="BI167" s="4">
        <f t="shared" si="44"/>
        <v>8050883.338024715</v>
      </c>
      <c r="BJ167" s="2">
        <f t="shared" si="61"/>
        <v>789606.44743546378</v>
      </c>
      <c r="BK167" s="2"/>
      <c r="BL167" s="2"/>
      <c r="BM167" s="2"/>
      <c r="BN167" s="2"/>
      <c r="BO167" s="2"/>
      <c r="BP167" s="2"/>
      <c r="BQ167" s="2">
        <f t="shared" si="42"/>
        <v>634670.26571122289</v>
      </c>
      <c r="BR167" s="2"/>
      <c r="BS167" s="2"/>
      <c r="BT167" s="2"/>
      <c r="BU167" s="2"/>
      <c r="BV167" s="2"/>
      <c r="BW167" s="2"/>
      <c r="BX167" s="2"/>
      <c r="BY167" s="2"/>
      <c r="BZ167" s="1">
        <f t="shared" si="51"/>
        <v>1627557.7116058038</v>
      </c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1">
        <f t="shared" si="52"/>
        <v>465079.4006511303</v>
      </c>
      <c r="CU167" s="2"/>
      <c r="CV167" s="2"/>
      <c r="CW167" s="2"/>
      <c r="CX167" s="1">
        <f t="shared" si="53"/>
        <v>1482283.5680110685</v>
      </c>
      <c r="CY167" s="2"/>
      <c r="CZ167" s="2"/>
      <c r="DA167" s="2"/>
      <c r="DB167" s="2"/>
      <c r="DC167" s="2"/>
      <c r="DD167" s="2"/>
      <c r="DE167" s="1">
        <f t="shared" si="54"/>
        <v>829849.65118970524</v>
      </c>
      <c r="DF167" s="2"/>
      <c r="DG167" s="2"/>
      <c r="DH167" s="2"/>
      <c r="DI167" s="2"/>
      <c r="DJ167" s="2"/>
      <c r="DK167" s="2"/>
      <c r="DL167" s="1">
        <f t="shared" si="55"/>
        <v>976951.82857365801</v>
      </c>
      <c r="DM167" s="2"/>
      <c r="DN167" s="2"/>
      <c r="DO167" s="2"/>
      <c r="DP167" s="2"/>
      <c r="DQ167" s="2"/>
      <c r="DR167" s="2"/>
      <c r="DS167" s="1">
        <f t="shared" si="56"/>
        <v>607798.74646688648</v>
      </c>
      <c r="DT167" s="2"/>
      <c r="DU167" s="2"/>
      <c r="DV167" s="2"/>
      <c r="DW167" s="2"/>
      <c r="DX167" s="2"/>
      <c r="DY167" s="2"/>
      <c r="DZ167" s="2"/>
      <c r="EA167" s="2"/>
      <c r="EB167" s="1">
        <f t="shared" si="57"/>
        <v>71196.750288967887</v>
      </c>
      <c r="EC167" s="2"/>
      <c r="ED167" s="2"/>
      <c r="EE167" s="1">
        <f t="shared" si="58"/>
        <v>123421.31386410442</v>
      </c>
      <c r="EF167" s="2"/>
      <c r="EG167" s="1">
        <f t="shared" si="58"/>
        <v>442467.65422670322</v>
      </c>
      <c r="EH167" s="2"/>
      <c r="HW167" s="4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1">
        <f t="shared" si="59"/>
        <v>2694333.7650053739</v>
      </c>
      <c r="LU167" s="1">
        <f t="shared" si="60"/>
        <v>1982957.3550057674</v>
      </c>
    </row>
    <row r="168" spans="1:333">
      <c r="A168" s="1">
        <v>1531</v>
      </c>
      <c r="B168" s="1">
        <f t="shared" si="43"/>
        <v>12284926.668842068</v>
      </c>
      <c r="C168" s="1">
        <f t="shared" si="45"/>
        <v>3388063.4479306224</v>
      </c>
      <c r="K168" s="1">
        <f t="shared" si="46"/>
        <v>1518232.4056239394</v>
      </c>
      <c r="U168" s="1">
        <f t="shared" si="47"/>
        <v>1584370.2682852056</v>
      </c>
      <c r="AH168" s="1">
        <f t="shared" si="48"/>
        <v>3706928.7948795082</v>
      </c>
      <c r="AT168" s="1">
        <f t="shared" si="49"/>
        <v>1247544.7435093264</v>
      </c>
      <c r="BC168" s="1">
        <f t="shared" si="50"/>
        <v>839787.00861346524</v>
      </c>
      <c r="BI168" s="4">
        <f t="shared" si="44"/>
        <v>8086858.7893310199</v>
      </c>
      <c r="BJ168" s="2">
        <f t="shared" si="61"/>
        <v>792843.83386994922</v>
      </c>
      <c r="BK168" s="2"/>
      <c r="BL168" s="2"/>
      <c r="BM168" s="2"/>
      <c r="BN168" s="2"/>
      <c r="BO168" s="2"/>
      <c r="BP168" s="2"/>
      <c r="BQ168" s="2">
        <f t="shared" si="42"/>
        <v>636574.27650835644</v>
      </c>
      <c r="BR168" s="2"/>
      <c r="BS168" s="2"/>
      <c r="BT168" s="2"/>
      <c r="BU168" s="2"/>
      <c r="BV168" s="2"/>
      <c r="BW168" s="2"/>
      <c r="BX168" s="2"/>
      <c r="BY168" s="2"/>
      <c r="BZ168" s="1">
        <f t="shared" si="51"/>
        <v>1638950.6155870443</v>
      </c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1">
        <f t="shared" si="52"/>
        <v>466660.67061334418</v>
      </c>
      <c r="CU168" s="2"/>
      <c r="CV168" s="2"/>
      <c r="CW168" s="2"/>
      <c r="CX168" s="1">
        <f t="shared" si="53"/>
        <v>1487323.3321423063</v>
      </c>
      <c r="CY168" s="2"/>
      <c r="CZ168" s="2"/>
      <c r="DA168" s="2"/>
      <c r="DB168" s="2"/>
      <c r="DC168" s="2"/>
      <c r="DD168" s="2"/>
      <c r="DE168" s="1">
        <f t="shared" si="54"/>
        <v>832671.14000375033</v>
      </c>
      <c r="DF168" s="2"/>
      <c r="DG168" s="2"/>
      <c r="DH168" s="2"/>
      <c r="DI168" s="2"/>
      <c r="DJ168" s="2"/>
      <c r="DK168" s="2"/>
      <c r="DL168" s="1">
        <f t="shared" si="55"/>
        <v>980273.4647908085</v>
      </c>
      <c r="DM168" s="2"/>
      <c r="DN168" s="2"/>
      <c r="DO168" s="2"/>
      <c r="DP168" s="2"/>
      <c r="DQ168" s="2"/>
      <c r="DR168" s="2"/>
      <c r="DS168" s="1">
        <f t="shared" si="56"/>
        <v>612053.33769215457</v>
      </c>
      <c r="DT168" s="2"/>
      <c r="DU168" s="2"/>
      <c r="DV168" s="2"/>
      <c r="DW168" s="2"/>
      <c r="DX168" s="2"/>
      <c r="DY168" s="2"/>
      <c r="DZ168" s="2"/>
      <c r="EA168" s="2"/>
      <c r="EB168" s="1">
        <f t="shared" si="57"/>
        <v>71695.127540990652</v>
      </c>
      <c r="EC168" s="2"/>
      <c r="ED168" s="2"/>
      <c r="EE168" s="1">
        <f t="shared" si="58"/>
        <v>123840.94633124239</v>
      </c>
      <c r="EF168" s="2"/>
      <c r="EG168" s="1">
        <f t="shared" si="58"/>
        <v>443972.04425107402</v>
      </c>
      <c r="EH168" s="2"/>
      <c r="HW168" s="4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1">
        <f t="shared" si="59"/>
        <v>2703494.4998063925</v>
      </c>
      <c r="LU168" s="1">
        <f t="shared" si="60"/>
        <v>1989699.4100127872</v>
      </c>
    </row>
    <row r="169" spans="1:333">
      <c r="A169" s="1">
        <v>1532</v>
      </c>
      <c r="B169" s="1">
        <f t="shared" si="43"/>
        <v>12330108.282457432</v>
      </c>
      <c r="C169" s="1">
        <f t="shared" si="45"/>
        <v>3399582.8636535867</v>
      </c>
      <c r="K169" s="1">
        <f t="shared" si="46"/>
        <v>1525064.4514492471</v>
      </c>
      <c r="U169" s="1">
        <f t="shared" si="47"/>
        <v>1591499.9344924889</v>
      </c>
      <c r="AH169" s="1">
        <f t="shared" si="48"/>
        <v>3719532.3527820986</v>
      </c>
      <c r="AT169" s="1">
        <f t="shared" si="49"/>
        <v>1251786.3956372582</v>
      </c>
      <c r="BC169" s="1">
        <f t="shared" si="50"/>
        <v>842642.28444275109</v>
      </c>
      <c r="BI169" s="4">
        <f t="shared" si="44"/>
        <v>8123016.186878805</v>
      </c>
      <c r="BJ169" s="2">
        <f t="shared" si="61"/>
        <v>796094.49358881603</v>
      </c>
      <c r="BK169" s="2"/>
      <c r="BL169" s="2"/>
      <c r="BM169" s="2"/>
      <c r="BN169" s="2"/>
      <c r="BO169" s="2"/>
      <c r="BP169" s="2"/>
      <c r="BQ169" s="2">
        <f t="shared" si="42"/>
        <v>638483.99933788145</v>
      </c>
      <c r="BR169" s="2"/>
      <c r="BS169" s="2"/>
      <c r="BT169" s="2"/>
      <c r="BU169" s="2"/>
      <c r="BV169" s="2"/>
      <c r="BW169" s="2"/>
      <c r="BX169" s="2"/>
      <c r="BY169" s="2"/>
      <c r="BZ169" s="1">
        <f t="shared" si="51"/>
        <v>1650423.2698961534</v>
      </c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1">
        <f t="shared" si="52"/>
        <v>468247.31689342955</v>
      </c>
      <c r="CU169" s="2"/>
      <c r="CV169" s="2"/>
      <c r="CW169" s="2"/>
      <c r="CX169" s="1">
        <f t="shared" si="53"/>
        <v>1492380.2314715902</v>
      </c>
      <c r="CY169" s="2"/>
      <c r="CZ169" s="2"/>
      <c r="DA169" s="2"/>
      <c r="DB169" s="2"/>
      <c r="DC169" s="2"/>
      <c r="DD169" s="2"/>
      <c r="DE169" s="1">
        <f t="shared" si="54"/>
        <v>835502.22187976318</v>
      </c>
      <c r="DF169" s="2"/>
      <c r="DG169" s="2"/>
      <c r="DH169" s="2"/>
      <c r="DI169" s="2"/>
      <c r="DJ169" s="2"/>
      <c r="DK169" s="2"/>
      <c r="DL169" s="1">
        <f t="shared" si="55"/>
        <v>983606.39457109733</v>
      </c>
      <c r="DM169" s="2"/>
      <c r="DN169" s="2"/>
      <c r="DO169" s="2"/>
      <c r="DP169" s="2"/>
      <c r="DQ169" s="2"/>
      <c r="DR169" s="2"/>
      <c r="DS169" s="1">
        <f t="shared" si="56"/>
        <v>616337.71105599962</v>
      </c>
      <c r="DT169" s="2"/>
      <c r="DU169" s="2"/>
      <c r="DV169" s="2"/>
      <c r="DW169" s="2"/>
      <c r="DX169" s="2"/>
      <c r="DY169" s="2"/>
      <c r="DZ169" s="2"/>
      <c r="EA169" s="2"/>
      <c r="EB169" s="1">
        <f t="shared" si="57"/>
        <v>72196.993433777578</v>
      </c>
      <c r="EC169" s="2"/>
      <c r="ED169" s="2"/>
      <c r="EE169" s="1">
        <f t="shared" si="58"/>
        <v>124262.00554876862</v>
      </c>
      <c r="EF169" s="2"/>
      <c r="EG169" s="1">
        <f t="shared" si="58"/>
        <v>445481.54920152773</v>
      </c>
      <c r="EH169" s="2"/>
      <c r="HW169" s="4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1">
        <f t="shared" si="59"/>
        <v>2712686.3811057345</v>
      </c>
      <c r="LU169" s="1">
        <f t="shared" si="60"/>
        <v>1996464.3880068308</v>
      </c>
    </row>
    <row r="170" spans="1:333">
      <c r="A170" s="1">
        <v>1533</v>
      </c>
      <c r="B170" s="1">
        <f t="shared" si="43"/>
        <v>12375458.871442322</v>
      </c>
      <c r="C170" s="1">
        <f t="shared" si="45"/>
        <v>3411141.4453900093</v>
      </c>
      <c r="K170" s="1">
        <f t="shared" si="46"/>
        <v>1531927.2414807687</v>
      </c>
      <c r="U170" s="1">
        <f t="shared" si="47"/>
        <v>1598661.684197705</v>
      </c>
      <c r="AH170" s="1">
        <f t="shared" si="48"/>
        <v>3732178.7627815581</v>
      </c>
      <c r="AT170" s="1">
        <f t="shared" si="49"/>
        <v>1256042.4693824248</v>
      </c>
      <c r="BC170" s="1">
        <f t="shared" si="50"/>
        <v>845507.26820985647</v>
      </c>
      <c r="BI170" s="4">
        <f t="shared" si="44"/>
        <v>8159356.5631677583</v>
      </c>
      <c r="BJ170" s="2">
        <f t="shared" si="61"/>
        <v>799358.48101253016</v>
      </c>
      <c r="BK170" s="2"/>
      <c r="BL170" s="2"/>
      <c r="BM170" s="2"/>
      <c r="BN170" s="2"/>
      <c r="BO170" s="2"/>
      <c r="BP170" s="2"/>
      <c r="BQ170" s="2">
        <f t="shared" si="42"/>
        <v>640399.45133589499</v>
      </c>
      <c r="BR170" s="2"/>
      <c r="BS170" s="2"/>
      <c r="BT170" s="2"/>
      <c r="BU170" s="2"/>
      <c r="BV170" s="2"/>
      <c r="BW170" s="2"/>
      <c r="BX170" s="2"/>
      <c r="BY170" s="2"/>
      <c r="BZ170" s="1">
        <f t="shared" si="51"/>
        <v>1661976.2327854263</v>
      </c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1">
        <f t="shared" si="52"/>
        <v>469839.35777086724</v>
      </c>
      <c r="CU170" s="2"/>
      <c r="CV170" s="2"/>
      <c r="CW170" s="2"/>
      <c r="CX170" s="1">
        <f t="shared" si="53"/>
        <v>1497454.3242585938</v>
      </c>
      <c r="CY170" s="2"/>
      <c r="CZ170" s="2"/>
      <c r="DA170" s="2"/>
      <c r="DB170" s="2"/>
      <c r="DC170" s="2"/>
      <c r="DD170" s="2"/>
      <c r="DE170" s="1">
        <f t="shared" si="54"/>
        <v>838342.92943415442</v>
      </c>
      <c r="DF170" s="2"/>
      <c r="DG170" s="2"/>
      <c r="DH170" s="2"/>
      <c r="DI170" s="2"/>
      <c r="DJ170" s="2"/>
      <c r="DK170" s="2"/>
      <c r="DL170" s="1">
        <f t="shared" si="55"/>
        <v>986950.65631263913</v>
      </c>
      <c r="DM170" s="2"/>
      <c r="DN170" s="2"/>
      <c r="DO170" s="2"/>
      <c r="DP170" s="2"/>
      <c r="DQ170" s="2"/>
      <c r="DR170" s="2"/>
      <c r="DS170" s="1">
        <f t="shared" si="56"/>
        <v>620652.07503339159</v>
      </c>
      <c r="DT170" s="2"/>
      <c r="DU170" s="2"/>
      <c r="DV170" s="2"/>
      <c r="DW170" s="2"/>
      <c r="DX170" s="2"/>
      <c r="DY170" s="2"/>
      <c r="DZ170" s="2"/>
      <c r="EA170" s="2"/>
      <c r="EB170" s="1">
        <f t="shared" si="57"/>
        <v>72702.372387814015</v>
      </c>
      <c r="EC170" s="2"/>
      <c r="ED170" s="2"/>
      <c r="EE170" s="1">
        <f t="shared" si="58"/>
        <v>124684.49636763443</v>
      </c>
      <c r="EF170" s="2"/>
      <c r="EG170" s="1">
        <f t="shared" si="58"/>
        <v>446996.18646881293</v>
      </c>
      <c r="EH170" s="2"/>
      <c r="HW170" s="4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1">
        <f t="shared" si="59"/>
        <v>2721909.5148014943</v>
      </c>
      <c r="LU170" s="1">
        <f t="shared" si="60"/>
        <v>2003252.3669260542</v>
      </c>
    </row>
    <row r="171" spans="1:333">
      <c r="A171" s="1">
        <v>1534</v>
      </c>
      <c r="B171" s="1">
        <f t="shared" si="43"/>
        <v>12420979.079423472</v>
      </c>
      <c r="C171" s="1">
        <f t="shared" si="45"/>
        <v>3422739.3263043356</v>
      </c>
      <c r="K171" s="1">
        <f t="shared" si="46"/>
        <v>1538820.9140674321</v>
      </c>
      <c r="U171" s="1">
        <f t="shared" si="47"/>
        <v>1605855.6617765946</v>
      </c>
      <c r="AH171" s="1">
        <f t="shared" si="48"/>
        <v>3744868.1705750157</v>
      </c>
      <c r="AT171" s="1">
        <f t="shared" si="49"/>
        <v>1260313.0137783252</v>
      </c>
      <c r="BC171" s="1">
        <f t="shared" si="50"/>
        <v>848381.99292177008</v>
      </c>
      <c r="BI171" s="4">
        <f t="shared" si="44"/>
        <v>8195880.9570874479</v>
      </c>
      <c r="BJ171" s="2">
        <f t="shared" si="61"/>
        <v>802635.8507846815</v>
      </c>
      <c r="BK171" s="2"/>
      <c r="BL171" s="2"/>
      <c r="BM171" s="2"/>
      <c r="BN171" s="2"/>
      <c r="BO171" s="2"/>
      <c r="BP171" s="2"/>
      <c r="BQ171" s="2">
        <f t="shared" si="42"/>
        <v>642320.64968990255</v>
      </c>
      <c r="BR171" s="2"/>
      <c r="BS171" s="2"/>
      <c r="BT171" s="2"/>
      <c r="BU171" s="2"/>
      <c r="BV171" s="2"/>
      <c r="BW171" s="2"/>
      <c r="BX171" s="2"/>
      <c r="BY171" s="2"/>
      <c r="BZ171" s="1">
        <f t="shared" si="51"/>
        <v>1673610.0664149241</v>
      </c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1">
        <f t="shared" si="52"/>
        <v>471436.81158728822</v>
      </c>
      <c r="CU171" s="2"/>
      <c r="CV171" s="2"/>
      <c r="CW171" s="2"/>
      <c r="CX171" s="1">
        <f t="shared" si="53"/>
        <v>1502545.6689610733</v>
      </c>
      <c r="CY171" s="2"/>
      <c r="CZ171" s="2"/>
      <c r="DA171" s="2"/>
      <c r="DB171" s="2"/>
      <c r="DC171" s="2"/>
      <c r="DD171" s="2"/>
      <c r="DE171" s="1">
        <f t="shared" si="54"/>
        <v>841193.29539423063</v>
      </c>
      <c r="DF171" s="2"/>
      <c r="DG171" s="2"/>
      <c r="DH171" s="2"/>
      <c r="DI171" s="2"/>
      <c r="DJ171" s="2"/>
      <c r="DK171" s="2"/>
      <c r="DL171" s="1">
        <f t="shared" si="55"/>
        <v>990306.28854410222</v>
      </c>
      <c r="DM171" s="2"/>
      <c r="DN171" s="2"/>
      <c r="DO171" s="2"/>
      <c r="DP171" s="2"/>
      <c r="DQ171" s="2"/>
      <c r="DR171" s="2"/>
      <c r="DS171" s="1">
        <f t="shared" si="56"/>
        <v>624996.63955862529</v>
      </c>
      <c r="DT171" s="2"/>
      <c r="DU171" s="2"/>
      <c r="DV171" s="2"/>
      <c r="DW171" s="2"/>
      <c r="DX171" s="2"/>
      <c r="DY171" s="2"/>
      <c r="DZ171" s="2"/>
      <c r="EA171" s="2"/>
      <c r="EB171" s="1">
        <f t="shared" si="57"/>
        <v>73211.288994528702</v>
      </c>
      <c r="EC171" s="2"/>
      <c r="ED171" s="2"/>
      <c r="EE171" s="1">
        <f t="shared" si="58"/>
        <v>125108.42365528439</v>
      </c>
      <c r="EF171" s="2"/>
      <c r="EG171" s="1">
        <f t="shared" si="58"/>
        <v>448515.97350280691</v>
      </c>
      <c r="EH171" s="2"/>
      <c r="HW171" s="4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1">
        <f t="shared" si="59"/>
        <v>2731164.0071518198</v>
      </c>
      <c r="LU171" s="1">
        <f t="shared" si="60"/>
        <v>2010063.4249736029</v>
      </c>
    </row>
    <row r="172" spans="1:333">
      <c r="A172" s="1">
        <v>1535</v>
      </c>
      <c r="B172" s="1">
        <f t="shared" si="43"/>
        <v>12466669.552526943</v>
      </c>
      <c r="C172" s="1">
        <f t="shared" si="45"/>
        <v>3434376.6400137707</v>
      </c>
      <c r="K172" s="1">
        <f t="shared" si="46"/>
        <v>1545745.6081807355</v>
      </c>
      <c r="U172" s="1">
        <f t="shared" si="47"/>
        <v>1613082.0122545892</v>
      </c>
      <c r="AH172" s="1">
        <f t="shared" si="48"/>
        <v>3757600.7223549709</v>
      </c>
      <c r="AT172" s="1">
        <f t="shared" si="49"/>
        <v>1264598.0780251715</v>
      </c>
      <c r="BC172" s="1">
        <f t="shared" si="50"/>
        <v>851266.49169770419</v>
      </c>
      <c r="BI172" s="4">
        <f t="shared" si="44"/>
        <v>8232590.4139591046</v>
      </c>
      <c r="BJ172" s="2">
        <f t="shared" si="61"/>
        <v>805926.65777289867</v>
      </c>
      <c r="BK172" s="2"/>
      <c r="BL172" s="2"/>
      <c r="BM172" s="2"/>
      <c r="BN172" s="2"/>
      <c r="BO172" s="2"/>
      <c r="BP172" s="2"/>
      <c r="BQ172" s="2">
        <f t="shared" si="42"/>
        <v>644247.61163897219</v>
      </c>
      <c r="BR172" s="2"/>
      <c r="BS172" s="2"/>
      <c r="BT172" s="2"/>
      <c r="BU172" s="2"/>
      <c r="BV172" s="2"/>
      <c r="BW172" s="2"/>
      <c r="BX172" s="2"/>
      <c r="BY172" s="2"/>
      <c r="BZ172" s="1">
        <f t="shared" si="51"/>
        <v>1685325.3368798285</v>
      </c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1">
        <f t="shared" si="52"/>
        <v>473039.69674668502</v>
      </c>
      <c r="CU172" s="2"/>
      <c r="CV172" s="2"/>
      <c r="CW172" s="2"/>
      <c r="CX172" s="1">
        <f t="shared" si="53"/>
        <v>1507654.324235541</v>
      </c>
      <c r="CY172" s="2"/>
      <c r="CZ172" s="2"/>
      <c r="DA172" s="2"/>
      <c r="DB172" s="2"/>
      <c r="DC172" s="2"/>
      <c r="DD172" s="2"/>
      <c r="DE172" s="1">
        <f t="shared" si="54"/>
        <v>844053.3525985711</v>
      </c>
      <c r="DF172" s="2"/>
      <c r="DG172" s="2"/>
      <c r="DH172" s="2"/>
      <c r="DI172" s="2"/>
      <c r="DJ172" s="2"/>
      <c r="DK172" s="2"/>
      <c r="DL172" s="1">
        <f t="shared" si="55"/>
        <v>993673.32992515224</v>
      </c>
      <c r="DM172" s="2"/>
      <c r="DN172" s="2"/>
      <c r="DO172" s="2"/>
      <c r="DP172" s="2"/>
      <c r="DQ172" s="2"/>
      <c r="DR172" s="2"/>
      <c r="DS172" s="1">
        <f t="shared" si="56"/>
        <v>629371.61603553558</v>
      </c>
      <c r="DT172" s="2"/>
      <c r="DU172" s="2"/>
      <c r="DV172" s="2"/>
      <c r="DW172" s="2"/>
      <c r="DX172" s="2"/>
      <c r="DY172" s="2"/>
      <c r="DZ172" s="2"/>
      <c r="EA172" s="2"/>
      <c r="EB172" s="1">
        <f t="shared" si="57"/>
        <v>73723.768017490394</v>
      </c>
      <c r="EC172" s="2"/>
      <c r="ED172" s="2"/>
      <c r="EE172" s="1">
        <f t="shared" si="58"/>
        <v>125533.79229571237</v>
      </c>
      <c r="EF172" s="2"/>
      <c r="EG172" s="1">
        <f t="shared" si="58"/>
        <v>450040.92781271646</v>
      </c>
      <c r="EH172" s="2"/>
      <c r="HW172" s="4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1">
        <f t="shared" si="59"/>
        <v>2740449.964776136</v>
      </c>
      <c r="LU172" s="1">
        <f t="shared" si="60"/>
        <v>2016897.6406185133</v>
      </c>
    </row>
    <row r="173" spans="1:333">
      <c r="A173" s="1">
        <v>1536</v>
      </c>
      <c r="B173" s="1">
        <f t="shared" si="43"/>
        <v>12512530.939388013</v>
      </c>
      <c r="C173" s="1">
        <f t="shared" si="45"/>
        <v>3446053.5205898178</v>
      </c>
      <c r="K173" s="1">
        <f t="shared" si="46"/>
        <v>1552701.4634175487</v>
      </c>
      <c r="U173" s="1">
        <f t="shared" si="47"/>
        <v>1620340.8813097349</v>
      </c>
      <c r="AH173" s="1">
        <f t="shared" si="48"/>
        <v>3770376.5648109782</v>
      </c>
      <c r="AT173" s="1">
        <f t="shared" si="49"/>
        <v>1268897.7114904572</v>
      </c>
      <c r="BC173" s="1">
        <f t="shared" si="50"/>
        <v>854160.79776947643</v>
      </c>
      <c r="BI173" s="4">
        <f t="shared" si="44"/>
        <v>8269485.9855777072</v>
      </c>
      <c r="BJ173" s="2">
        <f t="shared" si="61"/>
        <v>809230.95706976752</v>
      </c>
      <c r="BK173" s="2"/>
      <c r="BL173" s="2"/>
      <c r="BM173" s="2"/>
      <c r="BN173" s="2"/>
      <c r="BO173" s="2"/>
      <c r="BP173" s="2"/>
      <c r="BQ173" s="2">
        <f t="shared" si="42"/>
        <v>646180.35447388899</v>
      </c>
      <c r="BR173" s="2"/>
      <c r="BS173" s="2"/>
      <c r="BT173" s="2"/>
      <c r="BU173" s="2"/>
      <c r="BV173" s="2"/>
      <c r="BW173" s="2"/>
      <c r="BX173" s="2"/>
      <c r="BY173" s="2"/>
      <c r="BZ173" s="1">
        <f t="shared" si="51"/>
        <v>1697122.6142379872</v>
      </c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1">
        <f t="shared" si="52"/>
        <v>474648.0317156238</v>
      </c>
      <c r="CU173" s="2"/>
      <c r="CV173" s="2"/>
      <c r="CW173" s="2"/>
      <c r="CX173" s="1">
        <f t="shared" si="53"/>
        <v>1512780.3489379419</v>
      </c>
      <c r="CY173" s="2"/>
      <c r="CZ173" s="2"/>
      <c r="DA173" s="2"/>
      <c r="DB173" s="2"/>
      <c r="DC173" s="2"/>
      <c r="DD173" s="2"/>
      <c r="DE173" s="1">
        <f t="shared" si="54"/>
        <v>846923.13399740634</v>
      </c>
      <c r="DF173" s="2"/>
      <c r="DG173" s="2"/>
      <c r="DH173" s="2"/>
      <c r="DI173" s="2"/>
      <c r="DJ173" s="2"/>
      <c r="DK173" s="2"/>
      <c r="DL173" s="1">
        <f t="shared" si="55"/>
        <v>997051.81924689782</v>
      </c>
      <c r="DM173" s="2"/>
      <c r="DN173" s="2"/>
      <c r="DO173" s="2"/>
      <c r="DP173" s="2"/>
      <c r="DQ173" s="2"/>
      <c r="DR173" s="2"/>
      <c r="DS173" s="1">
        <f t="shared" si="56"/>
        <v>633777.21734778432</v>
      </c>
      <c r="DT173" s="2"/>
      <c r="DU173" s="2"/>
      <c r="DV173" s="2"/>
      <c r="DW173" s="2"/>
      <c r="DX173" s="2"/>
      <c r="DY173" s="2"/>
      <c r="DZ173" s="2"/>
      <c r="EA173" s="2"/>
      <c r="EB173" s="1">
        <f t="shared" si="57"/>
        <v>74239.834393612822</v>
      </c>
      <c r="EC173" s="2"/>
      <c r="ED173" s="2"/>
      <c r="EE173" s="1">
        <f t="shared" si="58"/>
        <v>125960.6071895178</v>
      </c>
      <c r="EF173" s="2"/>
      <c r="EG173" s="1">
        <f t="shared" si="58"/>
        <v>451571.06696727971</v>
      </c>
      <c r="EH173" s="2"/>
      <c r="HW173" s="4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1">
        <f t="shared" si="59"/>
        <v>2749767.4946563751</v>
      </c>
      <c r="LU173" s="1">
        <f t="shared" si="60"/>
        <v>2023755.0925966164</v>
      </c>
    </row>
    <row r="174" spans="1:333">
      <c r="A174" s="1">
        <v>1537</v>
      </c>
      <c r="B174" s="1">
        <f t="shared" si="43"/>
        <v>12558563.891161134</v>
      </c>
      <c r="C174" s="1">
        <f t="shared" si="45"/>
        <v>3457770.1025598235</v>
      </c>
      <c r="K174" s="1">
        <f t="shared" si="46"/>
        <v>1559688.6200029275</v>
      </c>
      <c r="U174" s="1">
        <f t="shared" si="47"/>
        <v>1627632.4152756287</v>
      </c>
      <c r="AH174" s="1">
        <f t="shared" si="48"/>
        <v>3783195.8451313358</v>
      </c>
      <c r="AT174" s="1">
        <f t="shared" si="49"/>
        <v>1273211.9637095248</v>
      </c>
      <c r="BC174" s="1">
        <f t="shared" si="50"/>
        <v>857064.94448189274</v>
      </c>
      <c r="BI174" s="4">
        <f t="shared" si="44"/>
        <v>8306568.7302543577</v>
      </c>
      <c r="BJ174" s="2">
        <f t="shared" si="61"/>
        <v>812548.80399375351</v>
      </c>
      <c r="BK174" s="2"/>
      <c r="BL174" s="2"/>
      <c r="BM174" s="2"/>
      <c r="BN174" s="2"/>
      <c r="BO174" s="2"/>
      <c r="BP174" s="2"/>
      <c r="BQ174" s="2">
        <f t="shared" si="42"/>
        <v>648118.89553731063</v>
      </c>
      <c r="BR174" s="2"/>
      <c r="BS174" s="2"/>
      <c r="BT174" s="2"/>
      <c r="BU174" s="2"/>
      <c r="BV174" s="2"/>
      <c r="BW174" s="2"/>
      <c r="BX174" s="2"/>
      <c r="BY174" s="2"/>
      <c r="BZ174" s="1">
        <f t="shared" si="51"/>
        <v>1709002.4725376528</v>
      </c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1">
        <f t="shared" si="52"/>
        <v>476261.83502345695</v>
      </c>
      <c r="CU174" s="2"/>
      <c r="CV174" s="2"/>
      <c r="CW174" s="2"/>
      <c r="CX174" s="1">
        <f t="shared" si="53"/>
        <v>1517923.802124331</v>
      </c>
      <c r="CY174" s="2"/>
      <c r="CZ174" s="2"/>
      <c r="DA174" s="2"/>
      <c r="DB174" s="2"/>
      <c r="DC174" s="2"/>
      <c r="DD174" s="2"/>
      <c r="DE174" s="1">
        <f t="shared" si="54"/>
        <v>849802.67265299754</v>
      </c>
      <c r="DF174" s="2"/>
      <c r="DG174" s="2"/>
      <c r="DH174" s="2"/>
      <c r="DI174" s="2"/>
      <c r="DJ174" s="2"/>
      <c r="DK174" s="2"/>
      <c r="DL174" s="1">
        <f t="shared" si="55"/>
        <v>1000441.7954323373</v>
      </c>
      <c r="DM174" s="2"/>
      <c r="DN174" s="2"/>
      <c r="DO174" s="2"/>
      <c r="DP174" s="2"/>
      <c r="DQ174" s="2"/>
      <c r="DR174" s="2"/>
      <c r="DS174" s="1">
        <f t="shared" si="56"/>
        <v>638213.65786921873</v>
      </c>
      <c r="DT174" s="2"/>
      <c r="DU174" s="2"/>
      <c r="DV174" s="2"/>
      <c r="DW174" s="2"/>
      <c r="DX174" s="2"/>
      <c r="DY174" s="2"/>
      <c r="DZ174" s="2"/>
      <c r="EA174" s="2"/>
      <c r="EB174" s="1">
        <f t="shared" si="57"/>
        <v>74759.513234368103</v>
      </c>
      <c r="EC174" s="2"/>
      <c r="ED174" s="2"/>
      <c r="EE174" s="1">
        <f t="shared" si="58"/>
        <v>126388.87325396217</v>
      </c>
      <c r="EF174" s="2"/>
      <c r="EG174" s="1">
        <f t="shared" si="58"/>
        <v>453106.4085949685</v>
      </c>
      <c r="EH174" s="2"/>
      <c r="HW174" s="4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1">
        <f t="shared" si="59"/>
        <v>2759116.7041382068</v>
      </c>
      <c r="LU174" s="1">
        <f t="shared" si="60"/>
        <v>2030635.8599114451</v>
      </c>
    </row>
    <row r="175" spans="1:333">
      <c r="A175" s="1">
        <v>1538</v>
      </c>
      <c r="B175" s="1">
        <f t="shared" si="43"/>
        <v>12604769.061529888</v>
      </c>
      <c r="C175" s="1">
        <f t="shared" si="45"/>
        <v>3469526.5209085271</v>
      </c>
      <c r="K175" s="1">
        <f t="shared" si="46"/>
        <v>1566707.2187929405</v>
      </c>
      <c r="U175" s="1">
        <f t="shared" si="47"/>
        <v>1634956.7611443689</v>
      </c>
      <c r="AH175" s="1">
        <f t="shared" si="48"/>
        <v>3796058.7110047825</v>
      </c>
      <c r="AT175" s="1">
        <f t="shared" si="49"/>
        <v>1277540.8843861374</v>
      </c>
      <c r="BC175" s="1">
        <f t="shared" si="50"/>
        <v>859978.96529313119</v>
      </c>
      <c r="BI175" s="4">
        <f t="shared" si="44"/>
        <v>8343839.7128589116</v>
      </c>
      <c r="BJ175" s="2">
        <f t="shared" si="61"/>
        <v>815880.25409012788</v>
      </c>
      <c r="BK175" s="2"/>
      <c r="BL175" s="2"/>
      <c r="BM175" s="2"/>
      <c r="BN175" s="2"/>
      <c r="BO175" s="2"/>
      <c r="BP175" s="2"/>
      <c r="BQ175" s="2">
        <f t="shared" si="42"/>
        <v>650063.25222392252</v>
      </c>
      <c r="BR175" s="2"/>
      <c r="BS175" s="2"/>
      <c r="BT175" s="2"/>
      <c r="BU175" s="2"/>
      <c r="BV175" s="2"/>
      <c r="BW175" s="2"/>
      <c r="BX175" s="2"/>
      <c r="BY175" s="2"/>
      <c r="BZ175" s="1">
        <f t="shared" si="51"/>
        <v>1720965.4898454163</v>
      </c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1">
        <f t="shared" si="52"/>
        <v>477881.12526253675</v>
      </c>
      <c r="CU175" s="2"/>
      <c r="CV175" s="2"/>
      <c r="CW175" s="2"/>
      <c r="CX175" s="1">
        <f t="shared" si="53"/>
        <v>1523084.7430515538</v>
      </c>
      <c r="CY175" s="2"/>
      <c r="CZ175" s="2"/>
      <c r="DA175" s="2"/>
      <c r="DB175" s="2"/>
      <c r="DC175" s="2"/>
      <c r="DD175" s="2"/>
      <c r="DE175" s="1">
        <f t="shared" si="54"/>
        <v>852692.00174001779</v>
      </c>
      <c r="DF175" s="2"/>
      <c r="DG175" s="2"/>
      <c r="DH175" s="2"/>
      <c r="DI175" s="2"/>
      <c r="DJ175" s="2"/>
      <c r="DK175" s="2"/>
      <c r="DL175" s="1">
        <f t="shared" si="55"/>
        <v>1003843.2975368074</v>
      </c>
      <c r="DM175" s="2"/>
      <c r="DN175" s="2"/>
      <c r="DO175" s="2"/>
      <c r="DP175" s="2"/>
      <c r="DQ175" s="2"/>
      <c r="DR175" s="2"/>
      <c r="DS175" s="1">
        <f t="shared" si="56"/>
        <v>642681.1534743032</v>
      </c>
      <c r="DT175" s="2"/>
      <c r="DU175" s="2"/>
      <c r="DV175" s="2"/>
      <c r="DW175" s="2"/>
      <c r="DX175" s="2"/>
      <c r="DY175" s="2"/>
      <c r="DZ175" s="2"/>
      <c r="EA175" s="2"/>
      <c r="EB175" s="1">
        <f t="shared" si="57"/>
        <v>75282.829827008667</v>
      </c>
      <c r="EC175" s="2"/>
      <c r="ED175" s="2"/>
      <c r="EE175" s="1">
        <f t="shared" si="58"/>
        <v>126818.59542302565</v>
      </c>
      <c r="EF175" s="2"/>
      <c r="EG175" s="1">
        <f t="shared" si="58"/>
        <v>454646.97038419143</v>
      </c>
      <c r="EH175" s="2"/>
      <c r="HW175" s="4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1">
        <f t="shared" si="59"/>
        <v>2768497.7009322769</v>
      </c>
      <c r="LU175" s="1">
        <f t="shared" si="60"/>
        <v>2037540.0218351441</v>
      </c>
    </row>
    <row r="176" spans="1:333">
      <c r="A176" s="1">
        <v>1539</v>
      </c>
      <c r="B176" s="1">
        <f t="shared" si="43"/>
        <v>12651147.10671702</v>
      </c>
      <c r="C176" s="1">
        <f t="shared" si="45"/>
        <v>3481322.9110796163</v>
      </c>
      <c r="K176" s="1">
        <f t="shared" si="46"/>
        <v>1573757.4012775086</v>
      </c>
      <c r="U176" s="1">
        <f t="shared" si="47"/>
        <v>1642314.0665695185</v>
      </c>
      <c r="AH176" s="1">
        <f t="shared" si="48"/>
        <v>3808965.310622199</v>
      </c>
      <c r="AT176" s="1">
        <f t="shared" si="49"/>
        <v>1281884.5233930503</v>
      </c>
      <c r="BC176" s="1">
        <f t="shared" si="50"/>
        <v>862902.89377512794</v>
      </c>
      <c r="BI176" s="4">
        <f t="shared" si="44"/>
        <v>8381300.0048629334</v>
      </c>
      <c r="BJ176" s="2">
        <f t="shared" si="61"/>
        <v>819225.36313189741</v>
      </c>
      <c r="BK176" s="2"/>
      <c r="BL176" s="2"/>
      <c r="BM176" s="2"/>
      <c r="BN176" s="2"/>
      <c r="BO176" s="2"/>
      <c r="BP176" s="2"/>
      <c r="BQ176" s="2">
        <f t="shared" si="42"/>
        <v>652013.44198059419</v>
      </c>
      <c r="BR176" s="2"/>
      <c r="BS176" s="2"/>
      <c r="BT176" s="2"/>
      <c r="BU176" s="2"/>
      <c r="BV176" s="2"/>
      <c r="BW176" s="2"/>
      <c r="BX176" s="2"/>
      <c r="BY176" s="2"/>
      <c r="BZ176" s="1">
        <f t="shared" si="51"/>
        <v>1733012.248274334</v>
      </c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1">
        <f t="shared" si="52"/>
        <v>479505.9210884294</v>
      </c>
      <c r="CU176" s="2"/>
      <c r="CV176" s="2"/>
      <c r="CW176" s="2"/>
      <c r="CX176" s="1">
        <f t="shared" si="53"/>
        <v>1528263.2311779293</v>
      </c>
      <c r="CY176" s="2"/>
      <c r="CZ176" s="2"/>
      <c r="DA176" s="2"/>
      <c r="DB176" s="2"/>
      <c r="DC176" s="2"/>
      <c r="DD176" s="2"/>
      <c r="DE176" s="1">
        <f t="shared" si="54"/>
        <v>855591.15454593394</v>
      </c>
      <c r="DF176" s="2"/>
      <c r="DG176" s="2"/>
      <c r="DH176" s="2"/>
      <c r="DI176" s="2"/>
      <c r="DJ176" s="2"/>
      <c r="DK176" s="2"/>
      <c r="DL176" s="1">
        <f t="shared" si="55"/>
        <v>1007256.3647484325</v>
      </c>
      <c r="DM176" s="2"/>
      <c r="DN176" s="2"/>
      <c r="DO176" s="2"/>
      <c r="DP176" s="2"/>
      <c r="DQ176" s="2"/>
      <c r="DR176" s="2"/>
      <c r="DS176" s="1">
        <f t="shared" si="56"/>
        <v>647179.92154862324</v>
      </c>
      <c r="DT176" s="2"/>
      <c r="DU176" s="2"/>
      <c r="DV176" s="2"/>
      <c r="DW176" s="2"/>
      <c r="DX176" s="2"/>
      <c r="DY176" s="2"/>
      <c r="DZ176" s="2"/>
      <c r="EA176" s="2"/>
      <c r="EB176" s="1">
        <f t="shared" si="57"/>
        <v>75809.809635797719</v>
      </c>
      <c r="EC176" s="2"/>
      <c r="ED176" s="2"/>
      <c r="EE176" s="1">
        <f t="shared" si="58"/>
        <v>127249.77864746394</v>
      </c>
      <c r="EF176" s="2"/>
      <c r="EG176" s="1">
        <f t="shared" si="58"/>
        <v>456192.77008349769</v>
      </c>
      <c r="EH176" s="2"/>
      <c r="HW176" s="4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1">
        <f t="shared" si="59"/>
        <v>2777910.5931154466</v>
      </c>
      <c r="LU176" s="1">
        <f t="shared" si="60"/>
        <v>2044467.6579093838</v>
      </c>
    </row>
    <row r="177" spans="1:333">
      <c r="A177" s="1">
        <v>1540</v>
      </c>
      <c r="B177" s="1">
        <f t="shared" si="43"/>
        <v>12697698.685494492</v>
      </c>
      <c r="C177" s="1">
        <f t="shared" si="45"/>
        <v>3493159.4089772874</v>
      </c>
      <c r="K177" s="1">
        <f t="shared" si="46"/>
        <v>1580839.3095832572</v>
      </c>
      <c r="U177" s="1">
        <f t="shared" si="47"/>
        <v>1649704.4798690812</v>
      </c>
      <c r="AH177" s="1">
        <f t="shared" si="48"/>
        <v>3821915.7926783147</v>
      </c>
      <c r="AT177" s="1">
        <f t="shared" si="49"/>
        <v>1286242.9307725867</v>
      </c>
      <c r="BC177" s="1">
        <f t="shared" si="50"/>
        <v>865836.76361396338</v>
      </c>
      <c r="BI177" s="4">
        <f t="shared" si="44"/>
        <v>8418950.6843829174</v>
      </c>
      <c r="BJ177" s="2">
        <f t="shared" si="61"/>
        <v>822584.18712073821</v>
      </c>
      <c r="BK177" s="2"/>
      <c r="BL177" s="2"/>
      <c r="BM177" s="2"/>
      <c r="BN177" s="2"/>
      <c r="BO177" s="2"/>
      <c r="BP177" s="2"/>
      <c r="BQ177" s="2">
        <f t="shared" si="42"/>
        <v>653969.48230653594</v>
      </c>
      <c r="BR177" s="2"/>
      <c r="BS177" s="2"/>
      <c r="BT177" s="2"/>
      <c r="BU177" s="2"/>
      <c r="BV177" s="2"/>
      <c r="BW177" s="2"/>
      <c r="BX177" s="2"/>
      <c r="BY177" s="2"/>
      <c r="BZ177" s="1">
        <f t="shared" si="51"/>
        <v>1745143.3340122541</v>
      </c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1">
        <f t="shared" si="52"/>
        <v>481136.24122013012</v>
      </c>
      <c r="CU177" s="2"/>
      <c r="CV177" s="2"/>
      <c r="CW177" s="2"/>
      <c r="CX177" s="1">
        <f t="shared" si="53"/>
        <v>1533459.3261639343</v>
      </c>
      <c r="CY177" s="2"/>
      <c r="CZ177" s="2"/>
      <c r="DA177" s="2"/>
      <c r="DB177" s="2"/>
      <c r="DC177" s="2"/>
      <c r="DD177" s="2"/>
      <c r="DE177" s="1">
        <f t="shared" si="54"/>
        <v>858500.16447139019</v>
      </c>
      <c r="DF177" s="2"/>
      <c r="DG177" s="2"/>
      <c r="DH177" s="2"/>
      <c r="DI177" s="2"/>
      <c r="DJ177" s="2"/>
      <c r="DK177" s="2"/>
      <c r="DL177" s="1">
        <f t="shared" si="55"/>
        <v>1010681.0363885773</v>
      </c>
      <c r="DM177" s="2"/>
      <c r="DN177" s="2"/>
      <c r="DO177" s="2"/>
      <c r="DP177" s="2"/>
      <c r="DQ177" s="2"/>
      <c r="DR177" s="2"/>
      <c r="DS177" s="1">
        <f t="shared" si="56"/>
        <v>651710.18099946354</v>
      </c>
      <c r="DT177" s="2"/>
      <c r="DU177" s="2"/>
      <c r="DV177" s="2"/>
      <c r="DW177" s="2"/>
      <c r="DX177" s="2"/>
      <c r="DY177" s="2"/>
      <c r="DZ177" s="2"/>
      <c r="EA177" s="2"/>
      <c r="EB177" s="1">
        <f t="shared" si="57"/>
        <v>76340.478303248296</v>
      </c>
      <c r="EC177" s="2"/>
      <c r="ED177" s="2"/>
      <c r="EE177" s="1">
        <f t="shared" si="58"/>
        <v>127682.42789486532</v>
      </c>
      <c r="EF177" s="2"/>
      <c r="EG177" s="1">
        <f t="shared" si="58"/>
        <v>457743.8255017816</v>
      </c>
      <c r="EH177" s="2"/>
      <c r="HW177" s="4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1">
        <f t="shared" si="59"/>
        <v>2787355.4891320392</v>
      </c>
      <c r="LU177" s="1">
        <f t="shared" si="60"/>
        <v>2051418.8479462757</v>
      </c>
    </row>
    <row r="178" spans="1:333">
      <c r="A178" s="1">
        <v>1541</v>
      </c>
      <c r="B178" s="1">
        <f t="shared" si="43"/>
        <v>12744424.459193569</v>
      </c>
      <c r="C178" s="1">
        <f t="shared" si="45"/>
        <v>3505036.1509678103</v>
      </c>
      <c r="K178" s="1">
        <f t="shared" si="46"/>
        <v>1587953.0864763819</v>
      </c>
      <c r="U178" s="1">
        <f t="shared" si="47"/>
        <v>1657128.1500284919</v>
      </c>
      <c r="AH178" s="1">
        <f t="shared" si="48"/>
        <v>3834910.3063734211</v>
      </c>
      <c r="AT178" s="1">
        <f t="shared" si="49"/>
        <v>1290616.1567372137</v>
      </c>
      <c r="BC178" s="1">
        <f t="shared" si="50"/>
        <v>868780.60861025087</v>
      </c>
      <c r="BI178" s="4">
        <f t="shared" si="44"/>
        <v>8456792.8362238165</v>
      </c>
      <c r="BJ178" s="2">
        <f t="shared" si="61"/>
        <v>825956.78228793328</v>
      </c>
      <c r="BK178" s="2"/>
      <c r="BL178" s="2"/>
      <c r="BM178" s="2"/>
      <c r="BN178" s="2"/>
      <c r="BO178" s="2"/>
      <c r="BP178" s="2"/>
      <c r="BQ178" s="2">
        <f t="shared" si="42"/>
        <v>655931.39075345546</v>
      </c>
      <c r="BR178" s="2"/>
      <c r="BS178" s="2"/>
      <c r="BT178" s="2"/>
      <c r="BU178" s="2"/>
      <c r="BV178" s="2"/>
      <c r="BW178" s="2"/>
      <c r="BX178" s="2"/>
      <c r="BY178" s="2"/>
      <c r="BZ178" s="1">
        <f t="shared" si="51"/>
        <v>1757359.3373503396</v>
      </c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1">
        <f t="shared" si="52"/>
        <v>482772.10444027861</v>
      </c>
      <c r="CU178" s="2"/>
      <c r="CV178" s="2"/>
      <c r="CW178" s="2"/>
      <c r="CX178" s="1">
        <f t="shared" si="53"/>
        <v>1538673.0878728917</v>
      </c>
      <c r="CY178" s="2"/>
      <c r="CZ178" s="2"/>
      <c r="DA178" s="2"/>
      <c r="DB178" s="2"/>
      <c r="DC178" s="2"/>
      <c r="DD178" s="2"/>
      <c r="DE178" s="1">
        <f t="shared" si="54"/>
        <v>861419.06503059296</v>
      </c>
      <c r="DF178" s="2"/>
      <c r="DG178" s="2"/>
      <c r="DH178" s="2"/>
      <c r="DI178" s="2"/>
      <c r="DJ178" s="2"/>
      <c r="DK178" s="2"/>
      <c r="DL178" s="1">
        <f t="shared" si="55"/>
        <v>1014117.3519122986</v>
      </c>
      <c r="DM178" s="2"/>
      <c r="DN178" s="2"/>
      <c r="DO178" s="2"/>
      <c r="DP178" s="2"/>
      <c r="DQ178" s="2"/>
      <c r="DR178" s="2"/>
      <c r="DS178" s="1">
        <f t="shared" si="56"/>
        <v>656272.15226645977</v>
      </c>
      <c r="DT178" s="2"/>
      <c r="DU178" s="2"/>
      <c r="DV178" s="2"/>
      <c r="DW178" s="2"/>
      <c r="DX178" s="2"/>
      <c r="DY178" s="2"/>
      <c r="DZ178" s="2"/>
      <c r="EA178" s="2"/>
      <c r="EB178" s="1">
        <f t="shared" si="57"/>
        <v>76874.861651371029</v>
      </c>
      <c r="EC178" s="2"/>
      <c r="ED178" s="2"/>
      <c r="EE178" s="1">
        <f t="shared" si="58"/>
        <v>128116.54814970787</v>
      </c>
      <c r="EF178" s="2"/>
      <c r="EG178" s="1">
        <f t="shared" si="58"/>
        <v>459300.15450848767</v>
      </c>
      <c r="EH178" s="2"/>
      <c r="HW178" s="4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1">
        <f t="shared" si="59"/>
        <v>2796832.4977950882</v>
      </c>
      <c r="LU178" s="1">
        <f t="shared" si="60"/>
        <v>2058393.6720292931</v>
      </c>
    </row>
    <row r="179" spans="1:333">
      <c r="A179" s="1">
        <v>1542</v>
      </c>
      <c r="B179" s="1">
        <f t="shared" si="43"/>
        <v>12791325.091714984</v>
      </c>
      <c r="C179" s="1">
        <f t="shared" si="45"/>
        <v>3516953.273881101</v>
      </c>
      <c r="K179" s="1">
        <f t="shared" si="46"/>
        <v>1595098.8753655255</v>
      </c>
      <c r="U179" s="1">
        <f t="shared" si="47"/>
        <v>1664585.2267036201</v>
      </c>
      <c r="AH179" s="1">
        <f t="shared" si="48"/>
        <v>3847949.0014150911</v>
      </c>
      <c r="AT179" s="1">
        <f t="shared" si="49"/>
        <v>1295004.2516701203</v>
      </c>
      <c r="BC179" s="1">
        <f t="shared" si="50"/>
        <v>871734.46267952584</v>
      </c>
      <c r="BI179" s="4">
        <f t="shared" si="44"/>
        <v>8494827.5519228429</v>
      </c>
      <c r="BJ179" s="2">
        <f t="shared" si="61"/>
        <v>829343.20509531384</v>
      </c>
      <c r="BK179" s="2"/>
      <c r="BL179" s="2"/>
      <c r="BM179" s="2"/>
      <c r="BN179" s="2"/>
      <c r="BO179" s="2"/>
      <c r="BP179" s="2"/>
      <c r="BQ179" s="2">
        <f t="shared" si="42"/>
        <v>657899.18492571579</v>
      </c>
      <c r="BR179" s="2"/>
      <c r="BS179" s="2"/>
      <c r="BT179" s="2"/>
      <c r="BU179" s="2"/>
      <c r="BV179" s="2"/>
      <c r="BW179" s="2"/>
      <c r="BX179" s="2"/>
      <c r="BY179" s="2"/>
      <c r="BZ179" s="1">
        <f t="shared" si="51"/>
        <v>1769660.8527117919</v>
      </c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1">
        <f t="shared" si="52"/>
        <v>484413.52959537558</v>
      </c>
      <c r="CU179" s="2"/>
      <c r="CV179" s="2"/>
      <c r="CW179" s="2"/>
      <c r="CX179" s="1">
        <f t="shared" si="53"/>
        <v>1543904.5763716595</v>
      </c>
      <c r="CY179" s="2"/>
      <c r="CZ179" s="2"/>
      <c r="DA179" s="2"/>
      <c r="DB179" s="2"/>
      <c r="DC179" s="2"/>
      <c r="DD179" s="2"/>
      <c r="DE179" s="1">
        <f t="shared" si="54"/>
        <v>864347.88985169702</v>
      </c>
      <c r="DF179" s="2"/>
      <c r="DG179" s="2"/>
      <c r="DH179" s="2"/>
      <c r="DI179" s="2"/>
      <c r="DJ179" s="2"/>
      <c r="DK179" s="2"/>
      <c r="DL179" s="1">
        <f t="shared" si="55"/>
        <v>1017565.3509088005</v>
      </c>
      <c r="DM179" s="2"/>
      <c r="DN179" s="2"/>
      <c r="DO179" s="2"/>
      <c r="DP179" s="2"/>
      <c r="DQ179" s="2"/>
      <c r="DR179" s="2"/>
      <c r="DS179" s="1">
        <f t="shared" si="56"/>
        <v>660866.05733232491</v>
      </c>
      <c r="DT179" s="2"/>
      <c r="DU179" s="2"/>
      <c r="DV179" s="2"/>
      <c r="DW179" s="2"/>
      <c r="DX179" s="2"/>
      <c r="DY179" s="2"/>
      <c r="DZ179" s="2"/>
      <c r="EA179" s="2"/>
      <c r="EB179" s="1">
        <f t="shared" si="57"/>
        <v>77412.985682930623</v>
      </c>
      <c r="EC179" s="2"/>
      <c r="ED179" s="2"/>
      <c r="EE179" s="1">
        <f t="shared" si="58"/>
        <v>128552.14441341689</v>
      </c>
      <c r="EF179" s="2"/>
      <c r="EG179" s="1">
        <f t="shared" si="58"/>
        <v>460861.77503381658</v>
      </c>
      <c r="EH179" s="2"/>
      <c r="HW179" s="4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1">
        <f t="shared" si="59"/>
        <v>2806341.7282875916</v>
      </c>
      <c r="LU179" s="1">
        <f t="shared" si="60"/>
        <v>2065392.2105141929</v>
      </c>
    </row>
    <row r="180" spans="1:333">
      <c r="A180" s="1">
        <v>1543</v>
      </c>
      <c r="B180" s="1">
        <f t="shared" si="43"/>
        <v>12838401.24953909</v>
      </c>
      <c r="C180" s="1">
        <f t="shared" si="45"/>
        <v>3528910.9150122972</v>
      </c>
      <c r="K180" s="1">
        <f t="shared" si="46"/>
        <v>1602276.8203046704</v>
      </c>
      <c r="U180" s="1">
        <f t="shared" si="47"/>
        <v>1672075.8602237862</v>
      </c>
      <c r="AH180" s="1">
        <f t="shared" si="48"/>
        <v>3861032.0280199028</v>
      </c>
      <c r="AT180" s="1">
        <f t="shared" si="49"/>
        <v>1299407.2661257987</v>
      </c>
      <c r="BC180" s="1">
        <f t="shared" si="50"/>
        <v>874698.35985263623</v>
      </c>
      <c r="BI180" s="4">
        <f t="shared" si="44"/>
        <v>8533055.9297935944</v>
      </c>
      <c r="BJ180" s="2">
        <f t="shared" si="61"/>
        <v>832743.51223620458</v>
      </c>
      <c r="BK180" s="2"/>
      <c r="BL180" s="2"/>
      <c r="BM180" s="2"/>
      <c r="BN180" s="2"/>
      <c r="BO180" s="2"/>
      <c r="BP180" s="2"/>
      <c r="BQ180" s="2">
        <f t="shared" si="42"/>
        <v>659872.88248049282</v>
      </c>
      <c r="BR180" s="2"/>
      <c r="BS180" s="2"/>
      <c r="BT180" s="2"/>
      <c r="BU180" s="2"/>
      <c r="BV180" s="2"/>
      <c r="BW180" s="2"/>
      <c r="BX180" s="2"/>
      <c r="BY180" s="2"/>
      <c r="BZ180" s="1">
        <f t="shared" si="51"/>
        <v>1782048.4786807743</v>
      </c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1">
        <f t="shared" si="52"/>
        <v>486060.53559599991</v>
      </c>
      <c r="CU180" s="2"/>
      <c r="CV180" s="2"/>
      <c r="CW180" s="2"/>
      <c r="CX180" s="1">
        <f t="shared" si="53"/>
        <v>1549153.8519313233</v>
      </c>
      <c r="CY180" s="2"/>
      <c r="CZ180" s="2"/>
      <c r="DA180" s="2"/>
      <c r="DB180" s="2"/>
      <c r="DC180" s="2"/>
      <c r="DD180" s="2"/>
      <c r="DE180" s="1">
        <f t="shared" si="54"/>
        <v>867286.67267719284</v>
      </c>
      <c r="DF180" s="2"/>
      <c r="DG180" s="2"/>
      <c r="DH180" s="2"/>
      <c r="DI180" s="2"/>
      <c r="DJ180" s="2"/>
      <c r="DK180" s="2"/>
      <c r="DL180" s="1">
        <f t="shared" si="55"/>
        <v>1021025.0731018905</v>
      </c>
      <c r="DM180" s="2"/>
      <c r="DN180" s="2"/>
      <c r="DO180" s="2"/>
      <c r="DP180" s="2"/>
      <c r="DQ180" s="2"/>
      <c r="DR180" s="2"/>
      <c r="DS180" s="1">
        <f t="shared" si="56"/>
        <v>665492.11973365117</v>
      </c>
      <c r="DT180" s="2"/>
      <c r="DU180" s="2"/>
      <c r="DV180" s="2"/>
      <c r="DW180" s="2"/>
      <c r="DX180" s="2"/>
      <c r="DY180" s="2"/>
      <c r="DZ180" s="2"/>
      <c r="EA180" s="2"/>
      <c r="EB180" s="1">
        <f t="shared" si="57"/>
        <v>77954.876582711135</v>
      </c>
      <c r="EC180" s="2"/>
      <c r="ED180" s="2"/>
      <c r="EE180" s="1">
        <f t="shared" si="58"/>
        <v>128989.22170442251</v>
      </c>
      <c r="EF180" s="2"/>
      <c r="EG180" s="1">
        <f t="shared" si="58"/>
        <v>462428.70506893157</v>
      </c>
      <c r="EH180" s="2"/>
      <c r="HW180" s="4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1">
        <f t="shared" si="59"/>
        <v>2815883.2901637694</v>
      </c>
      <c r="LU180" s="1">
        <f t="shared" si="60"/>
        <v>2072414.5440299413</v>
      </c>
    </row>
    <row r="181" spans="1:333">
      <c r="A181" s="1">
        <v>1544</v>
      </c>
      <c r="B181" s="1">
        <f t="shared" si="43"/>
        <v>12885653.601736106</v>
      </c>
      <c r="C181" s="1">
        <f t="shared" si="45"/>
        <v>3540909.2121233391</v>
      </c>
      <c r="K181" s="1">
        <f t="shared" si="46"/>
        <v>1609487.0659960413</v>
      </c>
      <c r="U181" s="1">
        <f t="shared" si="47"/>
        <v>1679600.2015947932</v>
      </c>
      <c r="AH181" s="1">
        <f t="shared" si="48"/>
        <v>3874159.5369151705</v>
      </c>
      <c r="AT181" s="1">
        <f t="shared" si="49"/>
        <v>1303825.2508306266</v>
      </c>
      <c r="BC181" s="1">
        <f t="shared" si="50"/>
        <v>877672.33427613531</v>
      </c>
      <c r="BI181" s="4">
        <f t="shared" si="44"/>
        <v>8571479.0749704558</v>
      </c>
      <c r="BJ181" s="2">
        <f t="shared" si="61"/>
        <v>836157.76063637296</v>
      </c>
      <c r="BK181" s="2"/>
      <c r="BL181" s="2"/>
      <c r="BM181" s="2"/>
      <c r="BN181" s="2"/>
      <c r="BO181" s="2"/>
      <c r="BP181" s="2"/>
      <c r="BQ181" s="2">
        <f t="shared" si="42"/>
        <v>661852.5011279342</v>
      </c>
      <c r="BR181" s="2"/>
      <c r="BS181" s="2"/>
      <c r="BT181" s="2"/>
      <c r="BU181" s="2"/>
      <c r="BV181" s="2"/>
      <c r="BW181" s="2"/>
      <c r="BX181" s="2"/>
      <c r="BY181" s="2"/>
      <c r="BZ181" s="1">
        <f t="shared" si="51"/>
        <v>1794522.8180315397</v>
      </c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1">
        <f t="shared" si="52"/>
        <v>487713.14141702635</v>
      </c>
      <c r="CU181" s="2"/>
      <c r="CV181" s="2"/>
      <c r="CW181" s="2"/>
      <c r="CX181" s="1">
        <f t="shared" si="53"/>
        <v>1554420.9750278899</v>
      </c>
      <c r="CY181" s="2"/>
      <c r="CZ181" s="2"/>
      <c r="DA181" s="2"/>
      <c r="DB181" s="2"/>
      <c r="DC181" s="2"/>
      <c r="DD181" s="2"/>
      <c r="DE181" s="1">
        <f t="shared" si="54"/>
        <v>870235.44736429537</v>
      </c>
      <c r="DF181" s="2"/>
      <c r="DG181" s="2"/>
      <c r="DH181" s="2"/>
      <c r="DI181" s="2"/>
      <c r="DJ181" s="2"/>
      <c r="DK181" s="2"/>
      <c r="DL181" s="1">
        <f t="shared" si="55"/>
        <v>1024496.558350437</v>
      </c>
      <c r="DM181" s="2"/>
      <c r="DN181" s="2"/>
      <c r="DO181" s="2"/>
      <c r="DP181" s="2"/>
      <c r="DQ181" s="2"/>
      <c r="DR181" s="2"/>
      <c r="DS181" s="1">
        <f t="shared" si="56"/>
        <v>670150.56457178667</v>
      </c>
      <c r="DT181" s="2"/>
      <c r="DU181" s="2"/>
      <c r="DV181" s="2"/>
      <c r="DW181" s="2"/>
      <c r="DX181" s="2"/>
      <c r="DY181" s="2"/>
      <c r="DZ181" s="2"/>
      <c r="EA181" s="2"/>
      <c r="EB181" s="1">
        <f t="shared" si="57"/>
        <v>78500.560718790104</v>
      </c>
      <c r="EC181" s="2"/>
      <c r="ED181" s="2"/>
      <c r="EE181" s="1">
        <f t="shared" si="58"/>
        <v>129427.78505821756</v>
      </c>
      <c r="EF181" s="2"/>
      <c r="EG181" s="1">
        <f t="shared" si="58"/>
        <v>464000.96266616596</v>
      </c>
      <c r="EH181" s="2"/>
      <c r="HW181" s="4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1">
        <f t="shared" si="59"/>
        <v>2825457.2933503264</v>
      </c>
      <c r="LU181" s="1">
        <f t="shared" si="60"/>
        <v>2079460.7534796433</v>
      </c>
    </row>
    <row r="182" spans="1:333">
      <c r="A182" s="1">
        <v>1545</v>
      </c>
      <c r="B182" s="1">
        <f t="shared" si="43"/>
        <v>12933082.81997636</v>
      </c>
      <c r="C182" s="1">
        <f t="shared" si="45"/>
        <v>3552948.3034445588</v>
      </c>
      <c r="K182" s="1">
        <f t="shared" si="46"/>
        <v>1616729.7577930235</v>
      </c>
      <c r="U182" s="1">
        <f t="shared" si="47"/>
        <v>1687158.4025019698</v>
      </c>
      <c r="AH182" s="1">
        <f t="shared" si="48"/>
        <v>3887331.6793406825</v>
      </c>
      <c r="AT182" s="1">
        <f t="shared" si="49"/>
        <v>1308258.2566834509</v>
      </c>
      <c r="BC182" s="1">
        <f t="shared" si="50"/>
        <v>880656.42021267419</v>
      </c>
      <c r="BI182" s="4">
        <f t="shared" si="44"/>
        <v>8610098.0994533096</v>
      </c>
      <c r="BJ182" s="2">
        <f t="shared" si="61"/>
        <v>839586.00745498203</v>
      </c>
      <c r="BK182" s="2"/>
      <c r="BL182" s="2"/>
      <c r="BM182" s="2"/>
      <c r="BN182" s="2"/>
      <c r="BO182" s="2"/>
      <c r="BP182" s="2"/>
      <c r="BQ182" s="2">
        <f t="shared" si="42"/>
        <v>663838.05863131792</v>
      </c>
      <c r="BR182" s="2"/>
      <c r="BS182" s="2"/>
      <c r="BT182" s="2"/>
      <c r="BU182" s="2"/>
      <c r="BV182" s="2"/>
      <c r="BW182" s="2"/>
      <c r="BX182" s="2"/>
      <c r="BY182" s="2"/>
      <c r="BZ182" s="1">
        <f t="shared" si="51"/>
        <v>1807084.4777577603</v>
      </c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1">
        <f t="shared" si="52"/>
        <v>489371.36609784426</v>
      </c>
      <c r="CU182" s="2"/>
      <c r="CV182" s="2"/>
      <c r="CW182" s="2"/>
      <c r="CX182" s="1">
        <f t="shared" si="53"/>
        <v>1559706.006342985</v>
      </c>
      <c r="CY182" s="2"/>
      <c r="CZ182" s="2"/>
      <c r="DA182" s="2"/>
      <c r="DB182" s="2"/>
      <c r="DC182" s="2"/>
      <c r="DD182" s="2"/>
      <c r="DE182" s="1">
        <f t="shared" si="54"/>
        <v>873194.24788533407</v>
      </c>
      <c r="DF182" s="2"/>
      <c r="DG182" s="2"/>
      <c r="DH182" s="2"/>
      <c r="DI182" s="2"/>
      <c r="DJ182" s="2"/>
      <c r="DK182" s="2"/>
      <c r="DL182" s="1">
        <f t="shared" si="55"/>
        <v>1027979.8466488285</v>
      </c>
      <c r="DM182" s="2"/>
      <c r="DN182" s="2"/>
      <c r="DO182" s="2"/>
      <c r="DP182" s="2"/>
      <c r="DQ182" s="2"/>
      <c r="DR182" s="2"/>
      <c r="DS182" s="1">
        <f t="shared" si="56"/>
        <v>674841.6185237891</v>
      </c>
      <c r="DT182" s="2"/>
      <c r="DU182" s="2"/>
      <c r="DV182" s="2"/>
      <c r="DW182" s="2"/>
      <c r="DX182" s="2"/>
      <c r="DY182" s="2"/>
      <c r="DZ182" s="2"/>
      <c r="EA182" s="2"/>
      <c r="EB182" s="1">
        <f t="shared" si="57"/>
        <v>79050.064643821621</v>
      </c>
      <c r="EC182" s="2"/>
      <c r="ED182" s="2"/>
      <c r="EE182" s="1">
        <f t="shared" si="58"/>
        <v>129867.8395274155</v>
      </c>
      <c r="EF182" s="2"/>
      <c r="EG182" s="1">
        <f t="shared" si="58"/>
        <v>465578.56593923096</v>
      </c>
      <c r="EH182" s="2"/>
      <c r="HW182" s="4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1">
        <f t="shared" si="59"/>
        <v>2835063.8481477178</v>
      </c>
      <c r="LU182" s="1">
        <f t="shared" si="60"/>
        <v>2086530.9200414743</v>
      </c>
    </row>
    <row r="183" spans="1:333">
      <c r="A183" s="1">
        <v>1546</v>
      </c>
      <c r="B183" s="1">
        <f t="shared" si="43"/>
        <v>12980689.578540605</v>
      </c>
      <c r="C183" s="1">
        <f t="shared" si="45"/>
        <v>3565028.3276762706</v>
      </c>
      <c r="K183" s="1">
        <f t="shared" si="46"/>
        <v>1624005.0417030919</v>
      </c>
      <c r="U183" s="1">
        <f t="shared" si="47"/>
        <v>1694750.6153132287</v>
      </c>
      <c r="AH183" s="1">
        <f t="shared" si="48"/>
        <v>3900548.6070504412</v>
      </c>
      <c r="AT183" s="1">
        <f t="shared" si="49"/>
        <v>1312706.3347561748</v>
      </c>
      <c r="BC183" s="1">
        <f t="shared" si="50"/>
        <v>883650.65204139729</v>
      </c>
      <c r="BI183" s="4">
        <f t="shared" si="44"/>
        <v>8648914.1221525483</v>
      </c>
      <c r="BJ183" s="2">
        <f t="shared" si="61"/>
        <v>843028.31008554739</v>
      </c>
      <c r="BK183" s="2"/>
      <c r="BL183" s="2"/>
      <c r="BM183" s="2"/>
      <c r="BN183" s="2"/>
      <c r="BO183" s="2"/>
      <c r="BP183" s="2"/>
      <c r="BQ183" s="2">
        <f t="shared" si="42"/>
        <v>665829.57280721178</v>
      </c>
      <c r="BR183" s="2"/>
      <c r="BS183" s="2"/>
      <c r="BT183" s="2"/>
      <c r="BU183" s="2"/>
      <c r="BV183" s="2"/>
      <c r="BW183" s="2"/>
      <c r="BX183" s="2"/>
      <c r="BY183" s="2"/>
      <c r="BZ183" s="1">
        <f t="shared" si="51"/>
        <v>1819734.0691020645</v>
      </c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1">
        <f t="shared" si="52"/>
        <v>491035.22874257696</v>
      </c>
      <c r="CU183" s="2"/>
      <c r="CV183" s="2"/>
      <c r="CW183" s="2"/>
      <c r="CX183" s="1">
        <f t="shared" si="53"/>
        <v>1565009.0067645512</v>
      </c>
      <c r="CY183" s="2"/>
      <c r="CZ183" s="2"/>
      <c r="DA183" s="2"/>
      <c r="DB183" s="2"/>
      <c r="DC183" s="2"/>
      <c r="DD183" s="2"/>
      <c r="DE183" s="1">
        <f t="shared" si="54"/>
        <v>876163.1083281443</v>
      </c>
      <c r="DF183" s="2"/>
      <c r="DG183" s="2"/>
      <c r="DH183" s="2"/>
      <c r="DI183" s="2"/>
      <c r="DJ183" s="2"/>
      <c r="DK183" s="2"/>
      <c r="DL183" s="1">
        <f t="shared" si="55"/>
        <v>1031474.9781274346</v>
      </c>
      <c r="DM183" s="2"/>
      <c r="DN183" s="2"/>
      <c r="DO183" s="2"/>
      <c r="DP183" s="2"/>
      <c r="DQ183" s="2"/>
      <c r="DR183" s="2"/>
      <c r="DS183" s="1">
        <f t="shared" si="56"/>
        <v>679565.50985345559</v>
      </c>
      <c r="DT183" s="2"/>
      <c r="DU183" s="2"/>
      <c r="DV183" s="2"/>
      <c r="DW183" s="2"/>
      <c r="DX183" s="2"/>
      <c r="DY183" s="2"/>
      <c r="DZ183" s="2"/>
      <c r="EA183" s="2"/>
      <c r="EB183" s="1">
        <f t="shared" si="57"/>
        <v>79603.415096328361</v>
      </c>
      <c r="EC183" s="2"/>
      <c r="ED183" s="2"/>
      <c r="EE183" s="1">
        <f t="shared" si="58"/>
        <v>130309.39018180873</v>
      </c>
      <c r="EF183" s="2"/>
      <c r="EG183" s="1">
        <f t="shared" si="58"/>
        <v>467161.5330634244</v>
      </c>
      <c r="EH183" s="2"/>
      <c r="HW183" s="4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1">
        <f t="shared" si="59"/>
        <v>2844703.0652314201</v>
      </c>
      <c r="LU183" s="1">
        <f t="shared" si="60"/>
        <v>2093625.1251696155</v>
      </c>
    </row>
    <row r="184" spans="1:333">
      <c r="A184" s="1">
        <v>1547</v>
      </c>
      <c r="B184" s="1">
        <f t="shared" si="43"/>
        <v>13028474.554330362</v>
      </c>
      <c r="C184" s="1">
        <f t="shared" si="45"/>
        <v>3577149.4239903702</v>
      </c>
      <c r="K184" s="1">
        <f t="shared" si="46"/>
        <v>1631313.0643907557</v>
      </c>
      <c r="U184" s="1">
        <f t="shared" si="47"/>
        <v>1702376.993082138</v>
      </c>
      <c r="AH184" s="1">
        <f t="shared" si="48"/>
        <v>3913810.4723144132</v>
      </c>
      <c r="AT184" s="1">
        <f t="shared" si="49"/>
        <v>1317169.536294346</v>
      </c>
      <c r="BC184" s="1">
        <f t="shared" si="50"/>
        <v>886655.06425833807</v>
      </c>
      <c r="BI184" s="4">
        <f t="shared" si="44"/>
        <v>8687928.2689343896</v>
      </c>
      <c r="BJ184" s="2">
        <f t="shared" si="61"/>
        <v>846484.72615689808</v>
      </c>
      <c r="BK184" s="2"/>
      <c r="BL184" s="2"/>
      <c r="BM184" s="2"/>
      <c r="BN184" s="2"/>
      <c r="BO184" s="2"/>
      <c r="BP184" s="2"/>
      <c r="BQ184" s="2">
        <f t="shared" si="42"/>
        <v>667827.06152563333</v>
      </c>
      <c r="BR184" s="2"/>
      <c r="BS184" s="2"/>
      <c r="BT184" s="2"/>
      <c r="BU184" s="2"/>
      <c r="BV184" s="2"/>
      <c r="BW184" s="2"/>
      <c r="BX184" s="2"/>
      <c r="BY184" s="2"/>
      <c r="BZ184" s="1">
        <f t="shared" si="51"/>
        <v>1832472.2075857788</v>
      </c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1">
        <f t="shared" si="52"/>
        <v>492704.74852030177</v>
      </c>
      <c r="CU184" s="2"/>
      <c r="CV184" s="2"/>
      <c r="CW184" s="2"/>
      <c r="CX184" s="1">
        <f t="shared" si="53"/>
        <v>1570330.0373875508</v>
      </c>
      <c r="CY184" s="2"/>
      <c r="CZ184" s="2"/>
      <c r="DA184" s="2"/>
      <c r="DB184" s="2"/>
      <c r="DC184" s="2"/>
      <c r="DD184" s="2"/>
      <c r="DE184" s="1">
        <f t="shared" si="54"/>
        <v>879142.06289646006</v>
      </c>
      <c r="DF184" s="2"/>
      <c r="DG184" s="2"/>
      <c r="DH184" s="2"/>
      <c r="DI184" s="2"/>
      <c r="DJ184" s="2"/>
      <c r="DK184" s="2"/>
      <c r="DL184" s="1">
        <f t="shared" si="55"/>
        <v>1034981.9930530679</v>
      </c>
      <c r="DM184" s="2"/>
      <c r="DN184" s="2"/>
      <c r="DO184" s="2"/>
      <c r="DP184" s="2"/>
      <c r="DQ184" s="2"/>
      <c r="DR184" s="2"/>
      <c r="DS184" s="1">
        <f t="shared" si="56"/>
        <v>684322.46842242975</v>
      </c>
      <c r="DT184" s="2"/>
      <c r="DU184" s="2"/>
      <c r="DV184" s="2"/>
      <c r="DW184" s="2"/>
      <c r="DX184" s="2"/>
      <c r="DY184" s="2"/>
      <c r="DZ184" s="2"/>
      <c r="EA184" s="2"/>
      <c r="EB184" s="1">
        <f t="shared" si="57"/>
        <v>80160.639002002645</v>
      </c>
      <c r="EC184" s="2"/>
      <c r="ED184" s="2"/>
      <c r="EE184" s="1">
        <f t="shared" si="58"/>
        <v>130752.4421084269</v>
      </c>
      <c r="EF184" s="2"/>
      <c r="EG184" s="1">
        <f t="shared" si="58"/>
        <v>468749.88227584009</v>
      </c>
      <c r="EH184" s="2"/>
      <c r="HW184" s="4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1">
        <f t="shared" si="59"/>
        <v>2854375.055653207</v>
      </c>
      <c r="LU184" s="1">
        <f t="shared" si="60"/>
        <v>2100743.4505951921</v>
      </c>
    </row>
    <row r="185" spans="1:333">
      <c r="A185" s="1">
        <v>1548</v>
      </c>
      <c r="B185" s="1">
        <f t="shared" si="43"/>
        <v>13076438.426878303</v>
      </c>
      <c r="C185" s="1">
        <f t="shared" si="45"/>
        <v>3589311.7320319377</v>
      </c>
      <c r="K185" s="1">
        <f t="shared" si="46"/>
        <v>1638653.9731805141</v>
      </c>
      <c r="U185" s="1">
        <f t="shared" si="47"/>
        <v>1710037.6895510075</v>
      </c>
      <c r="AH185" s="1">
        <f t="shared" si="48"/>
        <v>3927117.4279202824</v>
      </c>
      <c r="AT185" s="1">
        <f t="shared" si="49"/>
        <v>1321647.9127177468</v>
      </c>
      <c r="BC185" s="1">
        <f t="shared" si="50"/>
        <v>889669.69147681643</v>
      </c>
      <c r="BI185" s="4">
        <f t="shared" si="44"/>
        <v>8727141.6726665031</v>
      </c>
      <c r="BJ185" s="2">
        <f t="shared" si="61"/>
        <v>849955.3135341414</v>
      </c>
      <c r="BK185" s="2"/>
      <c r="BL185" s="2"/>
      <c r="BM185" s="2"/>
      <c r="BN185" s="2"/>
      <c r="BO185" s="2"/>
      <c r="BP185" s="2"/>
      <c r="BQ185" s="2">
        <f t="shared" si="42"/>
        <v>669830.5427102102</v>
      </c>
      <c r="BR185" s="2"/>
      <c r="BS185" s="2"/>
      <c r="BT185" s="2"/>
      <c r="BU185" s="2"/>
      <c r="BV185" s="2"/>
      <c r="BW185" s="2"/>
      <c r="BX185" s="2"/>
      <c r="BY185" s="2"/>
      <c r="BZ185" s="1">
        <f t="shared" si="51"/>
        <v>1845299.513038879</v>
      </c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1">
        <f t="shared" si="52"/>
        <v>494379.94466527086</v>
      </c>
      <c r="CU185" s="2"/>
      <c r="CV185" s="2"/>
      <c r="CW185" s="2"/>
      <c r="CX185" s="1">
        <f t="shared" si="53"/>
        <v>1575669.1595146686</v>
      </c>
      <c r="CY185" s="2"/>
      <c r="CZ185" s="2"/>
      <c r="DA185" s="2"/>
      <c r="DB185" s="2"/>
      <c r="DC185" s="2"/>
      <c r="DD185" s="2"/>
      <c r="DE185" s="1">
        <f t="shared" si="54"/>
        <v>882131.14591030811</v>
      </c>
      <c r="DF185" s="2"/>
      <c r="DG185" s="2"/>
      <c r="DH185" s="2"/>
      <c r="DI185" s="2"/>
      <c r="DJ185" s="2"/>
      <c r="DK185" s="2"/>
      <c r="DL185" s="1">
        <f t="shared" si="55"/>
        <v>1038500.9318294484</v>
      </c>
      <c r="DM185" s="2"/>
      <c r="DN185" s="2"/>
      <c r="DO185" s="2"/>
      <c r="DP185" s="2"/>
      <c r="DQ185" s="2"/>
      <c r="DR185" s="2"/>
      <c r="DS185" s="1">
        <f t="shared" si="56"/>
        <v>689112.72570138669</v>
      </c>
      <c r="DT185" s="2"/>
      <c r="DU185" s="2"/>
      <c r="DV185" s="2"/>
      <c r="DW185" s="2"/>
      <c r="DX185" s="2"/>
      <c r="DY185" s="2"/>
      <c r="DZ185" s="2"/>
      <c r="EA185" s="2"/>
      <c r="EB185" s="1">
        <f t="shared" si="57"/>
        <v>80721.763475016662</v>
      </c>
      <c r="EC185" s="2"/>
      <c r="ED185" s="2"/>
      <c r="EE185" s="1">
        <f t="shared" si="58"/>
        <v>131197.00041159557</v>
      </c>
      <c r="EF185" s="2"/>
      <c r="EG185" s="1">
        <f t="shared" si="58"/>
        <v>470343.63187557796</v>
      </c>
      <c r="EH185" s="2"/>
      <c r="HW185" s="4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1">
        <f t="shared" si="59"/>
        <v>2864079.930842428</v>
      </c>
      <c r="LU185" s="1">
        <f t="shared" si="60"/>
        <v>2107885.9783272161</v>
      </c>
    </row>
    <row r="186" spans="1:333">
      <c r="A186" s="1">
        <v>1549</v>
      </c>
      <c r="B186" s="1">
        <f t="shared" si="43"/>
        <v>13124581.878358698</v>
      </c>
      <c r="C186" s="1">
        <f t="shared" si="45"/>
        <v>3601515.3919208464</v>
      </c>
      <c r="K186" s="1">
        <f t="shared" si="46"/>
        <v>1646027.9160598263</v>
      </c>
      <c r="U186" s="1">
        <f t="shared" si="47"/>
        <v>1717732.8591539869</v>
      </c>
      <c r="AH186" s="1">
        <f t="shared" si="48"/>
        <v>3940469.6271752114</v>
      </c>
      <c r="AT186" s="1">
        <f t="shared" si="49"/>
        <v>1326141.5156209872</v>
      </c>
      <c r="BC186" s="1">
        <f t="shared" si="50"/>
        <v>892694.56842783769</v>
      </c>
      <c r="BI186" s="4">
        <f t="shared" si="44"/>
        <v>8766555.4732639343</v>
      </c>
      <c r="BJ186" s="2">
        <f t="shared" si="61"/>
        <v>853440.13031963143</v>
      </c>
      <c r="BK186" s="2"/>
      <c r="BL186" s="2"/>
      <c r="BM186" s="2"/>
      <c r="BN186" s="2"/>
      <c r="BO186" s="2"/>
      <c r="BP186" s="2"/>
      <c r="BQ186" s="2">
        <f t="shared" si="42"/>
        <v>671840.03433834075</v>
      </c>
      <c r="BR186" s="2"/>
      <c r="BS186" s="2"/>
      <c r="BT186" s="2"/>
      <c r="BU186" s="2"/>
      <c r="BV186" s="2"/>
      <c r="BW186" s="2"/>
      <c r="BX186" s="2"/>
      <c r="BY186" s="2"/>
      <c r="BZ186" s="1">
        <f t="shared" si="51"/>
        <v>1858216.609630151</v>
      </c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1">
        <f t="shared" si="52"/>
        <v>496060.83647713281</v>
      </c>
      <c r="CU186" s="2"/>
      <c r="CV186" s="2"/>
      <c r="CW186" s="2"/>
      <c r="CX186" s="1">
        <f t="shared" si="53"/>
        <v>1581026.4346570186</v>
      </c>
      <c r="CY186" s="2"/>
      <c r="CZ186" s="2"/>
      <c r="DA186" s="2"/>
      <c r="DB186" s="2"/>
      <c r="DC186" s="2"/>
      <c r="DD186" s="2"/>
      <c r="DE186" s="1">
        <f t="shared" si="54"/>
        <v>885130.39180640317</v>
      </c>
      <c r="DF186" s="2"/>
      <c r="DG186" s="2"/>
      <c r="DH186" s="2"/>
      <c r="DI186" s="2"/>
      <c r="DJ186" s="2"/>
      <c r="DK186" s="2"/>
      <c r="DL186" s="1">
        <f t="shared" si="55"/>
        <v>1042031.8349976686</v>
      </c>
      <c r="DM186" s="2"/>
      <c r="DN186" s="2"/>
      <c r="DO186" s="2"/>
      <c r="DP186" s="2"/>
      <c r="DQ186" s="2"/>
      <c r="DR186" s="2"/>
      <c r="DS186" s="1">
        <f t="shared" si="56"/>
        <v>693936.51478129637</v>
      </c>
      <c r="DT186" s="2"/>
      <c r="DU186" s="2"/>
      <c r="DV186" s="2"/>
      <c r="DW186" s="2"/>
      <c r="DX186" s="2"/>
      <c r="DY186" s="2"/>
      <c r="DZ186" s="2"/>
      <c r="EA186" s="2"/>
      <c r="EB186" s="1">
        <f t="shared" si="57"/>
        <v>81286.815819341777</v>
      </c>
      <c r="EC186" s="2"/>
      <c r="ED186" s="2"/>
      <c r="EE186" s="1">
        <f t="shared" si="58"/>
        <v>131643.07021299499</v>
      </c>
      <c r="EF186" s="2"/>
      <c r="EG186" s="1">
        <f t="shared" si="58"/>
        <v>471942.80022395495</v>
      </c>
      <c r="EH186" s="2"/>
      <c r="HW186" s="4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1">
        <f t="shared" si="59"/>
        <v>2873817.8026072923</v>
      </c>
      <c r="LU186" s="1">
        <f t="shared" si="60"/>
        <v>2115052.7906535286</v>
      </c>
    </row>
    <row r="187" spans="1:333">
      <c r="A187" s="1">
        <v>1550</v>
      </c>
      <c r="B187" s="1">
        <f t="shared" si="43"/>
        <v>13172905.59359785</v>
      </c>
      <c r="C187" s="1">
        <f t="shared" si="45"/>
        <v>3613760.5442533777</v>
      </c>
      <c r="K187" s="1">
        <f t="shared" si="46"/>
        <v>1653435.0416820955</v>
      </c>
      <c r="U187" s="1">
        <f t="shared" si="47"/>
        <v>1725462.6570201798</v>
      </c>
      <c r="AH187" s="1">
        <f t="shared" si="48"/>
        <v>3953867.2239076076</v>
      </c>
      <c r="AT187" s="1">
        <f t="shared" si="49"/>
        <v>1330650.3967740985</v>
      </c>
      <c r="BC187" s="1">
        <f t="shared" si="50"/>
        <v>895729.72996049235</v>
      </c>
      <c r="BI187" s="4">
        <f t="shared" si="44"/>
        <v>8806170.8177353498</v>
      </c>
      <c r="BJ187" s="2">
        <f t="shared" si="61"/>
        <v>856939.23485394195</v>
      </c>
      <c r="BK187" s="2"/>
      <c r="BL187" s="2"/>
      <c r="BM187" s="2"/>
      <c r="BN187" s="2"/>
      <c r="BO187" s="2"/>
      <c r="BP187" s="2"/>
      <c r="BQ187" s="2">
        <f t="shared" si="42"/>
        <v>673855.55444135575</v>
      </c>
      <c r="BR187" s="2"/>
      <c r="BS187" s="2"/>
      <c r="BT187" s="2"/>
      <c r="BU187" s="2"/>
      <c r="BV187" s="2"/>
      <c r="BW187" s="2"/>
      <c r="BX187" s="2"/>
      <c r="BY187" s="2"/>
      <c r="BZ187" s="1">
        <f t="shared" si="51"/>
        <v>1871224.1258975619</v>
      </c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1">
        <f t="shared" si="52"/>
        <v>497747.44332115509</v>
      </c>
      <c r="CU187" s="2"/>
      <c r="CV187" s="2"/>
      <c r="CW187" s="2"/>
      <c r="CX187" s="1">
        <f t="shared" si="53"/>
        <v>1586401.9245348526</v>
      </c>
      <c r="CY187" s="2"/>
      <c r="CZ187" s="2"/>
      <c r="DA187" s="2"/>
      <c r="DB187" s="2"/>
      <c r="DC187" s="2"/>
      <c r="DD187" s="2"/>
      <c r="DE187" s="1">
        <f t="shared" si="54"/>
        <v>888139.83513854502</v>
      </c>
      <c r="DF187" s="2"/>
      <c r="DG187" s="2"/>
      <c r="DH187" s="2"/>
      <c r="DI187" s="2"/>
      <c r="DJ187" s="2"/>
      <c r="DK187" s="2"/>
      <c r="DL187" s="1">
        <f t="shared" si="55"/>
        <v>1045574.7432366607</v>
      </c>
      <c r="DM187" s="2"/>
      <c r="DN187" s="2"/>
      <c r="DO187" s="2"/>
      <c r="DP187" s="2"/>
      <c r="DQ187" s="2"/>
      <c r="DR187" s="2"/>
      <c r="DS187" s="1">
        <f t="shared" si="56"/>
        <v>698794.07038476539</v>
      </c>
      <c r="DT187" s="2"/>
      <c r="DU187" s="2"/>
      <c r="DV187" s="2"/>
      <c r="DW187" s="2"/>
      <c r="DX187" s="2"/>
      <c r="DY187" s="2"/>
      <c r="DZ187" s="2"/>
      <c r="EA187" s="2"/>
      <c r="EB187" s="1">
        <f t="shared" si="57"/>
        <v>81855.823530077163</v>
      </c>
      <c r="EC187" s="2"/>
      <c r="ED187" s="2"/>
      <c r="EE187" s="1">
        <f t="shared" si="58"/>
        <v>132090.65665171918</v>
      </c>
      <c r="EF187" s="2"/>
      <c r="EG187" s="1">
        <f t="shared" si="58"/>
        <v>473547.40574471641</v>
      </c>
      <c r="EH187" s="2"/>
      <c r="HW187" s="4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1">
        <f t="shared" si="59"/>
        <v>2883588.7831361573</v>
      </c>
      <c r="LU187" s="1">
        <f t="shared" si="60"/>
        <v>2122243.9701417508</v>
      </c>
    </row>
    <row r="188" spans="1:333">
      <c r="A188" s="1">
        <v>1551</v>
      </c>
      <c r="B188" s="1">
        <f t="shared" si="43"/>
        <v>13221410.260084657</v>
      </c>
      <c r="C188" s="1">
        <f t="shared" si="45"/>
        <v>3626047.3301038393</v>
      </c>
      <c r="K188" s="1">
        <f t="shared" si="46"/>
        <v>1660875.4993696648</v>
      </c>
      <c r="U188" s="1">
        <f t="shared" si="47"/>
        <v>1733227.2389767705</v>
      </c>
      <c r="AH188" s="1">
        <f t="shared" si="48"/>
        <v>3967310.3724688939</v>
      </c>
      <c r="AT188" s="1">
        <f t="shared" si="49"/>
        <v>1335174.6081231306</v>
      </c>
      <c r="BC188" s="1">
        <f t="shared" si="50"/>
        <v>898775.21104235807</v>
      </c>
      <c r="BI188" s="4">
        <f t="shared" si="44"/>
        <v>8845988.8602295965</v>
      </c>
      <c r="BJ188" s="2">
        <f t="shared" si="61"/>
        <v>860452.68571684312</v>
      </c>
      <c r="BK188" s="2"/>
      <c r="BL188" s="2"/>
      <c r="BM188" s="2"/>
      <c r="BN188" s="2"/>
      <c r="BO188" s="2"/>
      <c r="BP188" s="2"/>
      <c r="BQ188" s="2">
        <f t="shared" si="42"/>
        <v>675877.12110467977</v>
      </c>
      <c r="BR188" s="2"/>
      <c r="BS188" s="2"/>
      <c r="BT188" s="2"/>
      <c r="BU188" s="2"/>
      <c r="BV188" s="2"/>
      <c r="BW188" s="2"/>
      <c r="BX188" s="2"/>
      <c r="BY188" s="2"/>
      <c r="BZ188" s="1">
        <f t="shared" si="51"/>
        <v>1884322.6947788447</v>
      </c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1">
        <f t="shared" si="52"/>
        <v>499439.78462844703</v>
      </c>
      <c r="CU188" s="2"/>
      <c r="CV188" s="2"/>
      <c r="CW188" s="2"/>
      <c r="CX188" s="1">
        <f t="shared" si="53"/>
        <v>1591795.6910782713</v>
      </c>
      <c r="CY188" s="2"/>
      <c r="CZ188" s="2"/>
      <c r="DA188" s="2"/>
      <c r="DB188" s="2"/>
      <c r="DC188" s="2"/>
      <c r="DD188" s="2"/>
      <c r="DE188" s="1">
        <f t="shared" si="54"/>
        <v>891159.51057801617</v>
      </c>
      <c r="DF188" s="2"/>
      <c r="DG188" s="2"/>
      <c r="DH188" s="2"/>
      <c r="DI188" s="2"/>
      <c r="DJ188" s="2"/>
      <c r="DK188" s="2"/>
      <c r="DL188" s="1">
        <f t="shared" si="55"/>
        <v>1049129.6973636653</v>
      </c>
      <c r="DM188" s="2"/>
      <c r="DN188" s="2"/>
      <c r="DO188" s="2"/>
      <c r="DP188" s="2"/>
      <c r="DQ188" s="2"/>
      <c r="DR188" s="2"/>
      <c r="DS188" s="1">
        <f t="shared" si="56"/>
        <v>703685.62887745863</v>
      </c>
      <c r="DT188" s="2"/>
      <c r="DU188" s="2"/>
      <c r="DV188" s="2"/>
      <c r="DW188" s="2"/>
      <c r="DX188" s="2"/>
      <c r="DY188" s="2"/>
      <c r="DZ188" s="2"/>
      <c r="EA188" s="2"/>
      <c r="EB188" s="1">
        <f t="shared" si="57"/>
        <v>82428.814294787691</v>
      </c>
      <c r="EC188" s="2"/>
      <c r="ED188" s="2"/>
      <c r="EE188" s="1">
        <f t="shared" si="58"/>
        <v>132539.76488433505</v>
      </c>
      <c r="EF188" s="2"/>
      <c r="EG188" s="1">
        <f t="shared" si="58"/>
        <v>475157.4669242485</v>
      </c>
      <c r="EH188" s="2"/>
      <c r="HW188" s="4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1">
        <f t="shared" si="59"/>
        <v>2893392.9849988203</v>
      </c>
      <c r="LU188" s="1">
        <f t="shared" si="60"/>
        <v>2129459.599640233</v>
      </c>
    </row>
    <row r="189" spans="1:333">
      <c r="A189" s="1">
        <v>1552</v>
      </c>
      <c r="B189" s="1">
        <f t="shared" si="43"/>
        <v>13270096.567981128</v>
      </c>
      <c r="C189" s="1">
        <f t="shared" si="45"/>
        <v>3638375.8910261928</v>
      </c>
      <c r="K189" s="1">
        <f t="shared" si="46"/>
        <v>1668349.4391168281</v>
      </c>
      <c r="U189" s="1">
        <f t="shared" si="47"/>
        <v>1741026.761552166</v>
      </c>
      <c r="AH189" s="1">
        <f t="shared" si="48"/>
        <v>3980799.2277352884</v>
      </c>
      <c r="AT189" s="1">
        <f t="shared" si="49"/>
        <v>1339714.2017907493</v>
      </c>
      <c r="BC189" s="1">
        <f t="shared" si="50"/>
        <v>901831.04675990215</v>
      </c>
      <c r="BI189" s="4">
        <f t="shared" si="44"/>
        <v>8886010.7620825637</v>
      </c>
      <c r="BJ189" s="2">
        <f t="shared" si="61"/>
        <v>863980.54172828211</v>
      </c>
      <c r="BK189" s="2"/>
      <c r="BL189" s="2"/>
      <c r="BM189" s="2"/>
      <c r="BN189" s="2"/>
      <c r="BO189" s="2"/>
      <c r="BP189" s="2"/>
      <c r="BQ189" s="2">
        <f t="shared" si="42"/>
        <v>677904.75246799376</v>
      </c>
      <c r="BR189" s="2"/>
      <c r="BS189" s="2"/>
      <c r="BT189" s="2"/>
      <c r="BU189" s="2"/>
      <c r="BV189" s="2"/>
      <c r="BW189" s="2"/>
      <c r="BX189" s="2"/>
      <c r="BY189" s="2"/>
      <c r="BZ189" s="1">
        <f t="shared" si="51"/>
        <v>1897512.9536422964</v>
      </c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1">
        <f t="shared" si="52"/>
        <v>501137.87989618379</v>
      </c>
      <c r="CU189" s="2"/>
      <c r="CV189" s="2"/>
      <c r="CW189" s="2"/>
      <c r="CX189" s="1">
        <f t="shared" si="53"/>
        <v>1597207.7964279375</v>
      </c>
      <c r="CY189" s="2"/>
      <c r="CZ189" s="2"/>
      <c r="DA189" s="2"/>
      <c r="DB189" s="2"/>
      <c r="DC189" s="2"/>
      <c r="DD189" s="2"/>
      <c r="DE189" s="1">
        <f t="shared" si="54"/>
        <v>894189.45291398151</v>
      </c>
      <c r="DF189" s="2"/>
      <c r="DG189" s="2"/>
      <c r="DH189" s="2"/>
      <c r="DI189" s="2"/>
      <c r="DJ189" s="2"/>
      <c r="DK189" s="2"/>
      <c r="DL189" s="1">
        <f t="shared" si="55"/>
        <v>1052696.7383347019</v>
      </c>
      <c r="DM189" s="2"/>
      <c r="DN189" s="2"/>
      <c r="DO189" s="2"/>
      <c r="DP189" s="2"/>
      <c r="DQ189" s="2"/>
      <c r="DR189" s="2"/>
      <c r="DS189" s="1">
        <f t="shared" si="56"/>
        <v>708611.4282796008</v>
      </c>
      <c r="DT189" s="2"/>
      <c r="DU189" s="2"/>
      <c r="DV189" s="2"/>
      <c r="DW189" s="2"/>
      <c r="DX189" s="2"/>
      <c r="DY189" s="2"/>
      <c r="DZ189" s="2"/>
      <c r="EA189" s="2"/>
      <c r="EB189" s="1">
        <f t="shared" si="57"/>
        <v>83005.815994851189</v>
      </c>
      <c r="EC189" s="2"/>
      <c r="ED189" s="2"/>
      <c r="EE189" s="1">
        <f t="shared" si="58"/>
        <v>132990.40008494179</v>
      </c>
      <c r="EF189" s="2"/>
      <c r="EG189" s="1">
        <f t="shared" si="58"/>
        <v>476773.002311791</v>
      </c>
      <c r="EH189" s="2"/>
      <c r="HW189" s="4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1">
        <f t="shared" si="59"/>
        <v>2903230.5211478164</v>
      </c>
      <c r="LU189" s="1">
        <f t="shared" si="60"/>
        <v>2136699.7622790099</v>
      </c>
    </row>
    <row r="190" spans="1:333">
      <c r="A190" s="1">
        <v>1553</v>
      </c>
      <c r="B190" s="1">
        <f t="shared" si="43"/>
        <v>13318965.210133001</v>
      </c>
      <c r="C190" s="1">
        <f t="shared" si="45"/>
        <v>3650746.3690556823</v>
      </c>
      <c r="K190" s="1">
        <f t="shared" si="46"/>
        <v>1675857.0115928538</v>
      </c>
      <c r="U190" s="1">
        <f t="shared" si="47"/>
        <v>1748861.3819791507</v>
      </c>
      <c r="AH190" s="1">
        <f t="shared" si="48"/>
        <v>3994333.9451095886</v>
      </c>
      <c r="AT190" s="1">
        <f t="shared" si="49"/>
        <v>1344269.2300768381</v>
      </c>
      <c r="BC190" s="1">
        <f t="shared" si="50"/>
        <v>904897.27231888589</v>
      </c>
      <c r="BI190" s="4">
        <f t="shared" si="44"/>
        <v>8926237.6918643638</v>
      </c>
      <c r="BJ190" s="2">
        <f t="shared" si="61"/>
        <v>867522.86194936803</v>
      </c>
      <c r="BK190" s="2"/>
      <c r="BL190" s="2"/>
      <c r="BM190" s="2"/>
      <c r="BN190" s="2"/>
      <c r="BO190" s="2"/>
      <c r="BP190" s="2"/>
      <c r="BQ190" s="2">
        <f t="shared" si="42"/>
        <v>679938.46672539762</v>
      </c>
      <c r="BR190" s="2"/>
      <c r="BS190" s="2"/>
      <c r="BT190" s="2"/>
      <c r="BU190" s="2"/>
      <c r="BV190" s="2"/>
      <c r="BW190" s="2"/>
      <c r="BX190" s="2"/>
      <c r="BY190" s="2"/>
      <c r="BZ190" s="1">
        <f t="shared" si="51"/>
        <v>1910795.5443177922</v>
      </c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1">
        <f t="shared" si="52"/>
        <v>502841.74868783087</v>
      </c>
      <c r="CU190" s="2"/>
      <c r="CV190" s="2"/>
      <c r="CW190" s="2"/>
      <c r="CX190" s="1">
        <f t="shared" si="53"/>
        <v>1602638.3029357926</v>
      </c>
      <c r="CY190" s="2"/>
      <c r="CZ190" s="2"/>
      <c r="DA190" s="2"/>
      <c r="DB190" s="2"/>
      <c r="DC190" s="2"/>
      <c r="DD190" s="2"/>
      <c r="DE190" s="1">
        <f t="shared" si="54"/>
        <v>897229.69705388916</v>
      </c>
      <c r="DF190" s="2"/>
      <c r="DG190" s="2"/>
      <c r="DH190" s="2"/>
      <c r="DI190" s="2"/>
      <c r="DJ190" s="2"/>
      <c r="DK190" s="2"/>
      <c r="DL190" s="1">
        <f t="shared" si="55"/>
        <v>1056275.9072450399</v>
      </c>
      <c r="DM190" s="2"/>
      <c r="DN190" s="2"/>
      <c r="DO190" s="2"/>
      <c r="DP190" s="2"/>
      <c r="DQ190" s="2"/>
      <c r="DR190" s="2"/>
      <c r="DS190" s="1">
        <f t="shared" si="56"/>
        <v>713571.70827755798</v>
      </c>
      <c r="DT190" s="2"/>
      <c r="DU190" s="2"/>
      <c r="DV190" s="2"/>
      <c r="DW190" s="2"/>
      <c r="DX190" s="2"/>
      <c r="DY190" s="2"/>
      <c r="DZ190" s="2"/>
      <c r="EA190" s="2"/>
      <c r="EB190" s="1">
        <f t="shared" si="57"/>
        <v>83586.856706815146</v>
      </c>
      <c r="EC190" s="2"/>
      <c r="ED190" s="2"/>
      <c r="EE190" s="1">
        <f t="shared" si="58"/>
        <v>133442.56744523061</v>
      </c>
      <c r="EF190" s="2"/>
      <c r="EG190" s="1">
        <f t="shared" si="58"/>
        <v>478394.03051965113</v>
      </c>
      <c r="EH190" s="2"/>
      <c r="HW190" s="4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1">
        <f t="shared" si="59"/>
        <v>2913101.5049197194</v>
      </c>
      <c r="LU190" s="1">
        <f t="shared" si="60"/>
        <v>2143964.5414707586</v>
      </c>
    </row>
    <row r="191" spans="1:333">
      <c r="A191" s="1">
        <v>1554</v>
      </c>
      <c r="B191" s="1">
        <f t="shared" si="43"/>
        <v>13368016.882080384</v>
      </c>
      <c r="C191" s="1">
        <f t="shared" si="45"/>
        <v>3663158.906710472</v>
      </c>
      <c r="K191" s="1">
        <f t="shared" si="46"/>
        <v>1683398.3681450216</v>
      </c>
      <c r="U191" s="1">
        <f t="shared" si="47"/>
        <v>1756731.2581980568</v>
      </c>
      <c r="AH191" s="1">
        <f t="shared" si="48"/>
        <v>4007914.6805229615</v>
      </c>
      <c r="AT191" s="1">
        <f t="shared" si="49"/>
        <v>1348839.7454590993</v>
      </c>
      <c r="BC191" s="1">
        <f t="shared" si="50"/>
        <v>907973.92304477014</v>
      </c>
      <c r="BI191" s="4">
        <f t="shared" si="44"/>
        <v>8966670.8254268654</v>
      </c>
      <c r="BJ191" s="2">
        <f t="shared" si="61"/>
        <v>871079.70568336046</v>
      </c>
      <c r="BK191" s="2"/>
      <c r="BL191" s="2"/>
      <c r="BM191" s="2"/>
      <c r="BN191" s="2"/>
      <c r="BO191" s="2"/>
      <c r="BP191" s="2"/>
      <c r="BQ191" s="2">
        <f t="shared" si="42"/>
        <v>681978.28212557372</v>
      </c>
      <c r="BR191" s="2"/>
      <c r="BS191" s="2"/>
      <c r="BT191" s="2"/>
      <c r="BU191" s="2"/>
      <c r="BV191" s="2"/>
      <c r="BW191" s="2"/>
      <c r="BX191" s="2"/>
      <c r="BY191" s="2"/>
      <c r="BZ191" s="1">
        <f t="shared" si="51"/>
        <v>1924171.1131280165</v>
      </c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1">
        <f t="shared" si="52"/>
        <v>504551.41063336952</v>
      </c>
      <c r="CU191" s="2"/>
      <c r="CV191" s="2"/>
      <c r="CW191" s="2"/>
      <c r="CX191" s="1">
        <f t="shared" si="53"/>
        <v>1608087.2731657743</v>
      </c>
      <c r="CY191" s="2"/>
      <c r="CZ191" s="2"/>
      <c r="DA191" s="2"/>
      <c r="DB191" s="2"/>
      <c r="DC191" s="2"/>
      <c r="DD191" s="2"/>
      <c r="DE191" s="1">
        <f t="shared" si="54"/>
        <v>900280.27802387241</v>
      </c>
      <c r="DF191" s="2"/>
      <c r="DG191" s="2"/>
      <c r="DH191" s="2"/>
      <c r="DI191" s="2"/>
      <c r="DJ191" s="2"/>
      <c r="DK191" s="2"/>
      <c r="DL191" s="1">
        <f t="shared" si="55"/>
        <v>1059867.2453296732</v>
      </c>
      <c r="DM191" s="2"/>
      <c r="DN191" s="2"/>
      <c r="DO191" s="2"/>
      <c r="DP191" s="2"/>
      <c r="DQ191" s="2"/>
      <c r="DR191" s="2"/>
      <c r="DS191" s="1">
        <f t="shared" si="56"/>
        <v>718566.71023550082</v>
      </c>
      <c r="DT191" s="2"/>
      <c r="DU191" s="2"/>
      <c r="DV191" s="2"/>
      <c r="DW191" s="2"/>
      <c r="DX191" s="2"/>
      <c r="DY191" s="2"/>
      <c r="DZ191" s="2"/>
      <c r="EA191" s="2"/>
      <c r="EB191" s="1">
        <f t="shared" si="57"/>
        <v>84171.964703762846</v>
      </c>
      <c r="EC191" s="2"/>
      <c r="ED191" s="2"/>
      <c r="EE191" s="1">
        <f t="shared" si="58"/>
        <v>133896.2721745444</v>
      </c>
      <c r="EF191" s="2"/>
      <c r="EG191" s="1">
        <f t="shared" si="58"/>
        <v>480020.57022341801</v>
      </c>
      <c r="EH191" s="2"/>
      <c r="HW191" s="4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1">
        <f t="shared" si="59"/>
        <v>2923006.0500364467</v>
      </c>
      <c r="LU191" s="1">
        <f t="shared" si="60"/>
        <v>2151254.0209117592</v>
      </c>
    </row>
    <row r="192" spans="1:333">
      <c r="A192" s="1">
        <v>1555</v>
      </c>
      <c r="B192" s="1">
        <f t="shared" si="43"/>
        <v>13417252.282068433</v>
      </c>
      <c r="C192" s="1">
        <f t="shared" si="45"/>
        <v>3675613.6469932878</v>
      </c>
      <c r="K192" s="1">
        <f t="shared" si="46"/>
        <v>1690973.660801674</v>
      </c>
      <c r="U192" s="1">
        <f t="shared" si="47"/>
        <v>1764636.5488599481</v>
      </c>
      <c r="AH192" s="1">
        <f t="shared" si="48"/>
        <v>4021541.5904367398</v>
      </c>
      <c r="AT192" s="1">
        <f t="shared" si="49"/>
        <v>1353425.8005936604</v>
      </c>
      <c r="BC192" s="1">
        <f t="shared" si="50"/>
        <v>911061.03438312246</v>
      </c>
      <c r="BI192" s="4">
        <f t="shared" si="44"/>
        <v>9007311.3459514864</v>
      </c>
      <c r="BJ192" s="2">
        <f t="shared" si="61"/>
        <v>874651.13247666229</v>
      </c>
      <c r="BK192" s="2"/>
      <c r="BL192" s="2"/>
      <c r="BM192" s="2"/>
      <c r="BN192" s="2"/>
      <c r="BO192" s="2"/>
      <c r="BP192" s="2"/>
      <c r="BQ192" s="2">
        <f t="shared" si="42"/>
        <v>684024.21697195037</v>
      </c>
      <c r="BR192" s="2"/>
      <c r="BS192" s="2"/>
      <c r="BT192" s="2"/>
      <c r="BU192" s="2"/>
      <c r="BV192" s="2"/>
      <c r="BW192" s="2"/>
      <c r="BX192" s="2"/>
      <c r="BY192" s="2"/>
      <c r="BZ192" s="1">
        <f t="shared" si="51"/>
        <v>1937640.3109199123</v>
      </c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1">
        <f t="shared" si="52"/>
        <v>506266.88542952301</v>
      </c>
      <c r="CU192" s="2"/>
      <c r="CV192" s="2"/>
      <c r="CW192" s="2"/>
      <c r="CX192" s="1">
        <f t="shared" si="53"/>
        <v>1613554.769894538</v>
      </c>
      <c r="CY192" s="2"/>
      <c r="CZ192" s="2"/>
      <c r="DA192" s="2"/>
      <c r="DB192" s="2"/>
      <c r="DC192" s="2"/>
      <c r="DD192" s="2"/>
      <c r="DE192" s="1">
        <f t="shared" si="54"/>
        <v>903341.23096915369</v>
      </c>
      <c r="DF192" s="2"/>
      <c r="DG192" s="2"/>
      <c r="DH192" s="2"/>
      <c r="DI192" s="2"/>
      <c r="DJ192" s="2"/>
      <c r="DK192" s="2"/>
      <c r="DL192" s="1">
        <f t="shared" si="55"/>
        <v>1063470.7939637941</v>
      </c>
      <c r="DM192" s="2"/>
      <c r="DN192" s="2"/>
      <c r="DO192" s="2"/>
      <c r="DP192" s="2"/>
      <c r="DQ192" s="2"/>
      <c r="DR192" s="2"/>
      <c r="DS192" s="1">
        <f t="shared" si="56"/>
        <v>723596.67720714922</v>
      </c>
      <c r="DT192" s="2"/>
      <c r="DU192" s="2"/>
      <c r="DV192" s="2"/>
      <c r="DW192" s="2"/>
      <c r="DX192" s="2"/>
      <c r="DY192" s="2"/>
      <c r="DZ192" s="2"/>
      <c r="EA192" s="2"/>
      <c r="EB192" s="1">
        <f t="shared" si="57"/>
        <v>84761.168456689178</v>
      </c>
      <c r="EC192" s="2"/>
      <c r="ED192" s="2"/>
      <c r="EE192" s="1">
        <f t="shared" si="58"/>
        <v>134351.51949993786</v>
      </c>
      <c r="EF192" s="2"/>
      <c r="EG192" s="1">
        <f t="shared" si="58"/>
        <v>481652.64016217767</v>
      </c>
      <c r="EH192" s="2"/>
      <c r="HW192" s="4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1">
        <f t="shared" si="59"/>
        <v>2932944.2706065709</v>
      </c>
      <c r="LU192" s="1">
        <f t="shared" si="60"/>
        <v>2158568.2845828594</v>
      </c>
    </row>
    <row r="193" spans="1:333">
      <c r="A193" s="1">
        <v>1556</v>
      </c>
      <c r="B193" s="1">
        <f t="shared" si="43"/>
        <v>13466672.111058094</v>
      </c>
      <c r="C193" s="1">
        <f t="shared" si="45"/>
        <v>3688110.7333930652</v>
      </c>
      <c r="K193" s="1">
        <f t="shared" si="46"/>
        <v>1698583.0422752814</v>
      </c>
      <c r="U193" s="1">
        <f t="shared" si="47"/>
        <v>1772577.4133298178</v>
      </c>
      <c r="AH193" s="1">
        <f t="shared" si="48"/>
        <v>4035214.8318442251</v>
      </c>
      <c r="AT193" s="1">
        <f t="shared" si="49"/>
        <v>1358027.4483156791</v>
      </c>
      <c r="BC193" s="1">
        <f t="shared" si="50"/>
        <v>914158.64190002519</v>
      </c>
      <c r="BI193" s="4">
        <f t="shared" si="44"/>
        <v>9048160.4439973701</v>
      </c>
      <c r="BJ193" s="2">
        <f t="shared" si="61"/>
        <v>878237.20211981656</v>
      </c>
      <c r="BK193" s="2"/>
      <c r="BL193" s="2"/>
      <c r="BM193" s="2"/>
      <c r="BN193" s="2"/>
      <c r="BO193" s="2"/>
      <c r="BP193" s="2"/>
      <c r="BQ193" s="2">
        <f t="shared" si="42"/>
        <v>686076.2896228662</v>
      </c>
      <c r="BR193" s="2"/>
      <c r="BS193" s="2"/>
      <c r="BT193" s="2"/>
      <c r="BU193" s="2"/>
      <c r="BV193" s="2"/>
      <c r="BW193" s="2"/>
      <c r="BX193" s="2"/>
      <c r="BY193" s="2"/>
      <c r="BZ193" s="1">
        <f t="shared" si="51"/>
        <v>1951203.7930963514</v>
      </c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1">
        <f t="shared" si="52"/>
        <v>507988.19283998344</v>
      </c>
      <c r="CU193" s="2"/>
      <c r="CV193" s="2"/>
      <c r="CW193" s="2"/>
      <c r="CX193" s="1">
        <f t="shared" si="53"/>
        <v>1619040.8561121796</v>
      </c>
      <c r="CY193" s="2"/>
      <c r="CZ193" s="2"/>
      <c r="DA193" s="2"/>
      <c r="DB193" s="2"/>
      <c r="DC193" s="2"/>
      <c r="DD193" s="2"/>
      <c r="DE193" s="1">
        <f t="shared" si="54"/>
        <v>906412.59115444892</v>
      </c>
      <c r="DF193" s="2"/>
      <c r="DG193" s="2"/>
      <c r="DH193" s="2"/>
      <c r="DI193" s="2"/>
      <c r="DJ193" s="2"/>
      <c r="DK193" s="2"/>
      <c r="DL193" s="1">
        <f t="shared" si="55"/>
        <v>1067086.5946632712</v>
      </c>
      <c r="DM193" s="2"/>
      <c r="DN193" s="2"/>
      <c r="DO193" s="2"/>
      <c r="DP193" s="2"/>
      <c r="DQ193" s="2"/>
      <c r="DR193" s="2"/>
      <c r="DS193" s="1">
        <f t="shared" si="56"/>
        <v>728661.85394759919</v>
      </c>
      <c r="DT193" s="2"/>
      <c r="DU193" s="2"/>
      <c r="DV193" s="2"/>
      <c r="DW193" s="2"/>
      <c r="DX193" s="2"/>
      <c r="DY193" s="2"/>
      <c r="DZ193" s="2"/>
      <c r="EA193" s="2"/>
      <c r="EB193" s="1">
        <f t="shared" si="57"/>
        <v>85354.496635885997</v>
      </c>
      <c r="EC193" s="2"/>
      <c r="ED193" s="2"/>
      <c r="EE193" s="1">
        <f t="shared" si="58"/>
        <v>134808.31466623765</v>
      </c>
      <c r="EF193" s="2"/>
      <c r="EG193" s="1">
        <f t="shared" si="58"/>
        <v>483290.25913872913</v>
      </c>
      <c r="EH193" s="2"/>
      <c r="HW193" s="4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1">
        <f t="shared" si="59"/>
        <v>2942916.2811266333</v>
      </c>
      <c r="LU193" s="1">
        <f t="shared" si="60"/>
        <v>2165907.4167504413</v>
      </c>
    </row>
    <row r="194" spans="1:333">
      <c r="A194" s="1">
        <v>1557</v>
      </c>
      <c r="B194" s="1">
        <f t="shared" si="43"/>
        <v>13516277.072736856</v>
      </c>
      <c r="C194" s="1">
        <f t="shared" si="45"/>
        <v>3700650.3098866018</v>
      </c>
      <c r="K194" s="1">
        <f t="shared" si="46"/>
        <v>1706226.6659655201</v>
      </c>
      <c r="U194" s="1">
        <f t="shared" si="47"/>
        <v>1780554.0116898019</v>
      </c>
      <c r="AH194" s="1">
        <f t="shared" si="48"/>
        <v>4048934.5622724956</v>
      </c>
      <c r="AT194" s="1">
        <f t="shared" si="49"/>
        <v>1362644.7416399524</v>
      </c>
      <c r="BC194" s="1">
        <f t="shared" si="50"/>
        <v>917266.78128248535</v>
      </c>
      <c r="BI194" s="4">
        <f t="shared" si="44"/>
        <v>9089219.3175498415</v>
      </c>
      <c r="BJ194" s="2">
        <f t="shared" si="61"/>
        <v>881837.97464850778</v>
      </c>
      <c r="BK194" s="2"/>
      <c r="BL194" s="2"/>
      <c r="BM194" s="2"/>
      <c r="BN194" s="2"/>
      <c r="BO194" s="2"/>
      <c r="BP194" s="2"/>
      <c r="BQ194" s="2">
        <f t="shared" si="42"/>
        <v>688134.51849173475</v>
      </c>
      <c r="BR194" s="2"/>
      <c r="BS194" s="2"/>
      <c r="BT194" s="2"/>
      <c r="BU194" s="2"/>
      <c r="BV194" s="2"/>
      <c r="BW194" s="2"/>
      <c r="BX194" s="2"/>
      <c r="BY194" s="2"/>
      <c r="BZ194" s="1">
        <f t="shared" si="51"/>
        <v>1964862.2196480257</v>
      </c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1">
        <f t="shared" si="52"/>
        <v>509715.35269563942</v>
      </c>
      <c r="CU194" s="2"/>
      <c r="CV194" s="2"/>
      <c r="CW194" s="2"/>
      <c r="CX194" s="1">
        <f t="shared" si="53"/>
        <v>1624545.595022961</v>
      </c>
      <c r="CY194" s="2"/>
      <c r="CZ194" s="2"/>
      <c r="DA194" s="2"/>
      <c r="DB194" s="2"/>
      <c r="DC194" s="2"/>
      <c r="DD194" s="2"/>
      <c r="DE194" s="1">
        <f t="shared" si="54"/>
        <v>909494.39396437409</v>
      </c>
      <c r="DF194" s="2"/>
      <c r="DG194" s="2"/>
      <c r="DH194" s="2"/>
      <c r="DI194" s="2"/>
      <c r="DJ194" s="2"/>
      <c r="DK194" s="2"/>
      <c r="DL194" s="1">
        <f t="shared" si="55"/>
        <v>1070714.6890851264</v>
      </c>
      <c r="DM194" s="2"/>
      <c r="DN194" s="2"/>
      <c r="DO194" s="2"/>
      <c r="DP194" s="2"/>
      <c r="DQ194" s="2"/>
      <c r="DR194" s="2"/>
      <c r="DS194" s="1">
        <f t="shared" si="56"/>
        <v>733762.48692523234</v>
      </c>
      <c r="DT194" s="2"/>
      <c r="DU194" s="2"/>
      <c r="DV194" s="2"/>
      <c r="DW194" s="2"/>
      <c r="DX194" s="2"/>
      <c r="DY194" s="2"/>
      <c r="DZ194" s="2"/>
      <c r="EA194" s="2"/>
      <c r="EB194" s="1">
        <f t="shared" si="57"/>
        <v>85951.978112337194</v>
      </c>
      <c r="EC194" s="2"/>
      <c r="ED194" s="2"/>
      <c r="EE194" s="1">
        <f t="shared" si="58"/>
        <v>135266.66293610286</v>
      </c>
      <c r="EF194" s="2"/>
      <c r="EG194" s="1">
        <f t="shared" si="58"/>
        <v>484933.44601980085</v>
      </c>
      <c r="EH194" s="2"/>
      <c r="HW194" s="4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1">
        <f t="shared" si="59"/>
        <v>2952922.1964824642</v>
      </c>
      <c r="LU194" s="1">
        <f t="shared" si="60"/>
        <v>2173271.5019673929</v>
      </c>
    </row>
    <row r="195" spans="1:333">
      <c r="A195" s="1">
        <v>1558</v>
      </c>
      <c r="B195" s="1">
        <f t="shared" si="43"/>
        <v>13566067.873529585</v>
      </c>
      <c r="C195" s="1">
        <f t="shared" si="45"/>
        <v>3713232.5209402163</v>
      </c>
      <c r="K195" s="1">
        <f t="shared" si="46"/>
        <v>1713904.6859623648</v>
      </c>
      <c r="U195" s="1">
        <f t="shared" si="47"/>
        <v>1788566.5047424058</v>
      </c>
      <c r="AH195" s="1">
        <f t="shared" si="48"/>
        <v>4062700.9397842223</v>
      </c>
      <c r="AT195" s="1">
        <f t="shared" si="49"/>
        <v>1367277.7337615283</v>
      </c>
      <c r="BC195" s="1">
        <f t="shared" si="50"/>
        <v>920385.4883388459</v>
      </c>
      <c r="BI195" s="4">
        <f t="shared" si="44"/>
        <v>9130489.1720692385</v>
      </c>
      <c r="BJ195" s="2">
        <f t="shared" si="61"/>
        <v>885453.51034456666</v>
      </c>
      <c r="BK195" s="2"/>
      <c r="BL195" s="2"/>
      <c r="BM195" s="2"/>
      <c r="BN195" s="2"/>
      <c r="BO195" s="2"/>
      <c r="BP195" s="2"/>
      <c r="BQ195" s="2">
        <f t="shared" si="42"/>
        <v>690198.92204720993</v>
      </c>
      <c r="BR195" s="2"/>
      <c r="BS195" s="2"/>
      <c r="BT195" s="2"/>
      <c r="BU195" s="2"/>
      <c r="BV195" s="2"/>
      <c r="BW195" s="2"/>
      <c r="BX195" s="2"/>
      <c r="BY195" s="2"/>
      <c r="BZ195" s="1">
        <f t="shared" si="51"/>
        <v>1978616.2551855617</v>
      </c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1">
        <f t="shared" si="52"/>
        <v>511448.38489480462</v>
      </c>
      <c r="CU195" s="2"/>
      <c r="CV195" s="2"/>
      <c r="CW195" s="2"/>
      <c r="CX195" s="1">
        <f t="shared" si="53"/>
        <v>1630069.0500460393</v>
      </c>
      <c r="CY195" s="2"/>
      <c r="CZ195" s="2"/>
      <c r="DA195" s="2"/>
      <c r="DB195" s="2"/>
      <c r="DC195" s="2"/>
      <c r="DD195" s="2"/>
      <c r="DE195" s="1">
        <f t="shared" si="54"/>
        <v>912586.67490385298</v>
      </c>
      <c r="DF195" s="2"/>
      <c r="DG195" s="2"/>
      <c r="DH195" s="2"/>
      <c r="DI195" s="2"/>
      <c r="DJ195" s="2"/>
      <c r="DK195" s="2"/>
      <c r="DL195" s="1">
        <f t="shared" si="55"/>
        <v>1074355.119028016</v>
      </c>
      <c r="DM195" s="2"/>
      <c r="DN195" s="2"/>
      <c r="DO195" s="2"/>
      <c r="DP195" s="2"/>
      <c r="DQ195" s="2"/>
      <c r="DR195" s="2"/>
      <c r="DS195" s="1">
        <f t="shared" si="56"/>
        <v>738898.82433370885</v>
      </c>
      <c r="DT195" s="2"/>
      <c r="DU195" s="2"/>
      <c r="DV195" s="2"/>
      <c r="DW195" s="2"/>
      <c r="DX195" s="2"/>
      <c r="DY195" s="2"/>
      <c r="DZ195" s="2"/>
      <c r="EA195" s="2"/>
      <c r="EB195" s="1">
        <f t="shared" si="57"/>
        <v>86553.641959123546</v>
      </c>
      <c r="EC195" s="2"/>
      <c r="ED195" s="2"/>
      <c r="EE195" s="1">
        <f t="shared" si="58"/>
        <v>135726.56959008562</v>
      </c>
      <c r="EF195" s="2"/>
      <c r="EG195" s="1">
        <f t="shared" si="58"/>
        <v>486582.21973626822</v>
      </c>
      <c r="EH195" s="2"/>
      <c r="HW195" s="4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1">
        <f t="shared" si="59"/>
        <v>2962962.1319505046</v>
      </c>
      <c r="LU195" s="1">
        <f t="shared" si="60"/>
        <v>2180660.6250740821</v>
      </c>
    </row>
    <row r="196" spans="1:333">
      <c r="A196" s="1">
        <v>1559</v>
      </c>
      <c r="B196" s="1">
        <f t="shared" si="43"/>
        <v>13616045.22260936</v>
      </c>
      <c r="C196" s="1">
        <f t="shared" si="45"/>
        <v>3725857.5115114134</v>
      </c>
      <c r="K196" s="1">
        <f t="shared" si="46"/>
        <v>1721617.2570491952</v>
      </c>
      <c r="U196" s="1">
        <f t="shared" si="47"/>
        <v>1796615.0540137466</v>
      </c>
      <c r="AH196" s="1">
        <f t="shared" si="48"/>
        <v>4076514.1229794887</v>
      </c>
      <c r="AT196" s="1">
        <f t="shared" si="49"/>
        <v>1371926.4780563177</v>
      </c>
      <c r="BC196" s="1">
        <f t="shared" si="50"/>
        <v>923514.79899919801</v>
      </c>
      <c r="BI196" s="4">
        <f t="shared" si="44"/>
        <v>9171971.2205400169</v>
      </c>
      <c r="BJ196" s="2">
        <f t="shared" si="61"/>
        <v>889083.86973697937</v>
      </c>
      <c r="BK196" s="2"/>
      <c r="BL196" s="2"/>
      <c r="BM196" s="2"/>
      <c r="BN196" s="2"/>
      <c r="BO196" s="2"/>
      <c r="BP196" s="2"/>
      <c r="BQ196" s="2">
        <f t="shared" si="42"/>
        <v>692269.51881335152</v>
      </c>
      <c r="BR196" s="2"/>
      <c r="BS196" s="2"/>
      <c r="BT196" s="2"/>
      <c r="BU196" s="2"/>
      <c r="BV196" s="2"/>
      <c r="BW196" s="2"/>
      <c r="BX196" s="2"/>
      <c r="BY196" s="2"/>
      <c r="BZ196" s="1">
        <f t="shared" si="51"/>
        <v>1992466.5689718605</v>
      </c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1">
        <f t="shared" si="52"/>
        <v>513187.30940344697</v>
      </c>
      <c r="CU196" s="2"/>
      <c r="CV196" s="2"/>
      <c r="CW196" s="2"/>
      <c r="CX196" s="1">
        <f t="shared" si="53"/>
        <v>1635611.284816196</v>
      </c>
      <c r="CY196" s="2"/>
      <c r="CZ196" s="2"/>
      <c r="DA196" s="2"/>
      <c r="DB196" s="2"/>
      <c r="DC196" s="2"/>
      <c r="DD196" s="2"/>
      <c r="DE196" s="1">
        <f t="shared" si="54"/>
        <v>915689.46959852614</v>
      </c>
      <c r="DF196" s="2"/>
      <c r="DG196" s="2"/>
      <c r="DH196" s="2"/>
      <c r="DI196" s="2"/>
      <c r="DJ196" s="2"/>
      <c r="DK196" s="2"/>
      <c r="DL196" s="1">
        <f t="shared" si="55"/>
        <v>1078007.9264327113</v>
      </c>
      <c r="DM196" s="2"/>
      <c r="DN196" s="2"/>
      <c r="DO196" s="2"/>
      <c r="DP196" s="2"/>
      <c r="DQ196" s="2"/>
      <c r="DR196" s="2"/>
      <c r="DS196" s="1">
        <f t="shared" si="56"/>
        <v>744071.11610404472</v>
      </c>
      <c r="DT196" s="2"/>
      <c r="DU196" s="2"/>
      <c r="DV196" s="2"/>
      <c r="DW196" s="2"/>
      <c r="DX196" s="2"/>
      <c r="DY196" s="2"/>
      <c r="DZ196" s="2"/>
      <c r="EA196" s="2"/>
      <c r="EB196" s="1">
        <f t="shared" si="57"/>
        <v>87159.517452837405</v>
      </c>
      <c r="EC196" s="2"/>
      <c r="ED196" s="2"/>
      <c r="EE196" s="1">
        <f t="shared" si="58"/>
        <v>136188.03992669191</v>
      </c>
      <c r="EF196" s="2"/>
      <c r="EG196" s="1">
        <f t="shared" si="58"/>
        <v>488236.59928337159</v>
      </c>
      <c r="EH196" s="2"/>
      <c r="HW196" s="4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1">
        <f t="shared" si="59"/>
        <v>2973036.2031991365</v>
      </c>
      <c r="LU196" s="1">
        <f t="shared" si="60"/>
        <v>2188074.871199334</v>
      </c>
    </row>
    <row r="197" spans="1:333">
      <c r="A197" s="1">
        <v>1560</v>
      </c>
      <c r="B197" s="1">
        <f t="shared" si="43"/>
        <v>13666209.831908399</v>
      </c>
      <c r="C197" s="1">
        <f t="shared" si="45"/>
        <v>3738525.4270505523</v>
      </c>
      <c r="K197" s="1">
        <f t="shared" si="46"/>
        <v>1729364.5347059164</v>
      </c>
      <c r="U197" s="1">
        <f t="shared" si="47"/>
        <v>1804699.8217568083</v>
      </c>
      <c r="AH197" s="1">
        <f t="shared" si="48"/>
        <v>4090374.2709976193</v>
      </c>
      <c r="AT197" s="1">
        <f t="shared" si="49"/>
        <v>1376591.0280817093</v>
      </c>
      <c r="BC197" s="1">
        <f t="shared" si="50"/>
        <v>926654.74931579537</v>
      </c>
      <c r="BI197" s="4">
        <f t="shared" si="44"/>
        <v>9213666.6835202463</v>
      </c>
      <c r="BJ197" s="2">
        <f t="shared" si="61"/>
        <v>892729.11360290099</v>
      </c>
      <c r="BK197" s="2"/>
      <c r="BL197" s="2"/>
      <c r="BM197" s="2"/>
      <c r="BN197" s="2"/>
      <c r="BO197" s="2"/>
      <c r="BP197" s="2"/>
      <c r="BQ197" s="2">
        <f t="shared" si="42"/>
        <v>694346.32736979146</v>
      </c>
      <c r="BR197" s="2"/>
      <c r="BS197" s="2"/>
      <c r="BT197" s="2"/>
      <c r="BU197" s="2"/>
      <c r="BV197" s="2"/>
      <c r="BW197" s="2"/>
      <c r="BX197" s="2"/>
      <c r="BY197" s="2"/>
      <c r="BZ197" s="1">
        <f t="shared" si="51"/>
        <v>2006413.8349546632</v>
      </c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1">
        <f t="shared" si="52"/>
        <v>514932.14625541872</v>
      </c>
      <c r="CU197" s="2"/>
      <c r="CV197" s="2"/>
      <c r="CW197" s="2"/>
      <c r="CX197" s="1">
        <f t="shared" si="53"/>
        <v>1641172.363184571</v>
      </c>
      <c r="CY197" s="2"/>
      <c r="CZ197" s="2"/>
      <c r="DA197" s="2"/>
      <c r="DB197" s="2"/>
      <c r="DC197" s="2"/>
      <c r="DD197" s="2"/>
      <c r="DE197" s="1">
        <f t="shared" si="54"/>
        <v>918802.8137951612</v>
      </c>
      <c r="DF197" s="2"/>
      <c r="DG197" s="2"/>
      <c r="DH197" s="2"/>
      <c r="DI197" s="2"/>
      <c r="DJ197" s="2"/>
      <c r="DK197" s="2"/>
      <c r="DL197" s="1">
        <f t="shared" si="55"/>
        <v>1081673.1533825826</v>
      </c>
      <c r="DM197" s="2"/>
      <c r="DN197" s="2"/>
      <c r="DO197" s="2"/>
      <c r="DP197" s="2"/>
      <c r="DQ197" s="2"/>
      <c r="DR197" s="2"/>
      <c r="DS197" s="1">
        <f t="shared" si="56"/>
        <v>749279.613916773</v>
      </c>
      <c r="DT197" s="2"/>
      <c r="DU197" s="2"/>
      <c r="DV197" s="2"/>
      <c r="DW197" s="2"/>
      <c r="DX197" s="2"/>
      <c r="DY197" s="2"/>
      <c r="DZ197" s="2"/>
      <c r="EA197" s="2"/>
      <c r="EB197" s="1">
        <f t="shared" si="57"/>
        <v>87769.634075007256</v>
      </c>
      <c r="EC197" s="2"/>
      <c r="ED197" s="2"/>
      <c r="EE197" s="1">
        <f t="shared" si="58"/>
        <v>136651.07926244268</v>
      </c>
      <c r="EF197" s="2"/>
      <c r="EG197" s="1">
        <f t="shared" si="58"/>
        <v>489896.60372093506</v>
      </c>
      <c r="EH197" s="2"/>
      <c r="HW197" s="4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1">
        <f t="shared" si="59"/>
        <v>2983144.5262900139</v>
      </c>
      <c r="LU197" s="1">
        <f t="shared" si="60"/>
        <v>2195514.3257614118</v>
      </c>
    </row>
    <row r="198" spans="1:333">
      <c r="A198" s="1">
        <v>1561</v>
      </c>
      <c r="B198" s="1">
        <f t="shared" si="43"/>
        <v>13716562.416128999</v>
      </c>
      <c r="C198" s="1">
        <f t="shared" si="45"/>
        <v>3751236.4135025246</v>
      </c>
      <c r="K198" s="1">
        <f t="shared" si="46"/>
        <v>1737146.6751120929</v>
      </c>
      <c r="U198" s="1">
        <f t="shared" si="47"/>
        <v>1812820.9709547139</v>
      </c>
      <c r="AH198" s="1">
        <f t="shared" si="48"/>
        <v>4104281.5435190112</v>
      </c>
      <c r="AT198" s="1">
        <f t="shared" si="49"/>
        <v>1381271.4375771871</v>
      </c>
      <c r="BC198" s="1">
        <f t="shared" si="50"/>
        <v>929805.37546346919</v>
      </c>
      <c r="BI198" s="4">
        <f t="shared" si="44"/>
        <v>9255576.7891913969</v>
      </c>
      <c r="BJ198" s="2">
        <f t="shared" si="61"/>
        <v>896389.30296867283</v>
      </c>
      <c r="BK198" s="2"/>
      <c r="BL198" s="2"/>
      <c r="BM198" s="2"/>
      <c r="BN198" s="2"/>
      <c r="BO198" s="2"/>
      <c r="BP198" s="2"/>
      <c r="BQ198" s="2">
        <f t="shared" si="42"/>
        <v>696429.36635190074</v>
      </c>
      <c r="BR198" s="2"/>
      <c r="BS198" s="2"/>
      <c r="BT198" s="2"/>
      <c r="BU198" s="2"/>
      <c r="BV198" s="2"/>
      <c r="BW198" s="2"/>
      <c r="BX198" s="2"/>
      <c r="BY198" s="2"/>
      <c r="BZ198" s="1">
        <f t="shared" si="51"/>
        <v>2020458.7317993457</v>
      </c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1">
        <f t="shared" si="52"/>
        <v>516682.91555268719</v>
      </c>
      <c r="CU198" s="2"/>
      <c r="CV198" s="2"/>
      <c r="CW198" s="2"/>
      <c r="CX198" s="1">
        <f t="shared" si="53"/>
        <v>1646752.3492193986</v>
      </c>
      <c r="CY198" s="2"/>
      <c r="CZ198" s="2"/>
      <c r="DA198" s="2"/>
      <c r="DB198" s="2"/>
      <c r="DC198" s="2"/>
      <c r="DD198" s="2"/>
      <c r="DE198" s="1">
        <f t="shared" si="54"/>
        <v>921926.74336206482</v>
      </c>
      <c r="DF198" s="2"/>
      <c r="DG198" s="2"/>
      <c r="DH198" s="2"/>
      <c r="DI198" s="2"/>
      <c r="DJ198" s="2"/>
      <c r="DK198" s="2"/>
      <c r="DL198" s="1">
        <f t="shared" si="55"/>
        <v>1085350.8421040834</v>
      </c>
      <c r="DM198" s="2"/>
      <c r="DN198" s="2"/>
      <c r="DO198" s="2"/>
      <c r="DP198" s="2"/>
      <c r="DQ198" s="2"/>
      <c r="DR198" s="2"/>
      <c r="DS198" s="1">
        <f t="shared" si="56"/>
        <v>754524.57121419034</v>
      </c>
      <c r="DT198" s="2"/>
      <c r="DU198" s="2"/>
      <c r="DV198" s="2"/>
      <c r="DW198" s="2"/>
      <c r="DX198" s="2"/>
      <c r="DY198" s="2"/>
      <c r="DZ198" s="2"/>
      <c r="EA198" s="2"/>
      <c r="EB198" s="1">
        <f t="shared" si="57"/>
        <v>88384.021513532294</v>
      </c>
      <c r="EC198" s="2"/>
      <c r="ED198" s="2"/>
      <c r="EE198" s="1">
        <f t="shared" si="58"/>
        <v>137115.69293193499</v>
      </c>
      <c r="EF198" s="2"/>
      <c r="EG198" s="1">
        <f t="shared" si="58"/>
        <v>491562.25217358628</v>
      </c>
      <c r="EH198" s="2"/>
      <c r="HW198" s="4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1">
        <f t="shared" si="59"/>
        <v>2993287.2176794</v>
      </c>
      <c r="LU198" s="1">
        <f t="shared" si="60"/>
        <v>2202979.0744690006</v>
      </c>
    </row>
    <row r="199" spans="1:333">
      <c r="A199" s="1">
        <v>1562</v>
      </c>
      <c r="B199" s="1">
        <f t="shared" si="43"/>
        <v>13767103.692754511</v>
      </c>
      <c r="C199" s="1">
        <f t="shared" si="45"/>
        <v>3763990.6173084336</v>
      </c>
      <c r="K199" s="1">
        <f t="shared" si="46"/>
        <v>1744963.8351500973</v>
      </c>
      <c r="U199" s="1">
        <f t="shared" si="47"/>
        <v>1820978.66532401</v>
      </c>
      <c r="AH199" s="1">
        <f t="shared" si="48"/>
        <v>4118236.1007669764</v>
      </c>
      <c r="AT199" s="1">
        <f t="shared" si="49"/>
        <v>1385967.7604649495</v>
      </c>
      <c r="BC199" s="1">
        <f t="shared" si="50"/>
        <v>932966.71374004509</v>
      </c>
      <c r="BI199" s="4">
        <f t="shared" si="44"/>
        <v>9297702.7734084819</v>
      </c>
      <c r="BJ199" s="2">
        <f t="shared" si="61"/>
        <v>900064.49911084434</v>
      </c>
      <c r="BK199" s="2"/>
      <c r="BL199" s="2"/>
      <c r="BM199" s="2"/>
      <c r="BN199" s="2"/>
      <c r="BO199" s="2"/>
      <c r="BP199" s="2"/>
      <c r="BQ199" s="2">
        <f t="shared" si="42"/>
        <v>698518.65445095638</v>
      </c>
      <c r="BR199" s="2"/>
      <c r="BS199" s="2"/>
      <c r="BT199" s="2"/>
      <c r="BU199" s="2"/>
      <c r="BV199" s="2"/>
      <c r="BW199" s="2"/>
      <c r="BX199" s="2"/>
      <c r="BY199" s="2"/>
      <c r="BZ199" s="1">
        <f t="shared" si="51"/>
        <v>2034601.9429219409</v>
      </c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1">
        <f t="shared" si="52"/>
        <v>518439.63746556634</v>
      </c>
      <c r="CU199" s="2"/>
      <c r="CV199" s="2"/>
      <c r="CW199" s="2"/>
      <c r="CX199" s="1">
        <f t="shared" si="53"/>
        <v>1652351.3072067446</v>
      </c>
      <c r="CY199" s="2"/>
      <c r="CZ199" s="2"/>
      <c r="DA199" s="2"/>
      <c r="DB199" s="2"/>
      <c r="DC199" s="2"/>
      <c r="DD199" s="2"/>
      <c r="DE199" s="1">
        <f t="shared" si="54"/>
        <v>925061.29428949591</v>
      </c>
      <c r="DF199" s="2"/>
      <c r="DG199" s="2"/>
      <c r="DH199" s="2"/>
      <c r="DI199" s="2"/>
      <c r="DJ199" s="2"/>
      <c r="DK199" s="2"/>
      <c r="DL199" s="1">
        <f t="shared" si="55"/>
        <v>1089041.0349672374</v>
      </c>
      <c r="DM199" s="2"/>
      <c r="DN199" s="2"/>
      <c r="DO199" s="2"/>
      <c r="DP199" s="2"/>
      <c r="DQ199" s="2"/>
      <c r="DR199" s="2"/>
      <c r="DS199" s="1">
        <f t="shared" si="56"/>
        <v>759806.24321268965</v>
      </c>
      <c r="DT199" s="2"/>
      <c r="DU199" s="2"/>
      <c r="DV199" s="2"/>
      <c r="DW199" s="2"/>
      <c r="DX199" s="2"/>
      <c r="DY199" s="2"/>
      <c r="DZ199" s="2"/>
      <c r="EA199" s="2"/>
      <c r="EB199" s="1">
        <f t="shared" si="57"/>
        <v>89002.709664127018</v>
      </c>
      <c r="EC199" s="2"/>
      <c r="ED199" s="2"/>
      <c r="EE199" s="1">
        <f t="shared" si="58"/>
        <v>137581.88628790359</v>
      </c>
      <c r="EF199" s="2"/>
      <c r="EG199" s="1">
        <f t="shared" si="58"/>
        <v>493233.56383097649</v>
      </c>
      <c r="EH199" s="2"/>
      <c r="HW199" s="4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1">
        <f t="shared" si="59"/>
        <v>3003464.3942195103</v>
      </c>
      <c r="LU199" s="1">
        <f t="shared" si="60"/>
        <v>2210469.2033221954</v>
      </c>
    </row>
    <row r="200" spans="1:333">
      <c r="A200" s="1">
        <v>1563</v>
      </c>
      <c r="B200" s="1">
        <f t="shared" si="43"/>
        <v>13817834.382060399</v>
      </c>
      <c r="C200" s="1">
        <f t="shared" si="45"/>
        <v>3776788.1854072828</v>
      </c>
      <c r="K200" s="1">
        <f t="shared" si="46"/>
        <v>1752816.1724082725</v>
      </c>
      <c r="U200" s="1">
        <f t="shared" si="47"/>
        <v>1829173.0693179679</v>
      </c>
      <c r="AH200" s="1">
        <f t="shared" si="48"/>
        <v>4132238.1035095844</v>
      </c>
      <c r="AT200" s="1">
        <f t="shared" si="49"/>
        <v>1390680.0508505304</v>
      </c>
      <c r="BC200" s="1">
        <f t="shared" si="50"/>
        <v>936138.80056676129</v>
      </c>
      <c r="BI200" s="4">
        <f t="shared" si="44"/>
        <v>9340045.8797505461</v>
      </c>
      <c r="BJ200" s="2">
        <f t="shared" si="61"/>
        <v>903754.76355719881</v>
      </c>
      <c r="BK200" s="2"/>
      <c r="BL200" s="2"/>
      <c r="BM200" s="2"/>
      <c r="BN200" s="2"/>
      <c r="BO200" s="2"/>
      <c r="BP200" s="2"/>
      <c r="BQ200" s="2">
        <f t="shared" si="42"/>
        <v>700614.21041430917</v>
      </c>
      <c r="BR200" s="2"/>
      <c r="BS200" s="2"/>
      <c r="BT200" s="2"/>
      <c r="BU200" s="2"/>
      <c r="BV200" s="2"/>
      <c r="BW200" s="2"/>
      <c r="BX200" s="2"/>
      <c r="BY200" s="2"/>
      <c r="BZ200" s="1">
        <f t="shared" si="51"/>
        <v>2048844.1565223944</v>
      </c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1">
        <f t="shared" si="52"/>
        <v>520202.33223294932</v>
      </c>
      <c r="CU200" s="2"/>
      <c r="CV200" s="2"/>
      <c r="CW200" s="2"/>
      <c r="CX200" s="1">
        <f t="shared" si="53"/>
        <v>1657969.3016512475</v>
      </c>
      <c r="CY200" s="2"/>
      <c r="CZ200" s="2"/>
      <c r="DA200" s="2"/>
      <c r="DB200" s="2"/>
      <c r="DC200" s="2"/>
      <c r="DD200" s="2"/>
      <c r="DE200" s="1">
        <f t="shared" si="54"/>
        <v>928206.50269008032</v>
      </c>
      <c r="DF200" s="2"/>
      <c r="DG200" s="2"/>
      <c r="DH200" s="2"/>
      <c r="DI200" s="2"/>
      <c r="DJ200" s="2"/>
      <c r="DK200" s="2"/>
      <c r="DL200" s="1">
        <f t="shared" si="55"/>
        <v>1092743.7744861261</v>
      </c>
      <c r="DM200" s="2"/>
      <c r="DN200" s="2"/>
      <c r="DO200" s="2"/>
      <c r="DP200" s="2"/>
      <c r="DQ200" s="2"/>
      <c r="DR200" s="2"/>
      <c r="DS200" s="1">
        <f t="shared" si="56"/>
        <v>765124.88691517839</v>
      </c>
      <c r="DT200" s="2"/>
      <c r="DU200" s="2"/>
      <c r="DV200" s="2"/>
      <c r="DW200" s="2"/>
      <c r="DX200" s="2"/>
      <c r="DY200" s="2"/>
      <c r="DZ200" s="2"/>
      <c r="EA200" s="2"/>
      <c r="EB200" s="1">
        <f t="shared" si="57"/>
        <v>89625.728631775899</v>
      </c>
      <c r="EC200" s="2"/>
      <c r="ED200" s="2"/>
      <c r="EE200" s="1">
        <f t="shared" si="58"/>
        <v>138049.66470128248</v>
      </c>
      <c r="EF200" s="2"/>
      <c r="EG200" s="1">
        <f t="shared" si="58"/>
        <v>494910.55794800184</v>
      </c>
      <c r="EH200" s="2"/>
      <c r="HW200" s="4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1">
        <f t="shared" si="59"/>
        <v>3013676.1731598568</v>
      </c>
      <c r="LU200" s="1">
        <f t="shared" si="60"/>
        <v>2217984.798613491</v>
      </c>
    </row>
    <row r="201" spans="1:333">
      <c r="A201" s="1">
        <v>1564</v>
      </c>
      <c r="B201" s="1">
        <f t="shared" si="43"/>
        <v>13868755.207125302</v>
      </c>
      <c r="C201" s="1">
        <f t="shared" si="45"/>
        <v>3789629.2652376676</v>
      </c>
      <c r="K201" s="1">
        <f t="shared" si="46"/>
        <v>1760703.8451841096</v>
      </c>
      <c r="U201" s="1">
        <f t="shared" si="47"/>
        <v>1837404.3481298985</v>
      </c>
      <c r="AH201" s="1">
        <f t="shared" si="48"/>
        <v>4146287.7130615171</v>
      </c>
      <c r="AT201" s="1">
        <f t="shared" si="49"/>
        <v>1395408.3630234222</v>
      </c>
      <c r="BC201" s="1">
        <f t="shared" si="50"/>
        <v>939321.67248868837</v>
      </c>
      <c r="BI201" s="4">
        <f t="shared" si="44"/>
        <v>9382607.3595714681</v>
      </c>
      <c r="BJ201" s="2">
        <f t="shared" si="61"/>
        <v>907460.15808778326</v>
      </c>
      <c r="BK201" s="2"/>
      <c r="BL201" s="2"/>
      <c r="BM201" s="2"/>
      <c r="BN201" s="2"/>
      <c r="BO201" s="2"/>
      <c r="BP201" s="2"/>
      <c r="BQ201" s="2">
        <f t="shared" ref="BQ201:BQ215" si="62">BQ200*1.003</f>
        <v>702716.05304555199</v>
      </c>
      <c r="BR201" s="2"/>
      <c r="BS201" s="2"/>
      <c r="BT201" s="2"/>
      <c r="BU201" s="2"/>
      <c r="BV201" s="2"/>
      <c r="BW201" s="2"/>
      <c r="BX201" s="2"/>
      <c r="BY201" s="2"/>
      <c r="BZ201" s="1">
        <f t="shared" si="51"/>
        <v>2063186.065618051</v>
      </c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1">
        <f t="shared" si="52"/>
        <v>521971.02016254136</v>
      </c>
      <c r="CU201" s="2"/>
      <c r="CV201" s="2"/>
      <c r="CW201" s="2"/>
      <c r="CX201" s="1">
        <f t="shared" si="53"/>
        <v>1663606.3972768618</v>
      </c>
      <c r="CY201" s="2"/>
      <c r="CZ201" s="2"/>
      <c r="DA201" s="2"/>
      <c r="DB201" s="2"/>
      <c r="DC201" s="2"/>
      <c r="DD201" s="2"/>
      <c r="DE201" s="1">
        <f t="shared" si="54"/>
        <v>931362.40479922667</v>
      </c>
      <c r="DF201" s="2"/>
      <c r="DG201" s="2"/>
      <c r="DH201" s="2"/>
      <c r="DI201" s="2"/>
      <c r="DJ201" s="2"/>
      <c r="DK201" s="2"/>
      <c r="DL201" s="1">
        <f t="shared" si="55"/>
        <v>1096459.103319379</v>
      </c>
      <c r="DM201" s="2"/>
      <c r="DN201" s="2"/>
      <c r="DO201" s="2"/>
      <c r="DP201" s="2"/>
      <c r="DQ201" s="2"/>
      <c r="DR201" s="2"/>
      <c r="DS201" s="1">
        <f t="shared" si="56"/>
        <v>770480.76112358458</v>
      </c>
      <c r="DT201" s="2"/>
      <c r="DU201" s="2"/>
      <c r="DV201" s="2"/>
      <c r="DW201" s="2"/>
      <c r="DX201" s="2"/>
      <c r="DY201" s="2"/>
      <c r="DZ201" s="2"/>
      <c r="EA201" s="2"/>
      <c r="EB201" s="1">
        <f t="shared" si="57"/>
        <v>90253.108732198321</v>
      </c>
      <c r="EC201" s="2"/>
      <c r="ED201" s="2"/>
      <c r="EE201" s="1">
        <f t="shared" si="58"/>
        <v>138519.03356126684</v>
      </c>
      <c r="EF201" s="2"/>
      <c r="EG201" s="1">
        <f t="shared" si="58"/>
        <v>496593.25384502509</v>
      </c>
      <c r="EH201" s="2"/>
      <c r="HW201" s="4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1">
        <f t="shared" si="59"/>
        <v>3023922.6721486007</v>
      </c>
      <c r="LU201" s="1">
        <f t="shared" si="60"/>
        <v>2225525.9469287768</v>
      </c>
    </row>
    <row r="202" spans="1:333">
      <c r="A202" s="1">
        <v>1565</v>
      </c>
      <c r="B202" s="1">
        <f t="shared" si="43"/>
        <v>13919866.893842177</v>
      </c>
      <c r="C202" s="1">
        <f t="shared" si="45"/>
        <v>3802514.0047394759</v>
      </c>
      <c r="K202" s="1">
        <f t="shared" si="46"/>
        <v>1768627.012487438</v>
      </c>
      <c r="U202" s="1">
        <f t="shared" si="47"/>
        <v>1845672.667696483</v>
      </c>
      <c r="AH202" s="1">
        <f t="shared" si="48"/>
        <v>4160385.0912859268</v>
      </c>
      <c r="AT202" s="1">
        <f t="shared" si="49"/>
        <v>1400152.7514577019</v>
      </c>
      <c r="BC202" s="1">
        <f t="shared" si="50"/>
        <v>942515.36617515003</v>
      </c>
      <c r="BI202" s="4">
        <f t="shared" si="44"/>
        <v>9425388.4720511641</v>
      </c>
      <c r="BJ202" s="2">
        <f t="shared" si="61"/>
        <v>911180.74473594315</v>
      </c>
      <c r="BK202" s="2"/>
      <c r="BL202" s="2"/>
      <c r="BM202" s="2"/>
      <c r="BN202" s="2"/>
      <c r="BO202" s="2"/>
      <c r="BP202" s="2"/>
      <c r="BQ202" s="2">
        <f t="shared" si="62"/>
        <v>704824.20120468852</v>
      </c>
      <c r="BR202" s="2"/>
      <c r="BS202" s="2"/>
      <c r="BT202" s="2"/>
      <c r="BU202" s="2"/>
      <c r="BV202" s="2"/>
      <c r="BW202" s="2"/>
      <c r="BX202" s="2"/>
      <c r="BY202" s="2"/>
      <c r="BZ202" s="1">
        <f t="shared" si="51"/>
        <v>2077628.3680773771</v>
      </c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1">
        <f t="shared" si="52"/>
        <v>523745.72163109406</v>
      </c>
      <c r="CU202" s="2"/>
      <c r="CV202" s="2"/>
      <c r="CW202" s="2"/>
      <c r="CX202" s="1">
        <f t="shared" si="53"/>
        <v>1669262.6590276032</v>
      </c>
      <c r="CY202" s="2"/>
      <c r="CZ202" s="2"/>
      <c r="DA202" s="2"/>
      <c r="DB202" s="2"/>
      <c r="DC202" s="2"/>
      <c r="DD202" s="2"/>
      <c r="DE202" s="1">
        <f t="shared" si="54"/>
        <v>934529.03697554406</v>
      </c>
      <c r="DF202" s="2"/>
      <c r="DG202" s="2"/>
      <c r="DH202" s="2"/>
      <c r="DI202" s="2"/>
      <c r="DJ202" s="2"/>
      <c r="DK202" s="2"/>
      <c r="DL202" s="1">
        <f t="shared" si="55"/>
        <v>1100187.0642706649</v>
      </c>
      <c r="DM202" s="2"/>
      <c r="DN202" s="2"/>
      <c r="DO202" s="2"/>
      <c r="DP202" s="2"/>
      <c r="DQ202" s="2"/>
      <c r="DR202" s="2"/>
      <c r="DS202" s="1">
        <f t="shared" si="56"/>
        <v>775874.12645144959</v>
      </c>
      <c r="DT202" s="2"/>
      <c r="DU202" s="2"/>
      <c r="DV202" s="2"/>
      <c r="DW202" s="2"/>
      <c r="DX202" s="2"/>
      <c r="DY202" s="2"/>
      <c r="DZ202" s="2"/>
      <c r="EA202" s="2"/>
      <c r="EB202" s="1">
        <f t="shared" si="57"/>
        <v>90884.880493323697</v>
      </c>
      <c r="EC202" s="2"/>
      <c r="ED202" s="2"/>
      <c r="EE202" s="1">
        <f t="shared" si="58"/>
        <v>138989.99827537517</v>
      </c>
      <c r="EF202" s="2"/>
      <c r="EG202" s="1">
        <f t="shared" si="58"/>
        <v>498281.67090809823</v>
      </c>
      <c r="EH202" s="2"/>
      <c r="HW202" s="4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1">
        <f t="shared" si="59"/>
        <v>3034204.0092339059</v>
      </c>
      <c r="LU202" s="1">
        <f t="shared" si="60"/>
        <v>2233092.7351483349</v>
      </c>
    </row>
    <row r="203" spans="1:333">
      <c r="A203" s="1">
        <v>1566</v>
      </c>
      <c r="B203" s="1">
        <f t="shared" si="43"/>
        <v>13971170.170929443</v>
      </c>
      <c r="C203" s="1">
        <f t="shared" si="45"/>
        <v>3815442.5523555903</v>
      </c>
      <c r="K203" s="1">
        <f t="shared" si="46"/>
        <v>1776585.8340436313</v>
      </c>
      <c r="U203" s="1">
        <f t="shared" si="47"/>
        <v>1853978.194701117</v>
      </c>
      <c r="AH203" s="1">
        <f t="shared" si="48"/>
        <v>4174530.4005962992</v>
      </c>
      <c r="AT203" s="1">
        <f t="shared" si="49"/>
        <v>1404913.2708126581</v>
      </c>
      <c r="BC203" s="1">
        <f t="shared" si="50"/>
        <v>945719.91842014564</v>
      </c>
      <c r="BI203" s="4">
        <f t="shared" si="44"/>
        <v>9468390.4842470493</v>
      </c>
      <c r="BJ203" s="2">
        <f t="shared" si="61"/>
        <v>914916.58578936057</v>
      </c>
      <c r="BK203" s="2"/>
      <c r="BL203" s="2"/>
      <c r="BM203" s="2"/>
      <c r="BN203" s="2"/>
      <c r="BO203" s="2"/>
      <c r="BP203" s="2"/>
      <c r="BQ203" s="2">
        <f t="shared" si="62"/>
        <v>706938.6738083025</v>
      </c>
      <c r="BR203" s="2"/>
      <c r="BS203" s="2"/>
      <c r="BT203" s="2"/>
      <c r="BU203" s="2"/>
      <c r="BV203" s="2"/>
      <c r="BW203" s="2"/>
      <c r="BX203" s="2"/>
      <c r="BY203" s="2"/>
      <c r="BZ203" s="1">
        <f t="shared" si="51"/>
        <v>2092171.7666539184</v>
      </c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1">
        <f t="shared" si="52"/>
        <v>525526.45708463981</v>
      </c>
      <c r="CU203" s="2"/>
      <c r="CV203" s="2"/>
      <c r="CW203" s="2"/>
      <c r="CX203" s="1">
        <f t="shared" si="53"/>
        <v>1674938.1520682971</v>
      </c>
      <c r="CY203" s="2"/>
      <c r="CZ203" s="2"/>
      <c r="DA203" s="2"/>
      <c r="DB203" s="2"/>
      <c r="DC203" s="2"/>
      <c r="DD203" s="2"/>
      <c r="DE203" s="1">
        <f t="shared" si="54"/>
        <v>937706.43570126093</v>
      </c>
      <c r="DF203" s="2"/>
      <c r="DG203" s="2"/>
      <c r="DH203" s="2"/>
      <c r="DI203" s="2"/>
      <c r="DJ203" s="2"/>
      <c r="DK203" s="2"/>
      <c r="DL203" s="1">
        <f t="shared" si="55"/>
        <v>1103927.7002891852</v>
      </c>
      <c r="DM203" s="2"/>
      <c r="DN203" s="2"/>
      <c r="DO203" s="2"/>
      <c r="DP203" s="2"/>
      <c r="DQ203" s="2"/>
      <c r="DR203" s="2"/>
      <c r="DS203" s="1">
        <f t="shared" si="56"/>
        <v>781305.24533660966</v>
      </c>
      <c r="DT203" s="2"/>
      <c r="DU203" s="2"/>
      <c r="DV203" s="2"/>
      <c r="DW203" s="2"/>
      <c r="DX203" s="2"/>
      <c r="DY203" s="2"/>
      <c r="DZ203" s="2"/>
      <c r="EA203" s="2"/>
      <c r="EB203" s="1">
        <f t="shared" si="57"/>
        <v>91521.074656776953</v>
      </c>
      <c r="EC203" s="2"/>
      <c r="ED203" s="2"/>
      <c r="EE203" s="1">
        <f t="shared" si="58"/>
        <v>139462.56426951147</v>
      </c>
      <c r="EF203" s="2"/>
      <c r="EG203" s="1">
        <f t="shared" si="58"/>
        <v>499975.82858918578</v>
      </c>
      <c r="EH203" s="2"/>
      <c r="HW203" s="4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1">
        <f t="shared" si="59"/>
        <v>3044520.3028653013</v>
      </c>
      <c r="LU203" s="1">
        <f t="shared" si="60"/>
        <v>2240685.2504478395</v>
      </c>
    </row>
    <row r="204" spans="1:333">
      <c r="A204" s="1">
        <v>1567</v>
      </c>
      <c r="B204" s="1">
        <f t="shared" si="43"/>
        <v>14022665.76994222</v>
      </c>
      <c r="C204" s="1">
        <f t="shared" si="45"/>
        <v>3828415.0570335994</v>
      </c>
      <c r="K204" s="1">
        <f t="shared" si="46"/>
        <v>1784580.4702968276</v>
      </c>
      <c r="U204" s="1">
        <f t="shared" si="47"/>
        <v>1862321.0965772718</v>
      </c>
      <c r="AH204" s="1">
        <f t="shared" si="48"/>
        <v>4188723.803958327</v>
      </c>
      <c r="AT204" s="1">
        <f t="shared" si="49"/>
        <v>1409689.9759334212</v>
      </c>
      <c r="BC204" s="1">
        <f t="shared" si="50"/>
        <v>948935.36614277423</v>
      </c>
      <c r="BI204" s="4">
        <f t="shared" si="44"/>
        <v>9511614.6711459477</v>
      </c>
      <c r="BJ204" s="2">
        <f t="shared" si="61"/>
        <v>918667.74379109696</v>
      </c>
      <c r="BK204" s="2"/>
      <c r="BL204" s="2"/>
      <c r="BM204" s="2"/>
      <c r="BN204" s="2"/>
      <c r="BO204" s="2"/>
      <c r="BP204" s="2"/>
      <c r="BQ204" s="2">
        <f t="shared" si="62"/>
        <v>709059.48982972733</v>
      </c>
      <c r="BR204" s="2"/>
      <c r="BS204" s="2"/>
      <c r="BT204" s="2"/>
      <c r="BU204" s="2"/>
      <c r="BV204" s="2"/>
      <c r="BW204" s="2"/>
      <c r="BX204" s="2"/>
      <c r="BY204" s="2"/>
      <c r="BZ204" s="1">
        <f t="shared" si="51"/>
        <v>2106816.9690204957</v>
      </c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1">
        <f t="shared" si="52"/>
        <v>527313.24703872763</v>
      </c>
      <c r="CU204" s="2"/>
      <c r="CV204" s="2"/>
      <c r="CW204" s="2"/>
      <c r="CX204" s="1">
        <f t="shared" si="53"/>
        <v>1680632.9417853295</v>
      </c>
      <c r="CY204" s="2"/>
      <c r="CZ204" s="2"/>
      <c r="DA204" s="2"/>
      <c r="DB204" s="2"/>
      <c r="DC204" s="2"/>
      <c r="DD204" s="2"/>
      <c r="DE204" s="1">
        <f t="shared" si="54"/>
        <v>940894.63758264529</v>
      </c>
      <c r="DF204" s="2"/>
      <c r="DG204" s="2"/>
      <c r="DH204" s="2"/>
      <c r="DI204" s="2"/>
      <c r="DJ204" s="2"/>
      <c r="DK204" s="2"/>
      <c r="DL204" s="1">
        <f t="shared" si="55"/>
        <v>1107681.0544701684</v>
      </c>
      <c r="DM204" s="2"/>
      <c r="DN204" s="2"/>
      <c r="DO204" s="2"/>
      <c r="DP204" s="2"/>
      <c r="DQ204" s="2"/>
      <c r="DR204" s="2"/>
      <c r="DS204" s="1">
        <f t="shared" si="56"/>
        <v>786774.38205396582</v>
      </c>
      <c r="DT204" s="2"/>
      <c r="DU204" s="2"/>
      <c r="DV204" s="2"/>
      <c r="DW204" s="2"/>
      <c r="DX204" s="2"/>
      <c r="DY204" s="2"/>
      <c r="DZ204" s="2"/>
      <c r="EA204" s="2"/>
      <c r="EB204" s="1">
        <f t="shared" si="57"/>
        <v>92161.722179374381</v>
      </c>
      <c r="EC204" s="2"/>
      <c r="ED204" s="2"/>
      <c r="EE204" s="1">
        <f t="shared" si="58"/>
        <v>139936.73698802781</v>
      </c>
      <c r="EF204" s="2"/>
      <c r="EG204" s="1">
        <f t="shared" si="58"/>
        <v>501675.74640638905</v>
      </c>
      <c r="EH204" s="2"/>
      <c r="HW204" s="4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1">
        <f t="shared" si="59"/>
        <v>3054871.6718950435</v>
      </c>
      <c r="LU204" s="1">
        <f t="shared" si="60"/>
        <v>2248303.5802993625</v>
      </c>
    </row>
    <row r="205" spans="1:333">
      <c r="A205" s="1">
        <v>1568</v>
      </c>
      <c r="B205" s="1">
        <f t="shared" si="43"/>
        <v>14074354.425283588</v>
      </c>
      <c r="C205" s="1">
        <f t="shared" si="45"/>
        <v>3841431.6682275138</v>
      </c>
      <c r="K205" s="1">
        <f t="shared" si="46"/>
        <v>1792611.0824131633</v>
      </c>
      <c r="U205" s="1">
        <f t="shared" si="47"/>
        <v>1870701.5415118695</v>
      </c>
      <c r="AH205" s="1">
        <f t="shared" si="48"/>
        <v>4202965.4648917858</v>
      </c>
      <c r="AT205" s="1">
        <f t="shared" si="49"/>
        <v>1414482.9218515949</v>
      </c>
      <c r="BC205" s="1">
        <f t="shared" si="50"/>
        <v>952161.74638765969</v>
      </c>
      <c r="BI205" s="4">
        <f t="shared" si="44"/>
        <v>9555062.3157162797</v>
      </c>
      <c r="BJ205" s="2">
        <f t="shared" si="61"/>
        <v>922434.2815406404</v>
      </c>
      <c r="BK205" s="2"/>
      <c r="BL205" s="2"/>
      <c r="BM205" s="2"/>
      <c r="BN205" s="2"/>
      <c r="BO205" s="2"/>
      <c r="BP205" s="2"/>
      <c r="BQ205" s="2">
        <f t="shared" si="62"/>
        <v>711186.66829921643</v>
      </c>
      <c r="BR205" s="2"/>
      <c r="BS205" s="2"/>
      <c r="BT205" s="2"/>
      <c r="BU205" s="2"/>
      <c r="BV205" s="2"/>
      <c r="BW205" s="2"/>
      <c r="BX205" s="2"/>
      <c r="BY205" s="2"/>
      <c r="BZ205" s="1">
        <f t="shared" si="51"/>
        <v>2121564.6878036391</v>
      </c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1">
        <f t="shared" si="52"/>
        <v>529106.11207865935</v>
      </c>
      <c r="CU205" s="2"/>
      <c r="CV205" s="2"/>
      <c r="CW205" s="2"/>
      <c r="CX205" s="1">
        <f t="shared" si="53"/>
        <v>1686347.0937873998</v>
      </c>
      <c r="CY205" s="2"/>
      <c r="CZ205" s="2"/>
      <c r="DA205" s="2"/>
      <c r="DB205" s="2"/>
      <c r="DC205" s="2"/>
      <c r="DD205" s="2"/>
      <c r="DE205" s="1">
        <f t="shared" si="54"/>
        <v>944093.6793504263</v>
      </c>
      <c r="DF205" s="2"/>
      <c r="DG205" s="2"/>
      <c r="DH205" s="2"/>
      <c r="DI205" s="2"/>
      <c r="DJ205" s="2"/>
      <c r="DK205" s="2"/>
      <c r="DL205" s="1">
        <f t="shared" si="55"/>
        <v>1111447.1700553671</v>
      </c>
      <c r="DM205" s="2"/>
      <c r="DN205" s="2"/>
      <c r="DO205" s="2"/>
      <c r="DP205" s="2"/>
      <c r="DQ205" s="2"/>
      <c r="DR205" s="2"/>
      <c r="DS205" s="1">
        <f t="shared" si="56"/>
        <v>792281.80272834352</v>
      </c>
      <c r="DT205" s="2"/>
      <c r="DU205" s="2"/>
      <c r="DV205" s="2"/>
      <c r="DW205" s="2"/>
      <c r="DX205" s="2"/>
      <c r="DY205" s="2"/>
      <c r="DZ205" s="2"/>
      <c r="EA205" s="2"/>
      <c r="EB205" s="1">
        <f t="shared" si="57"/>
        <v>92806.854234629995</v>
      </c>
      <c r="EC205" s="2"/>
      <c r="ED205" s="2"/>
      <c r="EE205" s="1">
        <f t="shared" si="58"/>
        <v>140412.52189378711</v>
      </c>
      <c r="EF205" s="2"/>
      <c r="EG205" s="1">
        <f t="shared" si="58"/>
        <v>503381.44394417078</v>
      </c>
      <c r="EH205" s="2"/>
      <c r="HW205" s="4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1">
        <f t="shared" si="59"/>
        <v>3065258.2355794869</v>
      </c>
      <c r="LU205" s="1">
        <f t="shared" si="60"/>
        <v>2255947.8124723807</v>
      </c>
    </row>
    <row r="206" spans="1:333">
      <c r="A206" s="1">
        <v>1569</v>
      </c>
      <c r="B206" s="1">
        <f t="shared" si="43"/>
        <v>14126236.874215869</v>
      </c>
      <c r="C206" s="1">
        <f t="shared" si="45"/>
        <v>3854492.5358994878</v>
      </c>
      <c r="K206" s="1">
        <f t="shared" si="46"/>
        <v>1800677.8322840224</v>
      </c>
      <c r="U206" s="1">
        <f t="shared" si="47"/>
        <v>1879119.6984486729</v>
      </c>
      <c r="AH206" s="1">
        <f t="shared" si="48"/>
        <v>4217255.5474724183</v>
      </c>
      <c r="AT206" s="1">
        <f t="shared" si="49"/>
        <v>1419292.1637858904</v>
      </c>
      <c r="BC206" s="1">
        <f t="shared" si="50"/>
        <v>955399.09632537782</v>
      </c>
      <c r="BI206" s="4">
        <f t="shared" si="44"/>
        <v>9598734.7089606337</v>
      </c>
      <c r="BJ206" s="2">
        <f t="shared" si="61"/>
        <v>926216.26209495706</v>
      </c>
      <c r="BK206" s="2"/>
      <c r="BL206" s="2"/>
      <c r="BM206" s="2"/>
      <c r="BN206" s="2"/>
      <c r="BO206" s="2"/>
      <c r="BP206" s="2"/>
      <c r="BQ206" s="2">
        <f t="shared" si="62"/>
        <v>713320.22830411396</v>
      </c>
      <c r="BR206" s="2"/>
      <c r="BS206" s="2"/>
      <c r="BT206" s="2"/>
      <c r="BU206" s="2"/>
      <c r="BV206" s="2"/>
      <c r="BW206" s="2"/>
      <c r="BX206" s="2"/>
      <c r="BY206" s="2"/>
      <c r="BZ206" s="1">
        <f t="shared" si="51"/>
        <v>2136415.6406182642</v>
      </c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1">
        <f t="shared" si="52"/>
        <v>530905.07285972685</v>
      </c>
      <c r="CU206" s="2"/>
      <c r="CV206" s="2"/>
      <c r="CW206" s="2"/>
      <c r="CX206" s="1">
        <f t="shared" si="53"/>
        <v>1692080.6739062772</v>
      </c>
      <c r="CY206" s="2"/>
      <c r="CZ206" s="2"/>
      <c r="DA206" s="2"/>
      <c r="DB206" s="2"/>
      <c r="DC206" s="2"/>
      <c r="DD206" s="2"/>
      <c r="DE206" s="1">
        <f t="shared" si="54"/>
        <v>947303.59786021779</v>
      </c>
      <c r="DF206" s="2"/>
      <c r="DG206" s="2"/>
      <c r="DH206" s="2"/>
      <c r="DI206" s="2"/>
      <c r="DJ206" s="2"/>
      <c r="DK206" s="2"/>
      <c r="DL206" s="1">
        <f t="shared" si="55"/>
        <v>1115226.0904335554</v>
      </c>
      <c r="DM206" s="2"/>
      <c r="DN206" s="2"/>
      <c r="DO206" s="2"/>
      <c r="DP206" s="2"/>
      <c r="DQ206" s="2"/>
      <c r="DR206" s="2"/>
      <c r="DS206" s="1">
        <f t="shared" si="56"/>
        <v>797827.7753474419</v>
      </c>
      <c r="DT206" s="2"/>
      <c r="DU206" s="2"/>
      <c r="DV206" s="2"/>
      <c r="DW206" s="2"/>
      <c r="DX206" s="2"/>
      <c r="DY206" s="2"/>
      <c r="DZ206" s="2"/>
      <c r="EA206" s="2"/>
      <c r="EB206" s="1">
        <f t="shared" si="57"/>
        <v>93456.50221427239</v>
      </c>
      <c r="EC206" s="2"/>
      <c r="ED206" s="2"/>
      <c r="EE206" s="1">
        <f t="shared" si="58"/>
        <v>140889.924468226</v>
      </c>
      <c r="EF206" s="2"/>
      <c r="EG206" s="1">
        <f t="shared" si="58"/>
        <v>505092.94085358101</v>
      </c>
      <c r="EH206" s="2"/>
      <c r="HW206" s="4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1">
        <f t="shared" si="59"/>
        <v>3075680.1135804574</v>
      </c>
      <c r="LU206" s="1">
        <f t="shared" si="60"/>
        <v>2263618.0350347869</v>
      </c>
    </row>
    <row r="207" spans="1:333">
      <c r="A207" s="1">
        <v>1570</v>
      </c>
      <c r="B207" s="1">
        <f t="shared" si="43"/>
        <v>14178313.856872009</v>
      </c>
      <c r="C207" s="1">
        <f t="shared" si="45"/>
        <v>3867597.8105215463</v>
      </c>
      <c r="K207" s="1">
        <f t="shared" si="46"/>
        <v>1808780.8825293004</v>
      </c>
      <c r="U207" s="1">
        <f t="shared" si="47"/>
        <v>1887575.7370916919</v>
      </c>
      <c r="AH207" s="1">
        <f t="shared" si="48"/>
        <v>4231594.2163338251</v>
      </c>
      <c r="AT207" s="1">
        <f t="shared" si="49"/>
        <v>1424117.7571427627</v>
      </c>
      <c r="BC207" s="1">
        <f t="shared" si="50"/>
        <v>958647.45325288421</v>
      </c>
      <c r="BI207" s="4">
        <f t="shared" si="44"/>
        <v>9642633.149968693</v>
      </c>
      <c r="BJ207" s="2">
        <f t="shared" si="61"/>
        <v>930013.74876954639</v>
      </c>
      <c r="BK207" s="2"/>
      <c r="BL207" s="2"/>
      <c r="BM207" s="2"/>
      <c r="BN207" s="2"/>
      <c r="BO207" s="2"/>
      <c r="BP207" s="2"/>
      <c r="BQ207" s="2">
        <f t="shared" si="62"/>
        <v>715460.18898902624</v>
      </c>
      <c r="BR207" s="2"/>
      <c r="BS207" s="2"/>
      <c r="BT207" s="2"/>
      <c r="BU207" s="2"/>
      <c r="BV207" s="2"/>
      <c r="BW207" s="2"/>
      <c r="BX207" s="2"/>
      <c r="BY207" s="2"/>
      <c r="BZ207" s="1">
        <f t="shared" si="51"/>
        <v>2151370.550102592</v>
      </c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1">
        <f t="shared" si="52"/>
        <v>532710.15010744997</v>
      </c>
      <c r="CU207" s="2"/>
      <c r="CV207" s="2"/>
      <c r="CW207" s="2"/>
      <c r="CX207" s="1">
        <f t="shared" si="53"/>
        <v>1697833.7481975586</v>
      </c>
      <c r="CY207" s="2"/>
      <c r="CZ207" s="2"/>
      <c r="DA207" s="2"/>
      <c r="DB207" s="2"/>
      <c r="DC207" s="2"/>
      <c r="DD207" s="2"/>
      <c r="DE207" s="1">
        <f t="shared" si="54"/>
        <v>950524.43009294255</v>
      </c>
      <c r="DF207" s="2"/>
      <c r="DG207" s="2"/>
      <c r="DH207" s="2"/>
      <c r="DI207" s="2"/>
      <c r="DJ207" s="2"/>
      <c r="DK207" s="2"/>
      <c r="DL207" s="1">
        <f t="shared" si="55"/>
        <v>1119017.8591410297</v>
      </c>
      <c r="DM207" s="2"/>
      <c r="DN207" s="2"/>
      <c r="DO207" s="2"/>
      <c r="DP207" s="2"/>
      <c r="DQ207" s="2"/>
      <c r="DR207" s="2"/>
      <c r="DS207" s="1">
        <f t="shared" si="56"/>
        <v>803412.5697748739</v>
      </c>
      <c r="DT207" s="2"/>
      <c r="DU207" s="2"/>
      <c r="DV207" s="2"/>
      <c r="DW207" s="2"/>
      <c r="DX207" s="2"/>
      <c r="DY207" s="2"/>
      <c r="DZ207" s="2"/>
      <c r="EA207" s="2"/>
      <c r="EB207" s="1">
        <f t="shared" si="57"/>
        <v>94110.697729772291</v>
      </c>
      <c r="EC207" s="2"/>
      <c r="ED207" s="2"/>
      <c r="EE207" s="1">
        <f t="shared" si="58"/>
        <v>141368.95021141798</v>
      </c>
      <c r="EF207" s="2"/>
      <c r="EG207" s="1">
        <f t="shared" si="58"/>
        <v>506810.2568524832</v>
      </c>
      <c r="EH207" s="2"/>
      <c r="HW207" s="4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1">
        <f t="shared" si="59"/>
        <v>3086137.4259666312</v>
      </c>
      <c r="LU207" s="1">
        <f t="shared" si="60"/>
        <v>2271314.3363539055</v>
      </c>
    </row>
    <row r="208" spans="1:333">
      <c r="A208" s="1">
        <v>1571</v>
      </c>
      <c r="B208" s="1">
        <f t="shared" si="43"/>
        <v>14230586.116266958</v>
      </c>
      <c r="C208" s="1">
        <f t="shared" si="45"/>
        <v>3880747.64307732</v>
      </c>
      <c r="K208" s="1">
        <f t="shared" si="46"/>
        <v>1816920.3965006822</v>
      </c>
      <c r="U208" s="1">
        <f t="shared" si="47"/>
        <v>1896069.8279086044</v>
      </c>
      <c r="AH208" s="1">
        <f t="shared" si="48"/>
        <v>4245981.6366693601</v>
      </c>
      <c r="AT208" s="1">
        <f t="shared" si="49"/>
        <v>1428959.7575170482</v>
      </c>
      <c r="BC208" s="1">
        <f t="shared" si="50"/>
        <v>961906.85459394404</v>
      </c>
      <c r="BI208" s="4">
        <f t="shared" si="44"/>
        <v>9686758.9459705148</v>
      </c>
      <c r="BJ208" s="2">
        <f t="shared" si="61"/>
        <v>933826.80513950158</v>
      </c>
      <c r="BK208" s="2"/>
      <c r="BL208" s="2"/>
      <c r="BM208" s="2"/>
      <c r="BN208" s="2"/>
      <c r="BO208" s="2"/>
      <c r="BP208" s="2"/>
      <c r="BQ208" s="2">
        <f t="shared" si="62"/>
        <v>717606.56955599319</v>
      </c>
      <c r="BR208" s="2"/>
      <c r="BS208" s="2"/>
      <c r="BT208" s="2"/>
      <c r="BU208" s="2"/>
      <c r="BV208" s="2"/>
      <c r="BW208" s="2"/>
      <c r="BX208" s="2"/>
      <c r="BY208" s="2"/>
      <c r="BZ208" s="1">
        <f t="shared" si="51"/>
        <v>2166430.1439533099</v>
      </c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1">
        <f t="shared" si="52"/>
        <v>534521.36461781536</v>
      </c>
      <c r="CU208" s="2"/>
      <c r="CV208" s="2"/>
      <c r="CW208" s="2"/>
      <c r="CX208" s="1">
        <f t="shared" si="53"/>
        <v>1703606.3829414304</v>
      </c>
      <c r="CY208" s="2"/>
      <c r="CZ208" s="2"/>
      <c r="DA208" s="2"/>
      <c r="DB208" s="2"/>
      <c r="DC208" s="2"/>
      <c r="DD208" s="2"/>
      <c r="DE208" s="1">
        <f t="shared" si="54"/>
        <v>953756.21315525868</v>
      </c>
      <c r="DF208" s="2"/>
      <c r="DG208" s="2"/>
      <c r="DH208" s="2"/>
      <c r="DI208" s="2"/>
      <c r="DJ208" s="2"/>
      <c r="DK208" s="2"/>
      <c r="DL208" s="1">
        <f t="shared" si="55"/>
        <v>1122822.5198621093</v>
      </c>
      <c r="DM208" s="2"/>
      <c r="DN208" s="2"/>
      <c r="DO208" s="2"/>
      <c r="DP208" s="2"/>
      <c r="DQ208" s="2"/>
      <c r="DR208" s="2"/>
      <c r="DS208" s="1">
        <f t="shared" si="56"/>
        <v>809036.45776329795</v>
      </c>
      <c r="DT208" s="2"/>
      <c r="DU208" s="2"/>
      <c r="DV208" s="2"/>
      <c r="DW208" s="2"/>
      <c r="DX208" s="2"/>
      <c r="DY208" s="2"/>
      <c r="DZ208" s="2"/>
      <c r="EA208" s="2"/>
      <c r="EB208" s="1">
        <f t="shared" si="57"/>
        <v>94769.472613880687</v>
      </c>
      <c r="EC208" s="2"/>
      <c r="ED208" s="2"/>
      <c r="EE208" s="1">
        <f t="shared" si="58"/>
        <v>141849.60464213681</v>
      </c>
      <c r="EF208" s="2"/>
      <c r="EG208" s="1">
        <f t="shared" si="58"/>
        <v>508533.41172578168</v>
      </c>
      <c r="EH208" s="2"/>
      <c r="HW208" s="4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1">
        <f t="shared" si="59"/>
        <v>3096630.2932149181</v>
      </c>
      <c r="LU208" s="1">
        <f t="shared" si="60"/>
        <v>2279036.8050975087</v>
      </c>
    </row>
    <row r="209" spans="1:333">
      <c r="A209" s="1">
        <v>1572</v>
      </c>
      <c r="B209" s="1">
        <f t="shared" si="43"/>
        <v>14283054.398309119</v>
      </c>
      <c r="C209" s="1">
        <f t="shared" si="45"/>
        <v>3893942.1850637831</v>
      </c>
      <c r="K209" s="1">
        <f t="shared" si="46"/>
        <v>1825096.5382849353</v>
      </c>
      <c r="U209" s="1">
        <f t="shared" si="47"/>
        <v>1904602.1421341931</v>
      </c>
      <c r="AH209" s="1">
        <f t="shared" si="48"/>
        <v>4260417.9742340362</v>
      </c>
      <c r="AT209" s="1">
        <f t="shared" si="49"/>
        <v>1433818.2206926062</v>
      </c>
      <c r="BC209" s="1">
        <f t="shared" si="50"/>
        <v>965177.33789956348</v>
      </c>
      <c r="BI209" s="4">
        <f t="shared" si="44"/>
        <v>9731113.4123901799</v>
      </c>
      <c r="BJ209" s="2">
        <f t="shared" si="61"/>
        <v>937655.49504057353</v>
      </c>
      <c r="BK209" s="2"/>
      <c r="BL209" s="2"/>
      <c r="BM209" s="2"/>
      <c r="BN209" s="2"/>
      <c r="BO209" s="2"/>
      <c r="BP209" s="2"/>
      <c r="BQ209" s="2">
        <f t="shared" si="62"/>
        <v>719759.38926466112</v>
      </c>
      <c r="BR209" s="2"/>
      <c r="BS209" s="2"/>
      <c r="BT209" s="2"/>
      <c r="BU209" s="2"/>
      <c r="BV209" s="2"/>
      <c r="BW209" s="2"/>
      <c r="BX209" s="2"/>
      <c r="BY209" s="2"/>
      <c r="BZ209" s="1">
        <f t="shared" si="51"/>
        <v>2181595.154960983</v>
      </c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1">
        <f t="shared" si="52"/>
        <v>536338.73725751601</v>
      </c>
      <c r="CU209" s="2"/>
      <c r="CV209" s="2"/>
      <c r="CW209" s="2"/>
      <c r="CX209" s="1">
        <f t="shared" si="53"/>
        <v>1709398.6446434315</v>
      </c>
      <c r="CY209" s="2"/>
      <c r="CZ209" s="2"/>
      <c r="DA209" s="2"/>
      <c r="DB209" s="2"/>
      <c r="DC209" s="2"/>
      <c r="DD209" s="2"/>
      <c r="DE209" s="1">
        <f t="shared" si="54"/>
        <v>956998.98427998659</v>
      </c>
      <c r="DF209" s="2"/>
      <c r="DG209" s="2"/>
      <c r="DH209" s="2"/>
      <c r="DI209" s="2"/>
      <c r="DJ209" s="2"/>
      <c r="DK209" s="2"/>
      <c r="DL209" s="1">
        <f t="shared" si="55"/>
        <v>1126640.1164296407</v>
      </c>
      <c r="DM209" s="2"/>
      <c r="DN209" s="2"/>
      <c r="DO209" s="2"/>
      <c r="DP209" s="2"/>
      <c r="DQ209" s="2"/>
      <c r="DR209" s="2"/>
      <c r="DS209" s="1">
        <f t="shared" si="56"/>
        <v>814699.71296764095</v>
      </c>
      <c r="DT209" s="2"/>
      <c r="DU209" s="2"/>
      <c r="DV209" s="2"/>
      <c r="DW209" s="2"/>
      <c r="DX209" s="2"/>
      <c r="DY209" s="2"/>
      <c r="DZ209" s="2"/>
      <c r="EA209" s="2"/>
      <c r="EB209" s="1">
        <f t="shared" si="57"/>
        <v>95432.858922177838</v>
      </c>
      <c r="EC209" s="2"/>
      <c r="ED209" s="2"/>
      <c r="EE209" s="1">
        <f t="shared" si="58"/>
        <v>142331.89329792009</v>
      </c>
      <c r="EF209" s="2"/>
      <c r="EG209" s="1">
        <f t="shared" si="58"/>
        <v>510262.42532564938</v>
      </c>
      <c r="EH209" s="2"/>
      <c r="HW209" s="4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1">
        <f t="shared" si="59"/>
        <v>3107158.836211849</v>
      </c>
      <c r="LU209" s="1">
        <f t="shared" si="60"/>
        <v>2286785.5302348402</v>
      </c>
    </row>
    <row r="210" spans="1:333">
      <c r="A210" s="1">
        <v>1573</v>
      </c>
      <c r="B210" s="1">
        <f t="shared" si="43"/>
        <v>14335719.451811828</v>
      </c>
      <c r="C210" s="1">
        <f t="shared" si="45"/>
        <v>3907181.5884930003</v>
      </c>
      <c r="K210" s="1">
        <f t="shared" si="46"/>
        <v>1833309.4727072173</v>
      </c>
      <c r="U210" s="1">
        <f t="shared" si="47"/>
        <v>1913172.8517737968</v>
      </c>
      <c r="AH210" s="1">
        <f t="shared" si="48"/>
        <v>4274903.395346432</v>
      </c>
      <c r="AT210" s="1">
        <f t="shared" si="49"/>
        <v>1438693.2026429612</v>
      </c>
      <c r="BC210" s="1">
        <f t="shared" si="50"/>
        <v>968458.94084842212</v>
      </c>
      <c r="BI210" s="4">
        <f t="shared" si="44"/>
        <v>9775697.8728997931</v>
      </c>
      <c r="BJ210" s="2">
        <f t="shared" si="61"/>
        <v>941499.88257023983</v>
      </c>
      <c r="BK210" s="2"/>
      <c r="BL210" s="2"/>
      <c r="BM210" s="2"/>
      <c r="BN210" s="2"/>
      <c r="BO210" s="2"/>
      <c r="BP210" s="2"/>
      <c r="BQ210" s="2">
        <f t="shared" si="62"/>
        <v>721918.667432455</v>
      </c>
      <c r="BR210" s="2"/>
      <c r="BS210" s="2"/>
      <c r="BT210" s="2"/>
      <c r="BU210" s="2"/>
      <c r="BV210" s="2"/>
      <c r="BW210" s="2"/>
      <c r="BX210" s="2"/>
      <c r="BY210" s="2"/>
      <c r="BZ210" s="1">
        <f t="shared" si="51"/>
        <v>2196866.3210457098</v>
      </c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1">
        <f t="shared" si="52"/>
        <v>538162.28896419157</v>
      </c>
      <c r="CU210" s="2"/>
      <c r="CV210" s="2"/>
      <c r="CW210" s="2"/>
      <c r="CX210" s="1">
        <f t="shared" si="53"/>
        <v>1715210.6000352192</v>
      </c>
      <c r="CY210" s="2"/>
      <c r="CZ210" s="2"/>
      <c r="DA210" s="2"/>
      <c r="DB210" s="2"/>
      <c r="DC210" s="2"/>
      <c r="DD210" s="2"/>
      <c r="DE210" s="1">
        <f t="shared" si="54"/>
        <v>960252.78082653857</v>
      </c>
      <c r="DF210" s="2"/>
      <c r="DG210" s="2"/>
      <c r="DH210" s="2"/>
      <c r="DI210" s="2"/>
      <c r="DJ210" s="2"/>
      <c r="DK210" s="2"/>
      <c r="DL210" s="1">
        <f t="shared" si="55"/>
        <v>1130470.6928255016</v>
      </c>
      <c r="DM210" s="2"/>
      <c r="DN210" s="2"/>
      <c r="DO210" s="2"/>
      <c r="DP210" s="2"/>
      <c r="DQ210" s="2"/>
      <c r="DR210" s="2"/>
      <c r="DS210" s="1">
        <f t="shared" si="56"/>
        <v>820402.61095841439</v>
      </c>
      <c r="DT210" s="2"/>
      <c r="DU210" s="2"/>
      <c r="DV210" s="2"/>
      <c r="DW210" s="2"/>
      <c r="DX210" s="2"/>
      <c r="DY210" s="2"/>
      <c r="DZ210" s="2"/>
      <c r="EA210" s="2"/>
      <c r="EB210" s="1">
        <f t="shared" si="57"/>
        <v>96100.888934633069</v>
      </c>
      <c r="EC210" s="2"/>
      <c r="ED210" s="2"/>
      <c r="EE210" s="1">
        <f t="shared" si="58"/>
        <v>142815.82173513304</v>
      </c>
      <c r="EF210" s="2"/>
      <c r="EG210" s="1">
        <f t="shared" si="58"/>
        <v>511997.3175717566</v>
      </c>
      <c r="EH210" s="2"/>
      <c r="HW210" s="4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1">
        <f t="shared" si="59"/>
        <v>3117723.1762549696</v>
      </c>
      <c r="LU210" s="1">
        <f t="shared" si="60"/>
        <v>2294560.6010376387</v>
      </c>
    </row>
    <row r="211" spans="1:333">
      <c r="A211" s="1">
        <v>1574</v>
      </c>
      <c r="B211" s="1">
        <f t="shared" si="43"/>
        <v>14388582.028504919</v>
      </c>
      <c r="C211" s="1">
        <f t="shared" si="45"/>
        <v>3920466.0058938768</v>
      </c>
      <c r="K211" s="1">
        <f t="shared" si="46"/>
        <v>1841559.3653343997</v>
      </c>
      <c r="U211" s="1">
        <f t="shared" si="47"/>
        <v>1921782.1296067787</v>
      </c>
      <c r="AH211" s="1">
        <f t="shared" si="48"/>
        <v>4289438.0668906104</v>
      </c>
      <c r="AT211" s="1">
        <f t="shared" si="49"/>
        <v>1443584.7595319473</v>
      </c>
      <c r="BC211" s="1">
        <f t="shared" si="50"/>
        <v>971751.70124730677</v>
      </c>
      <c r="BI211" s="4">
        <f t="shared" si="44"/>
        <v>9820513.6594738569</v>
      </c>
      <c r="BJ211" s="2">
        <f t="shared" si="61"/>
        <v>945360.03208877787</v>
      </c>
      <c r="BK211" s="2"/>
      <c r="BL211" s="2"/>
      <c r="BM211" s="2"/>
      <c r="BN211" s="2"/>
      <c r="BO211" s="2"/>
      <c r="BP211" s="2"/>
      <c r="BQ211" s="2">
        <f t="shared" si="62"/>
        <v>724084.42343475227</v>
      </c>
      <c r="BR211" s="2"/>
      <c r="BS211" s="2"/>
      <c r="BT211" s="2"/>
      <c r="BU211" s="2"/>
      <c r="BV211" s="2"/>
      <c r="BW211" s="2"/>
      <c r="BX211" s="2"/>
      <c r="BY211" s="2"/>
      <c r="BZ211" s="1">
        <f t="shared" si="51"/>
        <v>2212244.3852930297</v>
      </c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1">
        <f t="shared" si="52"/>
        <v>539992.04074666987</v>
      </c>
      <c r="CU211" s="2"/>
      <c r="CV211" s="2"/>
      <c r="CW211" s="2"/>
      <c r="CX211" s="1">
        <f t="shared" si="53"/>
        <v>1721042.316075339</v>
      </c>
      <c r="CY211" s="2"/>
      <c r="CZ211" s="2"/>
      <c r="DA211" s="2"/>
      <c r="DB211" s="2"/>
      <c r="DC211" s="2"/>
      <c r="DD211" s="2"/>
      <c r="DE211" s="1">
        <f t="shared" si="54"/>
        <v>963517.64028134884</v>
      </c>
      <c r="DF211" s="2"/>
      <c r="DG211" s="2"/>
      <c r="DH211" s="2"/>
      <c r="DI211" s="2"/>
      <c r="DJ211" s="2"/>
      <c r="DK211" s="2"/>
      <c r="DL211" s="1">
        <f t="shared" si="55"/>
        <v>1134314.2931811083</v>
      </c>
      <c r="DM211" s="2"/>
      <c r="DN211" s="2"/>
      <c r="DO211" s="2"/>
      <c r="DP211" s="2"/>
      <c r="DQ211" s="2"/>
      <c r="DR211" s="2"/>
      <c r="DS211" s="1">
        <f t="shared" si="56"/>
        <v>826145.42923512321</v>
      </c>
      <c r="DT211" s="2"/>
      <c r="DU211" s="2"/>
      <c r="DV211" s="2"/>
      <c r="DW211" s="2"/>
      <c r="DX211" s="2"/>
      <c r="DY211" s="2"/>
      <c r="DZ211" s="2"/>
      <c r="EA211" s="2"/>
      <c r="EB211" s="1">
        <f t="shared" si="57"/>
        <v>96773.595157175485</v>
      </c>
      <c r="EC211" s="2"/>
      <c r="ED211" s="2"/>
      <c r="EE211" s="1">
        <f t="shared" si="58"/>
        <v>143301.39552903251</v>
      </c>
      <c r="EF211" s="2"/>
      <c r="EG211" s="1">
        <f t="shared" si="58"/>
        <v>513738.10845150059</v>
      </c>
      <c r="EH211" s="2"/>
      <c r="HW211" s="4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1">
        <f t="shared" si="59"/>
        <v>3128323.4350542366</v>
      </c>
      <c r="LU211" s="1">
        <f t="shared" si="60"/>
        <v>2302362.1070811669</v>
      </c>
    </row>
    <row r="212" spans="1:333">
      <c r="A212" s="1">
        <v>1575</v>
      </c>
      <c r="B212" s="1">
        <f t="shared" si="43"/>
        <v>14441642.883046273</v>
      </c>
      <c r="C212" s="1">
        <f t="shared" si="45"/>
        <v>3933795.5903139161</v>
      </c>
      <c r="K212" s="1">
        <f t="shared" si="46"/>
        <v>1849846.3824784046</v>
      </c>
      <c r="U212" s="1">
        <f t="shared" si="47"/>
        <v>1930430.1491900091</v>
      </c>
      <c r="AH212" s="1">
        <f t="shared" si="48"/>
        <v>4304022.1563180387</v>
      </c>
      <c r="AT212" s="1">
        <f t="shared" si="49"/>
        <v>1448492.947714356</v>
      </c>
      <c r="BC212" s="1">
        <f t="shared" si="50"/>
        <v>975055.65703154763</v>
      </c>
      <c r="BI212" s="4">
        <f t="shared" si="44"/>
        <v>9865562.1124440227</v>
      </c>
      <c r="BJ212" s="2">
        <f t="shared" si="61"/>
        <v>949236.00822034187</v>
      </c>
      <c r="BK212" s="2"/>
      <c r="BL212" s="2"/>
      <c r="BM212" s="2"/>
      <c r="BN212" s="2"/>
      <c r="BO212" s="2"/>
      <c r="BP212" s="2"/>
      <c r="BQ212" s="2">
        <f t="shared" si="62"/>
        <v>726256.67670505645</v>
      </c>
      <c r="BR212" s="2"/>
      <c r="BS212" s="2"/>
      <c r="BT212" s="2"/>
      <c r="BU212" s="2"/>
      <c r="BV212" s="2"/>
      <c r="BW212" s="2"/>
      <c r="BX212" s="2"/>
      <c r="BY212" s="2"/>
      <c r="BZ212" s="1">
        <f t="shared" si="51"/>
        <v>2227730.0959900809</v>
      </c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1">
        <f t="shared" si="52"/>
        <v>541828.01368520863</v>
      </c>
      <c r="CU212" s="2"/>
      <c r="CV212" s="2"/>
      <c r="CW212" s="2"/>
      <c r="CX212" s="1">
        <f t="shared" si="53"/>
        <v>1726893.8599499953</v>
      </c>
      <c r="CY212" s="2"/>
      <c r="CZ212" s="2"/>
      <c r="DA212" s="2"/>
      <c r="DB212" s="2"/>
      <c r="DC212" s="2"/>
      <c r="DD212" s="2"/>
      <c r="DE212" s="1">
        <f t="shared" si="54"/>
        <v>966793.60025830544</v>
      </c>
      <c r="DF212" s="2"/>
      <c r="DG212" s="2"/>
      <c r="DH212" s="2"/>
      <c r="DI212" s="2"/>
      <c r="DJ212" s="2"/>
      <c r="DK212" s="2"/>
      <c r="DL212" s="1">
        <f t="shared" si="55"/>
        <v>1138170.9617779241</v>
      </c>
      <c r="DM212" s="2"/>
      <c r="DN212" s="2"/>
      <c r="DO212" s="2"/>
      <c r="DP212" s="2"/>
      <c r="DQ212" s="2"/>
      <c r="DR212" s="2"/>
      <c r="DS212" s="1">
        <f t="shared" si="56"/>
        <v>831928.44723976904</v>
      </c>
      <c r="DT212" s="2"/>
      <c r="DU212" s="2"/>
      <c r="DV212" s="2"/>
      <c r="DW212" s="2"/>
      <c r="DX212" s="2"/>
      <c r="DY212" s="2"/>
      <c r="DZ212" s="2"/>
      <c r="EA212" s="2"/>
      <c r="EB212" s="1">
        <f t="shared" si="57"/>
        <v>97451.01032327571</v>
      </c>
      <c r="EC212" s="2"/>
      <c r="ED212" s="2"/>
      <c r="EE212" s="1">
        <f t="shared" si="58"/>
        <v>143788.62027383124</v>
      </c>
      <c r="EF212" s="2"/>
      <c r="EG212" s="1">
        <f t="shared" si="58"/>
        <v>515484.81802023575</v>
      </c>
      <c r="EH212" s="2"/>
      <c r="HW212" s="4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1">
        <f t="shared" si="59"/>
        <v>3138959.7347334214</v>
      </c>
      <c r="LU212" s="1">
        <f t="shared" si="60"/>
        <v>2310190.1382452431</v>
      </c>
    </row>
    <row r="213" spans="1:333">
      <c r="A213" s="1">
        <v>1576</v>
      </c>
      <c r="B213" s="1">
        <f t="shared" si="43"/>
        <v>14494902.773033468</v>
      </c>
      <c r="C213" s="1">
        <f t="shared" si="45"/>
        <v>3947170.4953209837</v>
      </c>
      <c r="K213" s="1">
        <f t="shared" si="46"/>
        <v>1858170.6911995574</v>
      </c>
      <c r="U213" s="1">
        <f t="shared" si="47"/>
        <v>1939117.084861364</v>
      </c>
      <c r="AH213" s="1">
        <f t="shared" si="48"/>
        <v>4318655.8316495204</v>
      </c>
      <c r="AT213" s="1">
        <f t="shared" si="49"/>
        <v>1453417.823736585</v>
      </c>
      <c r="BC213" s="1">
        <f t="shared" si="50"/>
        <v>978370.84626545501</v>
      </c>
      <c r="BI213" s="4">
        <f t="shared" si="44"/>
        <v>9910844.5805541966</v>
      </c>
      <c r="BJ213" s="2">
        <f t="shared" si="61"/>
        <v>953127.87585404527</v>
      </c>
      <c r="BK213" s="2"/>
      <c r="BL213" s="2"/>
      <c r="BM213" s="2"/>
      <c r="BN213" s="2"/>
      <c r="BO213" s="2"/>
      <c r="BP213" s="2"/>
      <c r="BQ213" s="2">
        <f t="shared" si="62"/>
        <v>728435.44673517148</v>
      </c>
      <c r="BR213" s="2"/>
      <c r="BS213" s="2"/>
      <c r="BT213" s="2"/>
      <c r="BU213" s="2"/>
      <c r="BV213" s="2"/>
      <c r="BW213" s="2"/>
      <c r="BX213" s="2"/>
      <c r="BY213" s="2"/>
      <c r="BZ213" s="1">
        <f t="shared" si="51"/>
        <v>2243324.2066620113</v>
      </c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1">
        <f t="shared" si="52"/>
        <v>543670.22893173841</v>
      </c>
      <c r="CU213" s="2"/>
      <c r="CV213" s="2"/>
      <c r="CW213" s="2"/>
      <c r="CX213" s="1">
        <f t="shared" si="53"/>
        <v>1732765.2990738254</v>
      </c>
      <c r="CY213" s="2"/>
      <c r="CZ213" s="2"/>
      <c r="DA213" s="2"/>
      <c r="DB213" s="2"/>
      <c r="DC213" s="2"/>
      <c r="DD213" s="2"/>
      <c r="DE213" s="1">
        <f t="shared" si="54"/>
        <v>970080.69849918375</v>
      </c>
      <c r="DF213" s="2"/>
      <c r="DG213" s="2"/>
      <c r="DH213" s="2"/>
      <c r="DI213" s="2"/>
      <c r="DJ213" s="2"/>
      <c r="DK213" s="2"/>
      <c r="DL213" s="1">
        <f t="shared" si="55"/>
        <v>1142040.7430479692</v>
      </c>
      <c r="DM213" s="2"/>
      <c r="DN213" s="2"/>
      <c r="DO213" s="2"/>
      <c r="DP213" s="2"/>
      <c r="DQ213" s="2"/>
      <c r="DR213" s="2"/>
      <c r="DS213" s="1">
        <f t="shared" si="56"/>
        <v>837751.94637044729</v>
      </c>
      <c r="DT213" s="2"/>
      <c r="DU213" s="2"/>
      <c r="DV213" s="2"/>
      <c r="DW213" s="2"/>
      <c r="DX213" s="2"/>
      <c r="DY213" s="2"/>
      <c r="DZ213" s="2"/>
      <c r="EA213" s="2"/>
      <c r="EB213" s="1">
        <f t="shared" si="57"/>
        <v>98133.167395538636</v>
      </c>
      <c r="EC213" s="2"/>
      <c r="ED213" s="2"/>
      <c r="EE213" s="1">
        <f t="shared" si="58"/>
        <v>144277.50158276228</v>
      </c>
      <c r="EF213" s="2"/>
      <c r="EG213" s="1">
        <f t="shared" si="58"/>
        <v>517237.46640150459</v>
      </c>
      <c r="EH213" s="2"/>
      <c r="HW213" s="4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1">
        <f t="shared" si="59"/>
        <v>3149632.1978315152</v>
      </c>
      <c r="LU213" s="1">
        <f t="shared" si="60"/>
        <v>2318044.7847152771</v>
      </c>
    </row>
    <row r="214" spans="1:333">
      <c r="A214" s="1">
        <v>1577</v>
      </c>
      <c r="B214" s="1">
        <f t="shared" si="43"/>
        <v>14548362.459015448</v>
      </c>
      <c r="C214" s="1">
        <f t="shared" si="45"/>
        <v>3960590.8750050752</v>
      </c>
      <c r="K214" s="1">
        <f t="shared" si="46"/>
        <v>1866532.4593099554</v>
      </c>
      <c r="U214" s="1">
        <f t="shared" si="47"/>
        <v>1947843.1117432399</v>
      </c>
      <c r="AH214" s="1">
        <f t="shared" si="48"/>
        <v>4333339.2614771295</v>
      </c>
      <c r="AT214" s="1">
        <f t="shared" si="49"/>
        <v>1458359.4443372895</v>
      </c>
      <c r="BC214" s="1">
        <f t="shared" si="50"/>
        <v>981697.30714275758</v>
      </c>
      <c r="BI214" s="4">
        <f t="shared" si="44"/>
        <v>9956362.4210160263</v>
      </c>
      <c r="BJ214" s="2">
        <f t="shared" si="61"/>
        <v>957035.70014504681</v>
      </c>
      <c r="BK214" s="2"/>
      <c r="BL214" s="2"/>
      <c r="BM214" s="2"/>
      <c r="BN214" s="2"/>
      <c r="BO214" s="2"/>
      <c r="BP214" s="2"/>
      <c r="BQ214" s="2">
        <f t="shared" si="62"/>
        <v>730620.75307537697</v>
      </c>
      <c r="BR214" s="2"/>
      <c r="BS214" s="2"/>
      <c r="BT214" s="2"/>
      <c r="BU214" s="2"/>
      <c r="BV214" s="2"/>
      <c r="BW214" s="2"/>
      <c r="BX214" s="2"/>
      <c r="BY214" s="2"/>
      <c r="BZ214" s="1">
        <f t="shared" si="51"/>
        <v>2259027.4761086451</v>
      </c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1">
        <f t="shared" si="52"/>
        <v>545518.70771010639</v>
      </c>
      <c r="CU214" s="2"/>
      <c r="CV214" s="2"/>
      <c r="CW214" s="2"/>
      <c r="CX214" s="1">
        <f t="shared" si="53"/>
        <v>1738656.7010906765</v>
      </c>
      <c r="CY214" s="2"/>
      <c r="CZ214" s="2"/>
      <c r="DA214" s="2"/>
      <c r="DB214" s="2"/>
      <c r="DC214" s="2"/>
      <c r="DD214" s="2"/>
      <c r="DE214" s="1">
        <f t="shared" si="54"/>
        <v>973378.972874081</v>
      </c>
      <c r="DF214" s="2"/>
      <c r="DG214" s="2"/>
      <c r="DH214" s="2"/>
      <c r="DI214" s="2"/>
      <c r="DJ214" s="2"/>
      <c r="DK214" s="2"/>
      <c r="DL214" s="1">
        <f t="shared" si="55"/>
        <v>1145923.6815743323</v>
      </c>
      <c r="DM214" s="2"/>
      <c r="DN214" s="2"/>
      <c r="DO214" s="2"/>
      <c r="DP214" s="2"/>
      <c r="DQ214" s="2"/>
      <c r="DR214" s="2"/>
      <c r="DS214" s="1">
        <f t="shared" si="56"/>
        <v>843616.20999504032</v>
      </c>
      <c r="DT214" s="2"/>
      <c r="DU214" s="2"/>
      <c r="DV214" s="2"/>
      <c r="DW214" s="2"/>
      <c r="DX214" s="2"/>
      <c r="DY214" s="2"/>
      <c r="DZ214" s="2"/>
      <c r="EA214" s="2"/>
      <c r="EB214" s="1">
        <f t="shared" si="57"/>
        <v>98820.099567307392</v>
      </c>
      <c r="EC214" s="2"/>
      <c r="ED214" s="2"/>
      <c r="EE214" s="1">
        <f t="shared" si="58"/>
        <v>144768.0450881437</v>
      </c>
      <c r="EF214" s="2"/>
      <c r="EG214" s="1">
        <f t="shared" si="58"/>
        <v>518996.07378726976</v>
      </c>
      <c r="EH214" s="2"/>
      <c r="HW214" s="4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1">
        <f t="shared" si="59"/>
        <v>3160340.9473041426</v>
      </c>
      <c r="LU214" s="1">
        <f t="shared" si="60"/>
        <v>2325926.1369833094</v>
      </c>
    </row>
    <row r="215" spans="1:333">
      <c r="A215" s="1">
        <v>1578</v>
      </c>
      <c r="B215" s="1">
        <f t="shared" si="43"/>
        <v>14602022.704504261</v>
      </c>
      <c r="C215" s="1">
        <f t="shared" si="45"/>
        <v>3974056.8839800926</v>
      </c>
      <c r="K215" s="1">
        <f t="shared" si="46"/>
        <v>1874931.8553768501</v>
      </c>
      <c r="U215" s="1">
        <f t="shared" si="47"/>
        <v>1956608.4057460844</v>
      </c>
      <c r="AH215" s="1">
        <f t="shared" si="48"/>
        <v>4348072.6149661522</v>
      </c>
      <c r="AT215" s="1">
        <f t="shared" si="49"/>
        <v>1463317.8664480364</v>
      </c>
      <c r="BC215" s="1">
        <f t="shared" si="50"/>
        <v>985035.07798704307</v>
      </c>
      <c r="BI215" s="4">
        <f t="shared" si="44"/>
        <v>10002116.999564769</v>
      </c>
      <c r="BJ215" s="2">
        <f t="shared" si="61"/>
        <v>960959.5465156415</v>
      </c>
      <c r="BK215" s="2"/>
      <c r="BL215" s="2"/>
      <c r="BM215" s="2"/>
      <c r="BN215" s="2"/>
      <c r="BO215" s="2"/>
      <c r="BP215" s="2"/>
      <c r="BQ215" s="2">
        <f t="shared" si="62"/>
        <v>732812.615334603</v>
      </c>
      <c r="BR215" s="2"/>
      <c r="BS215" s="2"/>
      <c r="BT215" s="2"/>
      <c r="BU215" s="2"/>
      <c r="BV215" s="2"/>
      <c r="BW215" s="2"/>
      <c r="BX215" s="2"/>
      <c r="BY215" s="2"/>
      <c r="BZ215" s="1">
        <f t="shared" si="51"/>
        <v>2274840.6684414055</v>
      </c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1">
        <f t="shared" si="52"/>
        <v>547373.47131632082</v>
      </c>
      <c r="CU215" s="2"/>
      <c r="CV215" s="2"/>
      <c r="CW215" s="2"/>
      <c r="CX215" s="1">
        <f t="shared" si="53"/>
        <v>1744568.1338743849</v>
      </c>
      <c r="CY215" s="2"/>
      <c r="CZ215" s="2"/>
      <c r="DA215" s="2"/>
      <c r="DB215" s="2"/>
      <c r="DC215" s="2"/>
      <c r="DD215" s="2"/>
      <c r="DE215" s="1">
        <f t="shared" si="54"/>
        <v>976688.46138185298</v>
      </c>
      <c r="DF215" s="2"/>
      <c r="DG215" s="2"/>
      <c r="DH215" s="2"/>
      <c r="DI215" s="2"/>
      <c r="DJ215" s="2"/>
      <c r="DK215" s="2"/>
      <c r="DL215" s="1">
        <f t="shared" si="55"/>
        <v>1149819.8220916851</v>
      </c>
      <c r="DM215" s="2"/>
      <c r="DN215" s="2"/>
      <c r="DO215" s="2"/>
      <c r="DP215" s="2"/>
      <c r="DQ215" s="2"/>
      <c r="DR215" s="2"/>
      <c r="DS215" s="1">
        <f t="shared" si="56"/>
        <v>849521.52346500556</v>
      </c>
      <c r="DT215" s="2"/>
      <c r="DU215" s="2"/>
      <c r="DV215" s="2"/>
      <c r="DW215" s="2"/>
      <c r="DX215" s="2"/>
      <c r="DY215" s="2"/>
      <c r="DZ215" s="2"/>
      <c r="EA215" s="2"/>
      <c r="EB215" s="1">
        <f t="shared" si="57"/>
        <v>99511.840264278537</v>
      </c>
      <c r="EC215" s="2"/>
      <c r="ED215" s="2"/>
      <c r="EE215" s="1">
        <f t="shared" si="58"/>
        <v>145260.2564414434</v>
      </c>
      <c r="EF215" s="2"/>
      <c r="EG215" s="1">
        <f t="shared" si="58"/>
        <v>520760.6604381465</v>
      </c>
      <c r="EH215" s="2"/>
      <c r="HW215" s="4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1">
        <f t="shared" si="59"/>
        <v>3171086.1065249769</v>
      </c>
      <c r="LU215" s="1">
        <f t="shared" si="60"/>
        <v>2333834.2858490529</v>
      </c>
    </row>
    <row r="216" spans="1:333">
      <c r="A216" s="1">
        <v>1579</v>
      </c>
      <c r="B216" s="1">
        <f t="shared" si="43"/>
        <v>14655884.275986809</v>
      </c>
      <c r="C216" s="1">
        <f t="shared" si="45"/>
        <v>3987568.677385625</v>
      </c>
      <c r="K216" s="1">
        <f t="shared" si="46"/>
        <v>1883369.0487260458</v>
      </c>
      <c r="U216" s="1">
        <f t="shared" si="47"/>
        <v>1965413.1435719416</v>
      </c>
      <c r="AH216" s="1">
        <f t="shared" si="48"/>
        <v>4362856.0618570372</v>
      </c>
      <c r="AT216" s="1">
        <f t="shared" si="49"/>
        <v>1468293.1471939599</v>
      </c>
      <c r="BC216" s="1">
        <f t="shared" si="50"/>
        <v>988384.19725219905</v>
      </c>
      <c r="BI216" s="4">
        <f t="shared" si="44"/>
        <v>10049575.315746201</v>
      </c>
      <c r="BJ216" s="2">
        <f t="shared" si="61"/>
        <v>964899.48065635562</v>
      </c>
      <c r="BK216" s="2"/>
      <c r="BL216" s="2"/>
      <c r="BM216" s="2"/>
      <c r="BN216" s="2"/>
      <c r="BO216" s="2"/>
      <c r="BP216" s="2"/>
      <c r="BQ216" s="2">
        <f>BQ215*1.005</f>
        <v>736476.67841127596</v>
      </c>
      <c r="BR216" s="2"/>
      <c r="BS216" s="2"/>
      <c r="BT216" s="2"/>
      <c r="BU216" s="2"/>
      <c r="BV216" s="2"/>
      <c r="BW216" s="2"/>
      <c r="BX216" s="2"/>
      <c r="BY216" s="2"/>
      <c r="BZ216" s="1">
        <f t="shared" si="51"/>
        <v>2290764.5531204953</v>
      </c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1">
        <f t="shared" si="52"/>
        <v>549234.54111879633</v>
      </c>
      <c r="CU216" s="2"/>
      <c r="CV216" s="2"/>
      <c r="CW216" s="2"/>
      <c r="CX216" s="1">
        <f t="shared" si="53"/>
        <v>1750499.665529558</v>
      </c>
      <c r="CY216" s="2"/>
      <c r="CZ216" s="2"/>
      <c r="DA216" s="2"/>
      <c r="DB216" s="2"/>
      <c r="DC216" s="2"/>
      <c r="DD216" s="2"/>
      <c r="DE216" s="1">
        <f t="shared" si="54"/>
        <v>980009.20215055137</v>
      </c>
      <c r="DF216" s="2"/>
      <c r="DG216" s="2"/>
      <c r="DH216" s="2"/>
      <c r="DI216" s="2"/>
      <c r="DJ216" s="2"/>
      <c r="DK216" s="2"/>
      <c r="DL216" s="1">
        <f t="shared" si="55"/>
        <v>1153729.209486797</v>
      </c>
      <c r="DM216" s="2"/>
      <c r="DN216" s="2"/>
      <c r="DO216" s="2"/>
      <c r="DP216" s="2"/>
      <c r="DQ216" s="2"/>
      <c r="DR216" s="2"/>
      <c r="DS216" s="1">
        <f t="shared" si="56"/>
        <v>855468.17412926047</v>
      </c>
      <c r="DT216" s="2"/>
      <c r="DU216" s="2"/>
      <c r="DV216" s="2"/>
      <c r="DW216" s="2"/>
      <c r="DX216" s="2"/>
      <c r="DY216" s="2"/>
      <c r="DZ216" s="2"/>
      <c r="EA216" s="2"/>
      <c r="EB216" s="1">
        <f t="shared" si="57"/>
        <v>100208.42314612848</v>
      </c>
      <c r="EC216" s="2"/>
      <c r="ED216" s="2"/>
      <c r="EE216" s="1">
        <f t="shared" si="58"/>
        <v>145754.14131334433</v>
      </c>
      <c r="EF216" s="2"/>
      <c r="EG216" s="1">
        <f t="shared" si="58"/>
        <v>522531.24668363621</v>
      </c>
      <c r="EH216" s="2"/>
      <c r="HW216" s="4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1">
        <f t="shared" si="59"/>
        <v>3181867.7992871623</v>
      </c>
      <c r="LU216" s="1">
        <f t="shared" si="60"/>
        <v>2341769.3224209398</v>
      </c>
    </row>
    <row r="217" spans="1:333">
      <c r="A217" s="1">
        <v>1580</v>
      </c>
      <c r="B217" s="1">
        <f t="shared" si="43"/>
        <v>14709947.942936694</v>
      </c>
      <c r="C217" s="1">
        <f t="shared" si="45"/>
        <v>4001126.4108887361</v>
      </c>
      <c r="K217" s="1">
        <f t="shared" si="46"/>
        <v>1891844.2094453129</v>
      </c>
      <c r="U217" s="1">
        <f t="shared" si="47"/>
        <v>1974257.5027180153</v>
      </c>
      <c r="AH217" s="1">
        <f t="shared" si="48"/>
        <v>4377689.7724673515</v>
      </c>
      <c r="AT217" s="1">
        <f t="shared" si="49"/>
        <v>1473285.3438944195</v>
      </c>
      <c r="BC217" s="1">
        <f t="shared" si="50"/>
        <v>991744.70352285658</v>
      </c>
      <c r="BI217" s="4">
        <f t="shared" si="44"/>
        <v>10097284.852283081</v>
      </c>
      <c r="BJ217" s="2">
        <f t="shared" si="61"/>
        <v>968855.56852704671</v>
      </c>
      <c r="BK217" s="2"/>
      <c r="BL217" s="2"/>
      <c r="BM217" s="2"/>
      <c r="BN217" s="2"/>
      <c r="BO217" s="2"/>
      <c r="BP217" s="2"/>
      <c r="BQ217" s="2">
        <f t="shared" ref="BQ217:BQ267" si="63">BQ216*1.005</f>
        <v>740159.0618033323</v>
      </c>
      <c r="BR217" s="2"/>
      <c r="BS217" s="2"/>
      <c r="BT217" s="2"/>
      <c r="BU217" s="2"/>
      <c r="BV217" s="2"/>
      <c r="BW217" s="2"/>
      <c r="BX217" s="2"/>
      <c r="BY217" s="2"/>
      <c r="BZ217" s="1">
        <f t="shared" si="51"/>
        <v>2306799.9049923387</v>
      </c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1">
        <f t="shared" si="52"/>
        <v>551101.93855860026</v>
      </c>
      <c r="CU217" s="2"/>
      <c r="CV217" s="2"/>
      <c r="CW217" s="2"/>
      <c r="CX217" s="1">
        <f t="shared" si="53"/>
        <v>1756451.3643923586</v>
      </c>
      <c r="CY217" s="2"/>
      <c r="CZ217" s="2"/>
      <c r="DA217" s="2"/>
      <c r="DB217" s="2"/>
      <c r="DC217" s="2"/>
      <c r="DD217" s="2"/>
      <c r="DE217" s="1">
        <f t="shared" si="54"/>
        <v>983341.23343786329</v>
      </c>
      <c r="DF217" s="2"/>
      <c r="DG217" s="2"/>
      <c r="DH217" s="2"/>
      <c r="DI217" s="2"/>
      <c r="DJ217" s="2"/>
      <c r="DK217" s="2"/>
      <c r="DL217" s="1">
        <f t="shared" si="55"/>
        <v>1157651.8887990522</v>
      </c>
      <c r="DM217" s="2"/>
      <c r="DN217" s="2"/>
      <c r="DO217" s="2"/>
      <c r="DP217" s="2"/>
      <c r="DQ217" s="2"/>
      <c r="DR217" s="2"/>
      <c r="DS217" s="1">
        <f t="shared" si="56"/>
        <v>861456.45134816517</v>
      </c>
      <c r="DT217" s="2"/>
      <c r="DU217" s="2"/>
      <c r="DV217" s="2"/>
      <c r="DW217" s="2"/>
      <c r="DX217" s="2"/>
      <c r="DY217" s="2"/>
      <c r="DZ217" s="2"/>
      <c r="EA217" s="2"/>
      <c r="EB217" s="1">
        <f t="shared" si="57"/>
        <v>100909.88210815137</v>
      </c>
      <c r="EC217" s="2"/>
      <c r="ED217" s="2"/>
      <c r="EE217" s="1">
        <f t="shared" si="58"/>
        <v>146249.70539380971</v>
      </c>
      <c r="EF217" s="2"/>
      <c r="EG217" s="1">
        <f t="shared" si="58"/>
        <v>524307.85292236065</v>
      </c>
      <c r="EH217" s="2"/>
      <c r="HW217" s="4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1">
        <f t="shared" si="59"/>
        <v>3192686.1498047388</v>
      </c>
      <c r="LU217" s="1">
        <f t="shared" si="60"/>
        <v>2349731.3381171711</v>
      </c>
    </row>
    <row r="218" spans="1:333">
      <c r="A218" s="1">
        <v>1581</v>
      </c>
      <c r="B218" s="1">
        <f t="shared" si="43"/>
        <v>14764214.477826057</v>
      </c>
      <c r="C218" s="1">
        <f t="shared" si="45"/>
        <v>4014730.2406857582</v>
      </c>
      <c r="K218" s="1">
        <f t="shared" si="46"/>
        <v>1900357.5083878166</v>
      </c>
      <c r="U218" s="1">
        <f t="shared" si="47"/>
        <v>1983141.6614802463</v>
      </c>
      <c r="AH218" s="1">
        <f t="shared" si="48"/>
        <v>4392573.9176937407</v>
      </c>
      <c r="AT218" s="1">
        <f t="shared" si="49"/>
        <v>1478294.5140636605</v>
      </c>
      <c r="BC218" s="1">
        <f t="shared" si="50"/>
        <v>995116.63551483431</v>
      </c>
      <c r="BI218" s="4">
        <f t="shared" si="44"/>
        <v>10145247.072636109</v>
      </c>
      <c r="BJ218" s="2">
        <f t="shared" si="61"/>
        <v>972827.87635800755</v>
      </c>
      <c r="BK218" s="2"/>
      <c r="BL218" s="2"/>
      <c r="BM218" s="2"/>
      <c r="BN218" s="2"/>
      <c r="BO218" s="2"/>
      <c r="BP218" s="2"/>
      <c r="BQ218" s="2">
        <f t="shared" si="63"/>
        <v>743859.85711234889</v>
      </c>
      <c r="BR218" s="2"/>
      <c r="BS218" s="2"/>
      <c r="BT218" s="2"/>
      <c r="BU218" s="2"/>
      <c r="BV218" s="2"/>
      <c r="BW218" s="2"/>
      <c r="BX218" s="2"/>
      <c r="BY218" s="2"/>
      <c r="BZ218" s="1">
        <f t="shared" si="51"/>
        <v>2322947.5043272846</v>
      </c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1">
        <f t="shared" si="52"/>
        <v>552975.68514969957</v>
      </c>
      <c r="CU218" s="2"/>
      <c r="CV218" s="2"/>
      <c r="CW218" s="2"/>
      <c r="CX218" s="1">
        <f t="shared" si="53"/>
        <v>1762423.2990312928</v>
      </c>
      <c r="CY218" s="2"/>
      <c r="CZ218" s="2"/>
      <c r="DA218" s="2"/>
      <c r="DB218" s="2"/>
      <c r="DC218" s="2"/>
      <c r="DD218" s="2"/>
      <c r="DE218" s="1">
        <f t="shared" si="54"/>
        <v>986684.59363155207</v>
      </c>
      <c r="DF218" s="2"/>
      <c r="DG218" s="2"/>
      <c r="DH218" s="2"/>
      <c r="DI218" s="2"/>
      <c r="DJ218" s="2"/>
      <c r="DK218" s="2"/>
      <c r="DL218" s="1">
        <f t="shared" si="55"/>
        <v>1161587.9052209691</v>
      </c>
      <c r="DM218" s="2"/>
      <c r="DN218" s="2"/>
      <c r="DO218" s="2"/>
      <c r="DP218" s="2"/>
      <c r="DQ218" s="2"/>
      <c r="DR218" s="2"/>
      <c r="DS218" s="1">
        <f t="shared" si="56"/>
        <v>867486.64650760219</v>
      </c>
      <c r="DT218" s="2"/>
      <c r="DU218" s="2"/>
      <c r="DV218" s="2"/>
      <c r="DW218" s="2"/>
      <c r="DX218" s="2"/>
      <c r="DY218" s="2"/>
      <c r="DZ218" s="2"/>
      <c r="EA218" s="2"/>
      <c r="EB218" s="1">
        <f t="shared" si="57"/>
        <v>101616.25128290843</v>
      </c>
      <c r="EC218" s="2"/>
      <c r="ED218" s="2"/>
      <c r="EE218" s="1">
        <f t="shared" si="58"/>
        <v>146746.95439214868</v>
      </c>
      <c r="EF218" s="2"/>
      <c r="EG218" s="1">
        <f t="shared" si="58"/>
        <v>526090.49962229666</v>
      </c>
      <c r="EH218" s="2"/>
      <c r="HW218" s="4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1">
        <f t="shared" si="59"/>
        <v>3203541.2827140749</v>
      </c>
      <c r="LU218" s="1">
        <f t="shared" si="60"/>
        <v>2357720.4246667698</v>
      </c>
    </row>
    <row r="219" spans="1:333">
      <c r="A219" s="1">
        <v>1582</v>
      </c>
      <c r="B219" s="1">
        <f t="shared" si="43"/>
        <v>14818684.656137519</v>
      </c>
      <c r="C219" s="1">
        <f t="shared" si="45"/>
        <v>4028380.3235040898</v>
      </c>
      <c r="K219" s="1">
        <f t="shared" si="46"/>
        <v>1908909.1171755616</v>
      </c>
      <c r="U219" s="1">
        <f t="shared" si="47"/>
        <v>1992065.7989569074</v>
      </c>
      <c r="AH219" s="1">
        <f t="shared" si="48"/>
        <v>4407508.6690138998</v>
      </c>
      <c r="AT219" s="1">
        <f t="shared" si="49"/>
        <v>1483320.715411477</v>
      </c>
      <c r="BC219" s="1">
        <f t="shared" si="50"/>
        <v>998500.03207558487</v>
      </c>
      <c r="BI219" s="4">
        <f t="shared" si="44"/>
        <v>10193463.449415527</v>
      </c>
      <c r="BJ219" s="2">
        <f t="shared" si="61"/>
        <v>976816.47065107536</v>
      </c>
      <c r="BK219" s="2"/>
      <c r="BL219" s="2"/>
      <c r="BM219" s="2"/>
      <c r="BN219" s="2"/>
      <c r="BO219" s="2"/>
      <c r="BP219" s="2"/>
      <c r="BQ219" s="2">
        <f t="shared" si="63"/>
        <v>747579.15639791056</v>
      </c>
      <c r="BR219" s="2"/>
      <c r="BS219" s="2"/>
      <c r="BT219" s="2"/>
      <c r="BU219" s="2"/>
      <c r="BV219" s="2"/>
      <c r="BW219" s="2"/>
      <c r="BX219" s="2"/>
      <c r="BY219" s="2"/>
      <c r="BZ219" s="1">
        <f t="shared" si="51"/>
        <v>2339208.1368575753</v>
      </c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1">
        <f t="shared" si="52"/>
        <v>554855.80247920856</v>
      </c>
      <c r="CU219" s="2"/>
      <c r="CV219" s="2"/>
      <c r="CW219" s="2"/>
      <c r="CX219" s="1">
        <f t="shared" si="53"/>
        <v>1768415.5382479993</v>
      </c>
      <c r="CY219" s="2"/>
      <c r="CZ219" s="2"/>
      <c r="DA219" s="2"/>
      <c r="DB219" s="2"/>
      <c r="DC219" s="2"/>
      <c r="DD219" s="2"/>
      <c r="DE219" s="1">
        <f t="shared" si="54"/>
        <v>990039.32124989945</v>
      </c>
      <c r="DF219" s="2"/>
      <c r="DG219" s="2"/>
      <c r="DH219" s="2"/>
      <c r="DI219" s="2"/>
      <c r="DJ219" s="2"/>
      <c r="DK219" s="2"/>
      <c r="DL219" s="1">
        <f t="shared" si="55"/>
        <v>1165537.3040987204</v>
      </c>
      <c r="DM219" s="2"/>
      <c r="DN219" s="2"/>
      <c r="DO219" s="2"/>
      <c r="DP219" s="2"/>
      <c r="DQ219" s="2"/>
      <c r="DR219" s="2"/>
      <c r="DS219" s="1">
        <f t="shared" si="56"/>
        <v>873559.05303315527</v>
      </c>
      <c r="DT219" s="2"/>
      <c r="DU219" s="2"/>
      <c r="DV219" s="2"/>
      <c r="DW219" s="2"/>
      <c r="DX219" s="2"/>
      <c r="DY219" s="2"/>
      <c r="DZ219" s="2"/>
      <c r="EA219" s="2"/>
      <c r="EB219" s="1">
        <f t="shared" si="57"/>
        <v>102327.56504188878</v>
      </c>
      <c r="EC219" s="2"/>
      <c r="ED219" s="2"/>
      <c r="EE219" s="1">
        <f t="shared" si="58"/>
        <v>147245.89403708201</v>
      </c>
      <c r="EF219" s="2"/>
      <c r="EG219" s="1">
        <f t="shared" si="58"/>
        <v>527879.20732101251</v>
      </c>
      <c r="EH219" s="2"/>
      <c r="HW219" s="4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1">
        <f t="shared" si="59"/>
        <v>3214433.3230753029</v>
      </c>
      <c r="LU219" s="1">
        <f t="shared" si="60"/>
        <v>2365736.674110637</v>
      </c>
    </row>
    <row r="220" spans="1:333">
      <c r="A220" s="1">
        <v>1583</v>
      </c>
      <c r="B220" s="1">
        <f t="shared" ref="B220:B261" si="64">C220+K220+U220+AD220+AH220+AG220+AT220+BC220+R220</f>
        <v>14873359.256376134</v>
      </c>
      <c r="C220" s="1">
        <f t="shared" si="45"/>
        <v>4042076.8166040042</v>
      </c>
      <c r="K220" s="1">
        <f t="shared" si="46"/>
        <v>1917499.2082028515</v>
      </c>
      <c r="U220" s="1">
        <f t="shared" si="47"/>
        <v>2001030.0950522134</v>
      </c>
      <c r="AH220" s="1">
        <f t="shared" si="48"/>
        <v>4422494.1984885475</v>
      </c>
      <c r="AT220" s="1">
        <f t="shared" si="49"/>
        <v>1488364.0058438762</v>
      </c>
      <c r="BC220" s="1">
        <f t="shared" si="50"/>
        <v>1001894.9321846419</v>
      </c>
      <c r="BI220" s="4">
        <f t="shared" si="44"/>
        <v>10241935.46444099</v>
      </c>
      <c r="BJ220" s="2">
        <f t="shared" si="61"/>
        <v>980821.41818074475</v>
      </c>
      <c r="BK220" s="2"/>
      <c r="BL220" s="2"/>
      <c r="BM220" s="2"/>
      <c r="BN220" s="2"/>
      <c r="BO220" s="2"/>
      <c r="BP220" s="2"/>
      <c r="BQ220" s="2">
        <f t="shared" si="63"/>
        <v>751317.0521799</v>
      </c>
      <c r="BR220" s="2"/>
      <c r="BS220" s="2"/>
      <c r="BT220" s="2"/>
      <c r="BU220" s="2"/>
      <c r="BV220" s="2"/>
      <c r="BW220" s="2"/>
      <c r="BX220" s="2"/>
      <c r="BY220" s="2"/>
      <c r="BZ220" s="1">
        <f t="shared" si="51"/>
        <v>2355582.5938155781</v>
      </c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1">
        <f t="shared" si="52"/>
        <v>556742.31220763794</v>
      </c>
      <c r="CU220" s="2"/>
      <c r="CV220" s="2"/>
      <c r="CW220" s="2"/>
      <c r="CX220" s="1">
        <f t="shared" si="53"/>
        <v>1774428.1510780426</v>
      </c>
      <c r="CY220" s="2"/>
      <c r="CZ220" s="2"/>
      <c r="DA220" s="2"/>
      <c r="DB220" s="2"/>
      <c r="DC220" s="2"/>
      <c r="DD220" s="2"/>
      <c r="DE220" s="1">
        <f t="shared" si="54"/>
        <v>993405.45494214923</v>
      </c>
      <c r="DF220" s="2"/>
      <c r="DG220" s="2"/>
      <c r="DH220" s="2"/>
      <c r="DI220" s="2"/>
      <c r="DJ220" s="2"/>
      <c r="DK220" s="2"/>
      <c r="DL220" s="1">
        <f t="shared" si="55"/>
        <v>1169500.1309326561</v>
      </c>
      <c r="DM220" s="2"/>
      <c r="DN220" s="2"/>
      <c r="DO220" s="2"/>
      <c r="DP220" s="2"/>
      <c r="DQ220" s="2"/>
      <c r="DR220" s="2"/>
      <c r="DS220" s="1">
        <f t="shared" si="56"/>
        <v>879673.96640438726</v>
      </c>
      <c r="DT220" s="2"/>
      <c r="DU220" s="2"/>
      <c r="DV220" s="2"/>
      <c r="DW220" s="2"/>
      <c r="DX220" s="2"/>
      <c r="DY220" s="2"/>
      <c r="DZ220" s="2"/>
      <c r="EA220" s="2"/>
      <c r="EB220" s="1">
        <f t="shared" si="57"/>
        <v>103043.85799718199</v>
      </c>
      <c r="EC220" s="2"/>
      <c r="ED220" s="2"/>
      <c r="EE220" s="1">
        <f t="shared" si="58"/>
        <v>147746.53007680809</v>
      </c>
      <c r="EF220" s="2"/>
      <c r="EG220" s="1">
        <f t="shared" si="58"/>
        <v>529673.99662590399</v>
      </c>
      <c r="EH220" s="2"/>
      <c r="HW220" s="4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1">
        <f t="shared" si="59"/>
        <v>3225362.396373759</v>
      </c>
      <c r="LU220" s="1">
        <f t="shared" si="60"/>
        <v>2373780.1788026132</v>
      </c>
    </row>
    <row r="221" spans="1:333">
      <c r="A221" s="1">
        <v>1584</v>
      </c>
      <c r="B221" s="1">
        <f t="shared" si="64"/>
        <v>14928239.060081394</v>
      </c>
      <c r="C221" s="1">
        <f t="shared" si="45"/>
        <v>4055819.877780458</v>
      </c>
      <c r="K221" s="1">
        <f t="shared" si="46"/>
        <v>1926127.9546397643</v>
      </c>
      <c r="U221" s="1">
        <f t="shared" si="47"/>
        <v>2010034.7304799482</v>
      </c>
      <c r="AH221" s="1">
        <f t="shared" si="48"/>
        <v>4437530.6787634091</v>
      </c>
      <c r="AT221" s="1">
        <f t="shared" si="49"/>
        <v>1493424.4434637455</v>
      </c>
      <c r="BC221" s="1">
        <f t="shared" si="50"/>
        <v>1005301.3749540698</v>
      </c>
      <c r="BI221" s="4">
        <f t="shared" ref="BI221:BI267" si="65">BJ221+BQ221+BW221+BZ221+CH221+CL221+CT221+CX221+DE221+DL221+DS221+EB221+EE221+EG221</f>
        <v>10290664.608801886</v>
      </c>
      <c r="BJ221" s="2">
        <f t="shared" si="61"/>
        <v>984842.78599528584</v>
      </c>
      <c r="BK221" s="2"/>
      <c r="BL221" s="2"/>
      <c r="BM221" s="2"/>
      <c r="BN221" s="2"/>
      <c r="BO221" s="2"/>
      <c r="BP221" s="2"/>
      <c r="BQ221" s="2">
        <f t="shared" si="63"/>
        <v>755073.63744079939</v>
      </c>
      <c r="BR221" s="2"/>
      <c r="BS221" s="2"/>
      <c r="BT221" s="2"/>
      <c r="BU221" s="2"/>
      <c r="BV221" s="2"/>
      <c r="BW221" s="2"/>
      <c r="BX221" s="2"/>
      <c r="BY221" s="2"/>
      <c r="BZ221" s="1">
        <f t="shared" si="51"/>
        <v>2372071.6719722869</v>
      </c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1">
        <f t="shared" si="52"/>
        <v>558635.23606914398</v>
      </c>
      <c r="CU221" s="2"/>
      <c r="CV221" s="2"/>
      <c r="CW221" s="2"/>
      <c r="CX221" s="1">
        <f t="shared" si="53"/>
        <v>1780461.206791708</v>
      </c>
      <c r="CY221" s="2"/>
      <c r="CZ221" s="2"/>
      <c r="DA221" s="2"/>
      <c r="DB221" s="2"/>
      <c r="DC221" s="2"/>
      <c r="DD221" s="2"/>
      <c r="DE221" s="1">
        <f t="shared" si="54"/>
        <v>996783.03348895255</v>
      </c>
      <c r="DF221" s="2"/>
      <c r="DG221" s="2"/>
      <c r="DH221" s="2"/>
      <c r="DI221" s="2"/>
      <c r="DJ221" s="2"/>
      <c r="DK221" s="2"/>
      <c r="DL221" s="1">
        <f t="shared" si="55"/>
        <v>1173476.4313778272</v>
      </c>
      <c r="DM221" s="2"/>
      <c r="DN221" s="2"/>
      <c r="DO221" s="2"/>
      <c r="DP221" s="2"/>
      <c r="DQ221" s="2"/>
      <c r="DR221" s="2"/>
      <c r="DS221" s="1">
        <f t="shared" si="56"/>
        <v>885831.68416921783</v>
      </c>
      <c r="DT221" s="2"/>
      <c r="DU221" s="2"/>
      <c r="DV221" s="2"/>
      <c r="DW221" s="2"/>
      <c r="DX221" s="2"/>
      <c r="DY221" s="2"/>
      <c r="DZ221" s="2"/>
      <c r="EA221" s="2"/>
      <c r="EB221" s="1">
        <f t="shared" si="57"/>
        <v>103765.16500316226</v>
      </c>
      <c r="EC221" s="2"/>
      <c r="ED221" s="2"/>
      <c r="EE221" s="1">
        <f t="shared" si="58"/>
        <v>148248.86827906925</v>
      </c>
      <c r="EF221" s="2"/>
      <c r="EG221" s="1">
        <f t="shared" si="58"/>
        <v>531474.88821443205</v>
      </c>
      <c r="EH221" s="2"/>
      <c r="HW221" s="4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1">
        <f t="shared" si="59"/>
        <v>3236328.6285214298</v>
      </c>
      <c r="LU221" s="1">
        <f t="shared" si="60"/>
        <v>2381851.0314105423</v>
      </c>
    </row>
    <row r="222" spans="1:333">
      <c r="A222" s="1">
        <v>1585</v>
      </c>
      <c r="B222" s="1">
        <f t="shared" si="64"/>
        <v>14983324.851839302</v>
      </c>
      <c r="C222" s="1">
        <f t="shared" ref="C222:C267" si="66">C221*1.0034</f>
        <v>4069609.6653649118</v>
      </c>
      <c r="K222" s="1">
        <f t="shared" ref="K222:K267" si="67">K221*1.0045</f>
        <v>1934795.5304356432</v>
      </c>
      <c r="U222" s="1">
        <f t="shared" ref="U222:U267" si="68">U221*1.0045</f>
        <v>2019079.886767108</v>
      </c>
      <c r="AH222" s="1">
        <f t="shared" ref="AH222:AH267" si="69">AH221*1.0034</f>
        <v>4452618.283071205</v>
      </c>
      <c r="AT222" s="1">
        <f t="shared" ref="AT222:AT267" si="70">AT221*1.0034</f>
        <v>1498502.0865715223</v>
      </c>
      <c r="BC222" s="1">
        <f t="shared" ref="BC222:BC267" si="71">BC221*1.0034</f>
        <v>1008719.3996289137</v>
      </c>
      <c r="BI222" s="4">
        <f t="shared" si="65"/>
        <v>10339652.382918036</v>
      </c>
      <c r="BJ222" s="2">
        <f t="shared" si="61"/>
        <v>988880.64141786646</v>
      </c>
      <c r="BK222" s="2"/>
      <c r="BL222" s="2"/>
      <c r="BM222" s="2"/>
      <c r="BN222" s="2"/>
      <c r="BO222" s="2"/>
      <c r="BP222" s="2"/>
      <c r="BQ222" s="2">
        <f t="shared" si="63"/>
        <v>758849.00562800327</v>
      </c>
      <c r="BR222" s="2"/>
      <c r="BS222" s="2"/>
      <c r="BT222" s="2"/>
      <c r="BU222" s="2"/>
      <c r="BV222" s="2"/>
      <c r="BW222" s="2"/>
      <c r="BX222" s="2"/>
      <c r="BY222" s="2"/>
      <c r="BZ222" s="1">
        <f t="shared" ref="BZ222:BZ267" si="72">BZ221*1.007</f>
        <v>2388676.1736760926</v>
      </c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1">
        <f t="shared" ref="CT222:CT267" si="73">CT221*1.0034</f>
        <v>560534.59587177914</v>
      </c>
      <c r="CU222" s="2"/>
      <c r="CV222" s="2"/>
      <c r="CW222" s="2"/>
      <c r="CX222" s="1">
        <f t="shared" ref="CX222:CX267" si="74">CX221*1.0034</f>
        <v>1786514.7748948</v>
      </c>
      <c r="CY222" s="2"/>
      <c r="CZ222" s="2"/>
      <c r="DA222" s="2"/>
      <c r="DB222" s="2"/>
      <c r="DC222" s="2"/>
      <c r="DD222" s="2"/>
      <c r="DE222" s="1">
        <f t="shared" ref="DE222:DE267" si="75">DE221*1.0034</f>
        <v>1000172.095802815</v>
      </c>
      <c r="DF222" s="2"/>
      <c r="DG222" s="2"/>
      <c r="DH222" s="2"/>
      <c r="DI222" s="2"/>
      <c r="DJ222" s="2"/>
      <c r="DK222" s="2"/>
      <c r="DL222" s="1">
        <f t="shared" ref="DL222:DL267" si="76">DL221*1.0034</f>
        <v>1177466.2512445119</v>
      </c>
      <c r="DM222" s="2"/>
      <c r="DN222" s="2"/>
      <c r="DO222" s="2"/>
      <c r="DP222" s="2"/>
      <c r="DQ222" s="2"/>
      <c r="DR222" s="2"/>
      <c r="DS222" s="1">
        <f t="shared" ref="DS222:DS267" si="77">DS221*1.007</f>
        <v>892032.5059584023</v>
      </c>
      <c r="DT222" s="2"/>
      <c r="DU222" s="2"/>
      <c r="DV222" s="2"/>
      <c r="DW222" s="2"/>
      <c r="DX222" s="2"/>
      <c r="DY222" s="2"/>
      <c r="DZ222" s="2"/>
      <c r="EA222" s="2"/>
      <c r="EB222" s="1">
        <f t="shared" ref="EB222:EB267" si="78">EB221*1.007</f>
        <v>104491.52115818438</v>
      </c>
      <c r="EC222" s="2"/>
      <c r="ED222" s="2"/>
      <c r="EE222" s="1">
        <f t="shared" ref="EE222:EG267" si="79">EE221*1.0034</f>
        <v>148752.91443121809</v>
      </c>
      <c r="EF222" s="2"/>
      <c r="EG222" s="1">
        <f t="shared" si="79"/>
        <v>533281.90283436119</v>
      </c>
      <c r="EH222" s="2"/>
      <c r="HW222" s="4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1">
        <f t="shared" ref="LO222:LO267" si="80">LO221*1.0034</f>
        <v>3247332.1458584028</v>
      </c>
      <c r="LU222" s="1">
        <f t="shared" ref="LU222:LU267" si="81">LU221*1.0034</f>
        <v>2389949.3249173383</v>
      </c>
    </row>
    <row r="223" spans="1:333">
      <c r="A223" s="1">
        <v>1586</v>
      </c>
      <c r="B223" s="1">
        <f t="shared" si="64"/>
        <v>15038617.41929448</v>
      </c>
      <c r="C223" s="1">
        <f t="shared" si="66"/>
        <v>4083446.3382271528</v>
      </c>
      <c r="K223" s="1">
        <f t="shared" si="67"/>
        <v>1943502.1103226035</v>
      </c>
      <c r="U223" s="1">
        <f t="shared" si="68"/>
        <v>2028165.7462575599</v>
      </c>
      <c r="AH223" s="1">
        <f t="shared" si="69"/>
        <v>4467757.185233647</v>
      </c>
      <c r="AT223" s="1">
        <f t="shared" si="70"/>
        <v>1503596.9936658656</v>
      </c>
      <c r="BC223" s="1">
        <f t="shared" si="71"/>
        <v>1012149.0455876521</v>
      </c>
      <c r="BI223" s="4">
        <f t="shared" si="65"/>
        <v>10388900.296600806</v>
      </c>
      <c r="BJ223" s="2">
        <f t="shared" ref="BJ223:BJ267" si="82">BJ222*1.0041</f>
        <v>992935.05204767967</v>
      </c>
      <c r="BK223" s="2"/>
      <c r="BL223" s="2"/>
      <c r="BM223" s="2"/>
      <c r="BN223" s="2"/>
      <c r="BO223" s="2"/>
      <c r="BP223" s="2"/>
      <c r="BQ223" s="2">
        <f t="shared" si="63"/>
        <v>762643.25065614318</v>
      </c>
      <c r="BR223" s="2"/>
      <c r="BS223" s="2"/>
      <c r="BT223" s="2"/>
      <c r="BU223" s="2"/>
      <c r="BV223" s="2"/>
      <c r="BW223" s="2"/>
      <c r="BX223" s="2"/>
      <c r="BY223" s="2"/>
      <c r="BZ223" s="1">
        <f t="shared" si="72"/>
        <v>2405396.9068918251</v>
      </c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1">
        <f t="shared" si="73"/>
        <v>562440.4134977432</v>
      </c>
      <c r="CU223" s="2"/>
      <c r="CV223" s="2"/>
      <c r="CW223" s="2"/>
      <c r="CX223" s="1">
        <f t="shared" si="74"/>
        <v>1792588.9251294425</v>
      </c>
      <c r="CY223" s="2"/>
      <c r="CZ223" s="2"/>
      <c r="DA223" s="2"/>
      <c r="DB223" s="2"/>
      <c r="DC223" s="2"/>
      <c r="DD223" s="2"/>
      <c r="DE223" s="1">
        <f t="shared" si="75"/>
        <v>1003572.6809285447</v>
      </c>
      <c r="DF223" s="2"/>
      <c r="DG223" s="2"/>
      <c r="DH223" s="2"/>
      <c r="DI223" s="2"/>
      <c r="DJ223" s="2"/>
      <c r="DK223" s="2"/>
      <c r="DL223" s="1">
        <f t="shared" si="76"/>
        <v>1181469.6364987434</v>
      </c>
      <c r="DM223" s="2"/>
      <c r="DN223" s="2"/>
      <c r="DO223" s="2"/>
      <c r="DP223" s="2"/>
      <c r="DQ223" s="2"/>
      <c r="DR223" s="2"/>
      <c r="DS223" s="1">
        <f t="shared" si="77"/>
        <v>898276.73350011103</v>
      </c>
      <c r="DT223" s="2"/>
      <c r="DU223" s="2"/>
      <c r="DV223" s="2"/>
      <c r="DW223" s="2"/>
      <c r="DX223" s="2"/>
      <c r="DY223" s="2"/>
      <c r="DZ223" s="2"/>
      <c r="EA223" s="2"/>
      <c r="EB223" s="1">
        <f t="shared" si="78"/>
        <v>105222.96180629166</v>
      </c>
      <c r="EC223" s="2"/>
      <c r="ED223" s="2"/>
      <c r="EE223" s="1">
        <f t="shared" si="79"/>
        <v>149258.67434028423</v>
      </c>
      <c r="EF223" s="2"/>
      <c r="EG223" s="1">
        <f t="shared" si="79"/>
        <v>535095.06130399799</v>
      </c>
      <c r="EH223" s="2"/>
      <c r="HW223" s="4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1">
        <f t="shared" si="80"/>
        <v>3258373.0751543217</v>
      </c>
      <c r="LU223" s="1">
        <f t="shared" si="81"/>
        <v>2398075.1526220576</v>
      </c>
    </row>
    <row r="224" spans="1:333">
      <c r="A224" s="1">
        <v>1587</v>
      </c>
      <c r="B224" s="1">
        <f t="shared" si="64"/>
        <v>15094117.55316232</v>
      </c>
      <c r="C224" s="1">
        <f t="shared" si="66"/>
        <v>4097330.0557771255</v>
      </c>
      <c r="K224" s="1">
        <f t="shared" si="67"/>
        <v>1952247.8698190551</v>
      </c>
      <c r="U224" s="1">
        <f t="shared" si="68"/>
        <v>2037292.4921157188</v>
      </c>
      <c r="AH224" s="1">
        <f t="shared" si="69"/>
        <v>4482947.559663442</v>
      </c>
      <c r="AT224" s="1">
        <f t="shared" si="70"/>
        <v>1508709.2234443296</v>
      </c>
      <c r="BC224" s="1">
        <f t="shared" si="71"/>
        <v>1015590.3523426502</v>
      </c>
      <c r="BI224" s="4">
        <f t="shared" si="65"/>
        <v>10438409.869114649</v>
      </c>
      <c r="BJ224" s="2">
        <f t="shared" si="82"/>
        <v>997006.08576107514</v>
      </c>
      <c r="BK224" s="2"/>
      <c r="BL224" s="2"/>
      <c r="BM224" s="2"/>
      <c r="BN224" s="2"/>
      <c r="BO224" s="2"/>
      <c r="BP224" s="2"/>
      <c r="BQ224" s="2">
        <f t="shared" si="63"/>
        <v>766456.46690942382</v>
      </c>
      <c r="BR224" s="2"/>
      <c r="BS224" s="2"/>
      <c r="BT224" s="2"/>
      <c r="BU224" s="2"/>
      <c r="BV224" s="2"/>
      <c r="BW224" s="2"/>
      <c r="BX224" s="2"/>
      <c r="BY224" s="2"/>
      <c r="BZ224" s="1">
        <f t="shared" si="72"/>
        <v>2422234.6852400675</v>
      </c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1">
        <f t="shared" si="73"/>
        <v>564352.7109036356</v>
      </c>
      <c r="CU224" s="2"/>
      <c r="CV224" s="2"/>
      <c r="CW224" s="2"/>
      <c r="CX224" s="1">
        <f t="shared" si="74"/>
        <v>1798683.7274748827</v>
      </c>
      <c r="CY224" s="2"/>
      <c r="CZ224" s="2"/>
      <c r="DA224" s="2"/>
      <c r="DB224" s="2"/>
      <c r="DC224" s="2"/>
      <c r="DD224" s="2"/>
      <c r="DE224" s="1">
        <f t="shared" si="75"/>
        <v>1006984.8280437018</v>
      </c>
      <c r="DF224" s="2"/>
      <c r="DG224" s="2"/>
      <c r="DH224" s="2"/>
      <c r="DI224" s="2"/>
      <c r="DJ224" s="2"/>
      <c r="DK224" s="2"/>
      <c r="DL224" s="1">
        <f t="shared" si="76"/>
        <v>1185486.6332628392</v>
      </c>
      <c r="DM224" s="2"/>
      <c r="DN224" s="2"/>
      <c r="DO224" s="2"/>
      <c r="DP224" s="2"/>
      <c r="DQ224" s="2"/>
      <c r="DR224" s="2"/>
      <c r="DS224" s="1">
        <f t="shared" si="77"/>
        <v>904564.67063461174</v>
      </c>
      <c r="DT224" s="2"/>
      <c r="DU224" s="2"/>
      <c r="DV224" s="2"/>
      <c r="DW224" s="2"/>
      <c r="DX224" s="2"/>
      <c r="DY224" s="2"/>
      <c r="DZ224" s="2"/>
      <c r="EA224" s="2"/>
      <c r="EB224" s="1">
        <f t="shared" si="78"/>
        <v>105959.52253893569</v>
      </c>
      <c r="EC224" s="2"/>
      <c r="ED224" s="2"/>
      <c r="EE224" s="1">
        <f t="shared" si="79"/>
        <v>149766.1538330412</v>
      </c>
      <c r="EF224" s="2"/>
      <c r="EG224" s="1">
        <f t="shared" si="79"/>
        <v>536914.38451243157</v>
      </c>
      <c r="EH224" s="2"/>
      <c r="HW224" s="4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1">
        <f t="shared" si="80"/>
        <v>3269451.5436098468</v>
      </c>
      <c r="LU224" s="1">
        <f t="shared" si="81"/>
        <v>2406228.6081409729</v>
      </c>
    </row>
    <row r="225" spans="1:333">
      <c r="A225" s="1">
        <v>1588</v>
      </c>
      <c r="B225" s="1">
        <f t="shared" si="64"/>
        <v>15149826.0472412</v>
      </c>
      <c r="C225" s="1">
        <f t="shared" si="66"/>
        <v>4111260.9779667682</v>
      </c>
      <c r="K225" s="1">
        <f t="shared" si="67"/>
        <v>1961032.9852332408</v>
      </c>
      <c r="U225" s="1">
        <f t="shared" si="68"/>
        <v>2046460.3083302395</v>
      </c>
      <c r="AH225" s="1">
        <f t="shared" si="69"/>
        <v>4498189.5813662978</v>
      </c>
      <c r="AT225" s="1">
        <f t="shared" si="70"/>
        <v>1513838.8348040404</v>
      </c>
      <c r="BC225" s="1">
        <f t="shared" si="71"/>
        <v>1019043.3595406152</v>
      </c>
      <c r="BI225" s="4">
        <f t="shared" si="65"/>
        <v>10488182.629239013</v>
      </c>
      <c r="BJ225" s="2">
        <f t="shared" si="82"/>
        <v>1001093.8107126956</v>
      </c>
      <c r="BK225" s="2"/>
      <c r="BL225" s="2"/>
      <c r="BM225" s="2"/>
      <c r="BN225" s="2"/>
      <c r="BO225" s="2"/>
      <c r="BP225" s="2"/>
      <c r="BQ225" s="2">
        <f t="shared" si="63"/>
        <v>770288.74924397084</v>
      </c>
      <c r="BR225" s="2"/>
      <c r="BS225" s="2"/>
      <c r="BT225" s="2"/>
      <c r="BU225" s="2"/>
      <c r="BV225" s="2"/>
      <c r="BW225" s="2"/>
      <c r="BX225" s="2"/>
      <c r="BY225" s="2"/>
      <c r="BZ225" s="1">
        <f t="shared" si="72"/>
        <v>2439190.3280367479</v>
      </c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1">
        <f t="shared" si="73"/>
        <v>566271.51012070803</v>
      </c>
      <c r="CU225" s="2"/>
      <c r="CV225" s="2"/>
      <c r="CW225" s="2"/>
      <c r="CX225" s="1">
        <f t="shared" si="74"/>
        <v>1804799.2521482974</v>
      </c>
      <c r="CY225" s="2"/>
      <c r="CZ225" s="2"/>
      <c r="DA225" s="2"/>
      <c r="DB225" s="2"/>
      <c r="DC225" s="2"/>
      <c r="DD225" s="2"/>
      <c r="DE225" s="1">
        <f t="shared" si="75"/>
        <v>1010408.5764590505</v>
      </c>
      <c r="DF225" s="2"/>
      <c r="DG225" s="2"/>
      <c r="DH225" s="2"/>
      <c r="DI225" s="2"/>
      <c r="DJ225" s="2"/>
      <c r="DK225" s="2"/>
      <c r="DL225" s="1">
        <f t="shared" si="76"/>
        <v>1189517.2878159329</v>
      </c>
      <c r="DM225" s="2"/>
      <c r="DN225" s="2"/>
      <c r="DO225" s="2"/>
      <c r="DP225" s="2"/>
      <c r="DQ225" s="2"/>
      <c r="DR225" s="2"/>
      <c r="DS225" s="1">
        <f t="shared" si="77"/>
        <v>910896.62332905398</v>
      </c>
      <c r="DT225" s="2"/>
      <c r="DU225" s="2"/>
      <c r="DV225" s="2"/>
      <c r="DW225" s="2"/>
      <c r="DX225" s="2"/>
      <c r="DY225" s="2"/>
      <c r="DZ225" s="2"/>
      <c r="EA225" s="2"/>
      <c r="EB225" s="1">
        <f t="shared" si="78"/>
        <v>106701.23919670824</v>
      </c>
      <c r="EC225" s="2"/>
      <c r="ED225" s="2"/>
      <c r="EE225" s="1">
        <f t="shared" si="79"/>
        <v>150275.35875607355</v>
      </c>
      <c r="EF225" s="2"/>
      <c r="EG225" s="1">
        <f t="shared" si="79"/>
        <v>538739.8934197739</v>
      </c>
      <c r="EH225" s="2"/>
      <c r="HW225" s="4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1">
        <f t="shared" si="80"/>
        <v>3280567.6788581205</v>
      </c>
      <c r="LU225" s="1">
        <f t="shared" si="81"/>
        <v>2414409.7854086524</v>
      </c>
    </row>
    <row r="226" spans="1:333">
      <c r="A226" s="1">
        <v>1589</v>
      </c>
      <c r="B226" s="1">
        <f t="shared" si="64"/>
        <v>15205743.698424742</v>
      </c>
      <c r="C226" s="1">
        <f t="shared" si="66"/>
        <v>4125239.2652918557</v>
      </c>
      <c r="K226" s="1">
        <f t="shared" si="67"/>
        <v>1969857.6336667903</v>
      </c>
      <c r="U226" s="1">
        <f t="shared" si="68"/>
        <v>2055669.3797177256</v>
      </c>
      <c r="AH226" s="1">
        <f t="shared" si="69"/>
        <v>4513483.4259429434</v>
      </c>
      <c r="AT226" s="1">
        <f t="shared" si="70"/>
        <v>1518985.8868423742</v>
      </c>
      <c r="BC226" s="1">
        <f t="shared" si="71"/>
        <v>1022508.1069630533</v>
      </c>
      <c r="BI226" s="4">
        <f t="shared" si="65"/>
        <v>10538220.115330737</v>
      </c>
      <c r="BJ226" s="2">
        <f t="shared" si="82"/>
        <v>1005198.2953366176</v>
      </c>
      <c r="BK226" s="2"/>
      <c r="BL226" s="2"/>
      <c r="BM226" s="2"/>
      <c r="BN226" s="2"/>
      <c r="BO226" s="2"/>
      <c r="BP226" s="2"/>
      <c r="BQ226" s="2">
        <f t="shared" si="63"/>
        <v>774140.19299019058</v>
      </c>
      <c r="BR226" s="2"/>
      <c r="BS226" s="2"/>
      <c r="BT226" s="2"/>
      <c r="BU226" s="2"/>
      <c r="BV226" s="2"/>
      <c r="BW226" s="2"/>
      <c r="BX226" s="2"/>
      <c r="BY226" s="2"/>
      <c r="BZ226" s="1">
        <f t="shared" si="72"/>
        <v>2456264.6603330048</v>
      </c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1">
        <f t="shared" si="73"/>
        <v>568196.83325511846</v>
      </c>
      <c r="CU226" s="2"/>
      <c r="CV226" s="2"/>
      <c r="CW226" s="2"/>
      <c r="CX226" s="1">
        <f t="shared" si="74"/>
        <v>1810935.5696056017</v>
      </c>
      <c r="CY226" s="2"/>
      <c r="CZ226" s="2"/>
      <c r="DA226" s="2"/>
      <c r="DB226" s="2"/>
      <c r="DC226" s="2"/>
      <c r="DD226" s="2"/>
      <c r="DE226" s="1">
        <f t="shared" si="75"/>
        <v>1013843.9656190113</v>
      </c>
      <c r="DF226" s="2"/>
      <c r="DG226" s="2"/>
      <c r="DH226" s="2"/>
      <c r="DI226" s="2"/>
      <c r="DJ226" s="2"/>
      <c r="DK226" s="2"/>
      <c r="DL226" s="1">
        <f t="shared" si="76"/>
        <v>1193561.6465945072</v>
      </c>
      <c r="DM226" s="2"/>
      <c r="DN226" s="2"/>
      <c r="DO226" s="2"/>
      <c r="DP226" s="2"/>
      <c r="DQ226" s="2"/>
      <c r="DR226" s="2"/>
      <c r="DS226" s="1">
        <f t="shared" si="77"/>
        <v>917272.89969235728</v>
      </c>
      <c r="DT226" s="2"/>
      <c r="DU226" s="2"/>
      <c r="DV226" s="2"/>
      <c r="DW226" s="2"/>
      <c r="DX226" s="2"/>
      <c r="DY226" s="2"/>
      <c r="DZ226" s="2"/>
      <c r="EA226" s="2"/>
      <c r="EB226" s="1">
        <f t="shared" si="78"/>
        <v>107448.14787108518</v>
      </c>
      <c r="EC226" s="2"/>
      <c r="ED226" s="2"/>
      <c r="EE226" s="1">
        <f t="shared" si="79"/>
        <v>150786.29497584421</v>
      </c>
      <c r="EF226" s="2"/>
      <c r="EG226" s="1">
        <f t="shared" si="79"/>
        <v>540571.60905740119</v>
      </c>
      <c r="EH226" s="2"/>
      <c r="HW226" s="4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1">
        <f t="shared" si="80"/>
        <v>3291721.6089662383</v>
      </c>
      <c r="LU226" s="1">
        <f t="shared" si="81"/>
        <v>2422618.7786790421</v>
      </c>
    </row>
    <row r="227" spans="1:333">
      <c r="A227" s="1">
        <v>1590</v>
      </c>
      <c r="B227" s="1">
        <f t="shared" si="64"/>
        <v>15261871.30671411</v>
      </c>
      <c r="C227" s="1">
        <f t="shared" si="66"/>
        <v>4139265.0787938484</v>
      </c>
      <c r="K227" s="1">
        <f t="shared" si="67"/>
        <v>1978721.9930182907</v>
      </c>
      <c r="U227" s="1">
        <f t="shared" si="68"/>
        <v>2064919.8919264553</v>
      </c>
      <c r="AH227" s="1">
        <f t="shared" si="69"/>
        <v>4528829.2695911499</v>
      </c>
      <c r="AT227" s="1">
        <f t="shared" si="70"/>
        <v>1524150.4388576385</v>
      </c>
      <c r="BC227" s="1">
        <f t="shared" si="71"/>
        <v>1025984.6345267278</v>
      </c>
      <c r="BI227" s="4">
        <f t="shared" si="65"/>
        <v>10588523.87538681</v>
      </c>
      <c r="BJ227" s="2">
        <f t="shared" si="82"/>
        <v>1009319.6083474978</v>
      </c>
      <c r="BK227" s="2"/>
      <c r="BL227" s="2"/>
      <c r="BM227" s="2"/>
      <c r="BN227" s="2"/>
      <c r="BO227" s="2"/>
      <c r="BP227" s="2"/>
      <c r="BQ227" s="2">
        <f t="shared" si="63"/>
        <v>778010.89395514142</v>
      </c>
      <c r="BR227" s="2"/>
      <c r="BS227" s="2"/>
      <c r="BT227" s="2"/>
      <c r="BU227" s="2"/>
      <c r="BV227" s="2"/>
      <c r="BW227" s="2"/>
      <c r="BX227" s="2"/>
      <c r="BY227" s="2"/>
      <c r="BZ227" s="1">
        <f t="shared" si="72"/>
        <v>2473458.5129553354</v>
      </c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1">
        <f t="shared" si="73"/>
        <v>570128.70248818595</v>
      </c>
      <c r="CU227" s="2"/>
      <c r="CV227" s="2"/>
      <c r="CW227" s="2"/>
      <c r="CX227" s="1">
        <f t="shared" si="74"/>
        <v>1817092.7505422609</v>
      </c>
      <c r="CY227" s="2"/>
      <c r="CZ227" s="2"/>
      <c r="DA227" s="2"/>
      <c r="DB227" s="2"/>
      <c r="DC227" s="2"/>
      <c r="DD227" s="2"/>
      <c r="DE227" s="1">
        <f t="shared" si="75"/>
        <v>1017291.0351021161</v>
      </c>
      <c r="DF227" s="2"/>
      <c r="DG227" s="2"/>
      <c r="DH227" s="2"/>
      <c r="DI227" s="2"/>
      <c r="DJ227" s="2"/>
      <c r="DK227" s="2"/>
      <c r="DL227" s="1">
        <f t="shared" si="76"/>
        <v>1197619.7561929286</v>
      </c>
      <c r="DM227" s="2"/>
      <c r="DN227" s="2"/>
      <c r="DO227" s="2"/>
      <c r="DP227" s="2"/>
      <c r="DQ227" s="2"/>
      <c r="DR227" s="2"/>
      <c r="DS227" s="1">
        <f t="shared" si="77"/>
        <v>923693.80999020371</v>
      </c>
      <c r="DT227" s="2"/>
      <c r="DU227" s="2"/>
      <c r="DV227" s="2"/>
      <c r="DW227" s="2"/>
      <c r="DX227" s="2"/>
      <c r="DY227" s="2"/>
      <c r="DZ227" s="2"/>
      <c r="EA227" s="2"/>
      <c r="EB227" s="1">
        <f t="shared" si="78"/>
        <v>108200.28490618277</v>
      </c>
      <c r="EC227" s="2"/>
      <c r="ED227" s="2"/>
      <c r="EE227" s="1">
        <f t="shared" si="79"/>
        <v>151298.9683787621</v>
      </c>
      <c r="EF227" s="2"/>
      <c r="EG227" s="1">
        <f t="shared" si="79"/>
        <v>542409.55252819636</v>
      </c>
      <c r="EH227" s="2"/>
      <c r="HW227" s="4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U227" s="2"/>
      <c r="KV227" s="2"/>
      <c r="KW227" s="2"/>
      <c r="KX227" s="2"/>
      <c r="KY227" s="2"/>
      <c r="KZ227" s="2"/>
      <c r="LA227" s="2"/>
      <c r="LB227" s="2"/>
      <c r="LC227" s="2"/>
      <c r="LD227" s="2"/>
      <c r="LE227" s="2"/>
      <c r="LF227" s="2"/>
      <c r="LG227" s="2"/>
      <c r="LH227" s="2"/>
      <c r="LI227" s="2"/>
      <c r="LJ227" s="2"/>
      <c r="LK227" s="2"/>
      <c r="LL227" s="2"/>
      <c r="LM227" s="2"/>
      <c r="LN227" s="2"/>
      <c r="LO227" s="1">
        <f t="shared" si="80"/>
        <v>3302913.462436724</v>
      </c>
      <c r="LU227" s="1">
        <f t="shared" si="81"/>
        <v>2430855.6825265512</v>
      </c>
    </row>
    <row r="228" spans="1:333">
      <c r="A228" s="1">
        <v>1591</v>
      </c>
      <c r="B228" s="1">
        <f t="shared" si="64"/>
        <v>15318209.67523038</v>
      </c>
      <c r="C228" s="1">
        <f t="shared" si="66"/>
        <v>4153338.5800617477</v>
      </c>
      <c r="K228" s="1">
        <f t="shared" si="67"/>
        <v>1987626.2419868729</v>
      </c>
      <c r="U228" s="1">
        <f t="shared" si="68"/>
        <v>2074212.0314401241</v>
      </c>
      <c r="AH228" s="1">
        <f t="shared" si="69"/>
        <v>4544227.2891077604</v>
      </c>
      <c r="AT228" s="1">
        <f t="shared" si="70"/>
        <v>1529332.5503497545</v>
      </c>
      <c r="BC228" s="1">
        <f t="shared" si="71"/>
        <v>1029472.9822841188</v>
      </c>
      <c r="BI228" s="4">
        <f t="shared" si="65"/>
        <v>10639095.467107564</v>
      </c>
      <c r="BJ228" s="2">
        <f t="shared" si="82"/>
        <v>1013457.8187417225</v>
      </c>
      <c r="BK228" s="2"/>
      <c r="BL228" s="2"/>
      <c r="BM228" s="2"/>
      <c r="BN228" s="2"/>
      <c r="BO228" s="2"/>
      <c r="BP228" s="2"/>
      <c r="BQ228" s="2">
        <f t="shared" si="63"/>
        <v>781900.94842491706</v>
      </c>
      <c r="BR228" s="2"/>
      <c r="BS228" s="2"/>
      <c r="BT228" s="2"/>
      <c r="BU228" s="2"/>
      <c r="BV228" s="2"/>
      <c r="BW228" s="2"/>
      <c r="BX228" s="2"/>
      <c r="BY228" s="2"/>
      <c r="BZ228" s="1">
        <f t="shared" si="72"/>
        <v>2490772.7225460224</v>
      </c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1">
        <f t="shared" si="73"/>
        <v>572067.14007664588</v>
      </c>
      <c r="CU228" s="2"/>
      <c r="CV228" s="2"/>
      <c r="CW228" s="2"/>
      <c r="CX228" s="1">
        <f t="shared" si="74"/>
        <v>1823270.8658941048</v>
      </c>
      <c r="CY228" s="2"/>
      <c r="CZ228" s="2"/>
      <c r="DA228" s="2"/>
      <c r="DB228" s="2"/>
      <c r="DC228" s="2"/>
      <c r="DD228" s="2"/>
      <c r="DE228" s="1">
        <f t="shared" si="75"/>
        <v>1020749.8246214633</v>
      </c>
      <c r="DF228" s="2"/>
      <c r="DG228" s="2"/>
      <c r="DH228" s="2"/>
      <c r="DI228" s="2"/>
      <c r="DJ228" s="2"/>
      <c r="DK228" s="2"/>
      <c r="DL228" s="1">
        <f t="shared" si="76"/>
        <v>1201691.6633639848</v>
      </c>
      <c r="DM228" s="2"/>
      <c r="DN228" s="2"/>
      <c r="DO228" s="2"/>
      <c r="DP228" s="2"/>
      <c r="DQ228" s="2"/>
      <c r="DR228" s="2"/>
      <c r="DS228" s="1">
        <f t="shared" si="77"/>
        <v>930159.66666013503</v>
      </c>
      <c r="DT228" s="2"/>
      <c r="DU228" s="2"/>
      <c r="DV228" s="2"/>
      <c r="DW228" s="2"/>
      <c r="DX228" s="2"/>
      <c r="DY228" s="2"/>
      <c r="DZ228" s="2"/>
      <c r="EA228" s="2"/>
      <c r="EB228" s="1">
        <f t="shared" si="78"/>
        <v>108957.68690052604</v>
      </c>
      <c r="EC228" s="2"/>
      <c r="ED228" s="2"/>
      <c r="EE228" s="1">
        <f t="shared" si="79"/>
        <v>151813.3848712499</v>
      </c>
      <c r="EF228" s="2"/>
      <c r="EG228" s="1">
        <f t="shared" si="79"/>
        <v>544253.74500679225</v>
      </c>
      <c r="EH228" s="2"/>
      <c r="HW228" s="4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1">
        <f t="shared" si="80"/>
        <v>3314143.3682090091</v>
      </c>
      <c r="LU228" s="1">
        <f t="shared" si="81"/>
        <v>2439120.5918471417</v>
      </c>
    </row>
    <row r="229" spans="1:333">
      <c r="A229" s="1">
        <v>1592</v>
      </c>
      <c r="B229" s="1">
        <f t="shared" si="64"/>
        <v>15374759.610226931</v>
      </c>
      <c r="C229" s="1">
        <f t="shared" si="66"/>
        <v>4167459.9312339579</v>
      </c>
      <c r="K229" s="1">
        <f t="shared" si="67"/>
        <v>1996570.5600758137</v>
      </c>
      <c r="U229" s="1">
        <f t="shared" si="68"/>
        <v>2083545.9855816045</v>
      </c>
      <c r="AH229" s="1">
        <f t="shared" si="69"/>
        <v>4559677.6618907275</v>
      </c>
      <c r="AT229" s="1">
        <f t="shared" si="70"/>
        <v>1534532.2810209438</v>
      </c>
      <c r="BC229" s="1">
        <f t="shared" si="71"/>
        <v>1032973.1904238849</v>
      </c>
      <c r="BI229" s="4">
        <f t="shared" si="65"/>
        <v>10689936.457960315</v>
      </c>
      <c r="BJ229" s="2">
        <f t="shared" si="82"/>
        <v>1017612.9957985636</v>
      </c>
      <c r="BK229" s="2"/>
      <c r="BL229" s="2"/>
      <c r="BM229" s="2"/>
      <c r="BN229" s="2"/>
      <c r="BO229" s="2"/>
      <c r="BP229" s="2"/>
      <c r="BQ229" s="2">
        <f t="shared" si="63"/>
        <v>785810.45316704153</v>
      </c>
      <c r="BR229" s="2"/>
      <c r="BS229" s="2"/>
      <c r="BT229" s="2"/>
      <c r="BU229" s="2"/>
      <c r="BV229" s="2"/>
      <c r="BW229" s="2"/>
      <c r="BX229" s="2"/>
      <c r="BY229" s="2"/>
      <c r="BZ229" s="1">
        <f t="shared" si="72"/>
        <v>2508208.1316038445</v>
      </c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1">
        <f t="shared" si="73"/>
        <v>574012.16835290648</v>
      </c>
      <c r="CU229" s="2"/>
      <c r="CV229" s="2"/>
      <c r="CW229" s="2"/>
      <c r="CX229" s="1">
        <f t="shared" si="74"/>
        <v>1829469.9868381449</v>
      </c>
      <c r="CY229" s="2"/>
      <c r="CZ229" s="2"/>
      <c r="DA229" s="2"/>
      <c r="DB229" s="2"/>
      <c r="DC229" s="2"/>
      <c r="DD229" s="2"/>
      <c r="DE229" s="1">
        <f t="shared" si="75"/>
        <v>1024220.3740251764</v>
      </c>
      <c r="DF229" s="2"/>
      <c r="DG229" s="2"/>
      <c r="DH229" s="2"/>
      <c r="DI229" s="2"/>
      <c r="DJ229" s="2"/>
      <c r="DK229" s="2"/>
      <c r="DL229" s="1">
        <f t="shared" si="76"/>
        <v>1205777.4150194223</v>
      </c>
      <c r="DM229" s="2"/>
      <c r="DN229" s="2"/>
      <c r="DO229" s="2"/>
      <c r="DP229" s="2"/>
      <c r="DQ229" s="2"/>
      <c r="DR229" s="2"/>
      <c r="DS229" s="1">
        <f t="shared" si="77"/>
        <v>936670.78432675591</v>
      </c>
      <c r="DT229" s="2"/>
      <c r="DU229" s="2"/>
      <c r="DV229" s="2"/>
      <c r="DW229" s="2"/>
      <c r="DX229" s="2"/>
      <c r="DY229" s="2"/>
      <c r="DZ229" s="2"/>
      <c r="EA229" s="2"/>
      <c r="EB229" s="1">
        <f t="shared" si="78"/>
        <v>109720.39070882971</v>
      </c>
      <c r="EC229" s="2"/>
      <c r="ED229" s="2"/>
      <c r="EE229" s="1">
        <f t="shared" si="79"/>
        <v>152329.55037981216</v>
      </c>
      <c r="EF229" s="2"/>
      <c r="EG229" s="1">
        <f t="shared" si="79"/>
        <v>546104.20773981535</v>
      </c>
      <c r="EH229" s="2"/>
      <c r="HW229" s="4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1">
        <f t="shared" si="80"/>
        <v>3325411.4556609201</v>
      </c>
      <c r="LU229" s="1">
        <f t="shared" si="81"/>
        <v>2447413.6018594224</v>
      </c>
    </row>
    <row r="230" spans="1:333">
      <c r="A230" s="1">
        <v>1593</v>
      </c>
      <c r="B230" s="1">
        <f t="shared" si="64"/>
        <v>15431521.921101928</v>
      </c>
      <c r="C230" s="1">
        <f t="shared" si="66"/>
        <v>4181629.2950001536</v>
      </c>
      <c r="K230" s="1">
        <f t="shared" si="67"/>
        <v>2005555.1275961548</v>
      </c>
      <c r="U230" s="1">
        <f t="shared" si="68"/>
        <v>2092921.9425167216</v>
      </c>
      <c r="AH230" s="1">
        <f t="shared" si="69"/>
        <v>4575180.5659411559</v>
      </c>
      <c r="AT230" s="1">
        <f t="shared" si="70"/>
        <v>1539749.6907764152</v>
      </c>
      <c r="BC230" s="1">
        <f t="shared" si="71"/>
        <v>1036485.2992713262</v>
      </c>
      <c r="BI230" s="4">
        <f t="shared" si="65"/>
        <v>10741048.425243406</v>
      </c>
      <c r="BJ230" s="2">
        <f t="shared" si="82"/>
        <v>1021785.2090813377</v>
      </c>
      <c r="BK230" s="2"/>
      <c r="BL230" s="2"/>
      <c r="BM230" s="2"/>
      <c r="BN230" s="2"/>
      <c r="BO230" s="2"/>
      <c r="BP230" s="2"/>
      <c r="BQ230" s="2">
        <f t="shared" si="63"/>
        <v>789739.50543287664</v>
      </c>
      <c r="BR230" s="2"/>
      <c r="BS230" s="2"/>
      <c r="BT230" s="2"/>
      <c r="BU230" s="2"/>
      <c r="BV230" s="2"/>
      <c r="BW230" s="2"/>
      <c r="BX230" s="2"/>
      <c r="BY230" s="2"/>
      <c r="BZ230" s="1">
        <f t="shared" si="72"/>
        <v>2525765.5885250713</v>
      </c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1">
        <f t="shared" si="73"/>
        <v>575963.80972530635</v>
      </c>
      <c r="CU230" s="2"/>
      <c r="CV230" s="2"/>
      <c r="CW230" s="2"/>
      <c r="CX230" s="1">
        <f t="shared" si="74"/>
        <v>1835690.1847933948</v>
      </c>
      <c r="CY230" s="2"/>
      <c r="CZ230" s="2"/>
      <c r="DA230" s="2"/>
      <c r="DB230" s="2"/>
      <c r="DC230" s="2"/>
      <c r="DD230" s="2"/>
      <c r="DE230" s="1">
        <f t="shared" si="75"/>
        <v>1027702.7232968621</v>
      </c>
      <c r="DF230" s="2"/>
      <c r="DG230" s="2"/>
      <c r="DH230" s="2"/>
      <c r="DI230" s="2"/>
      <c r="DJ230" s="2"/>
      <c r="DK230" s="2"/>
      <c r="DL230" s="1">
        <f t="shared" si="76"/>
        <v>1209877.0582304883</v>
      </c>
      <c r="DM230" s="2"/>
      <c r="DN230" s="2"/>
      <c r="DO230" s="2"/>
      <c r="DP230" s="2"/>
      <c r="DQ230" s="2"/>
      <c r="DR230" s="2"/>
      <c r="DS230" s="1">
        <f t="shared" si="77"/>
        <v>943227.47981704306</v>
      </c>
      <c r="DT230" s="2"/>
      <c r="DU230" s="2"/>
      <c r="DV230" s="2"/>
      <c r="DW230" s="2"/>
      <c r="DX230" s="2"/>
      <c r="DY230" s="2"/>
      <c r="DZ230" s="2"/>
      <c r="EA230" s="2"/>
      <c r="EB230" s="1">
        <f t="shared" si="78"/>
        <v>110488.43344379151</v>
      </c>
      <c r="EC230" s="2"/>
      <c r="ED230" s="2"/>
      <c r="EE230" s="1">
        <f t="shared" si="79"/>
        <v>152847.47085110354</v>
      </c>
      <c r="EF230" s="2"/>
      <c r="EG230" s="1">
        <f t="shared" si="79"/>
        <v>547960.96204613079</v>
      </c>
      <c r="EH230" s="2"/>
      <c r="HW230" s="4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1">
        <f t="shared" si="80"/>
        <v>3336717.8546101674</v>
      </c>
      <c r="LU230" s="1">
        <f t="shared" si="81"/>
        <v>2455734.8081057444</v>
      </c>
    </row>
    <row r="231" spans="1:333">
      <c r="A231" s="1">
        <v>1594</v>
      </c>
      <c r="B231" s="1">
        <f t="shared" si="64"/>
        <v>15488497.420410799</v>
      </c>
      <c r="C231" s="1">
        <f t="shared" si="66"/>
        <v>4195846.8346031541</v>
      </c>
      <c r="K231" s="1">
        <f t="shared" si="67"/>
        <v>2014580.1256703374</v>
      </c>
      <c r="U231" s="1">
        <f t="shared" si="68"/>
        <v>2102340.0912580467</v>
      </c>
      <c r="AH231" s="1">
        <f t="shared" si="69"/>
        <v>4590736.1798653565</v>
      </c>
      <c r="AT231" s="1">
        <f t="shared" si="70"/>
        <v>1544984.839725055</v>
      </c>
      <c r="BC231" s="1">
        <f t="shared" si="71"/>
        <v>1040009.3492888487</v>
      </c>
      <c r="BI231" s="4">
        <f t="shared" si="65"/>
        <v>10792432.956150714</v>
      </c>
      <c r="BJ231" s="2">
        <f t="shared" si="82"/>
        <v>1025974.5284385711</v>
      </c>
      <c r="BK231" s="2"/>
      <c r="BL231" s="2"/>
      <c r="BM231" s="2"/>
      <c r="BN231" s="2"/>
      <c r="BO231" s="2"/>
      <c r="BP231" s="2"/>
      <c r="BQ231" s="2">
        <f t="shared" si="63"/>
        <v>793688.20296004089</v>
      </c>
      <c r="BR231" s="2"/>
      <c r="BS231" s="2"/>
      <c r="BT231" s="2"/>
      <c r="BU231" s="2"/>
      <c r="BV231" s="2"/>
      <c r="BW231" s="2"/>
      <c r="BX231" s="2"/>
      <c r="BY231" s="2"/>
      <c r="BZ231" s="1">
        <f t="shared" si="72"/>
        <v>2543445.9476447464</v>
      </c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1">
        <f t="shared" si="73"/>
        <v>577922.08667837246</v>
      </c>
      <c r="CU231" s="2"/>
      <c r="CV231" s="2"/>
      <c r="CW231" s="2"/>
      <c r="CX231" s="1">
        <f t="shared" si="74"/>
        <v>1841931.5314216923</v>
      </c>
      <c r="CY231" s="2"/>
      <c r="CZ231" s="2"/>
      <c r="DA231" s="2"/>
      <c r="DB231" s="2"/>
      <c r="DC231" s="2"/>
      <c r="DD231" s="2"/>
      <c r="DE231" s="1">
        <f t="shared" si="75"/>
        <v>1031196.9125560715</v>
      </c>
      <c r="DF231" s="2"/>
      <c r="DG231" s="2"/>
      <c r="DH231" s="2"/>
      <c r="DI231" s="2"/>
      <c r="DJ231" s="2"/>
      <c r="DK231" s="2"/>
      <c r="DL231" s="1">
        <f t="shared" si="76"/>
        <v>1213990.6402284722</v>
      </c>
      <c r="DM231" s="2"/>
      <c r="DN231" s="2"/>
      <c r="DO231" s="2"/>
      <c r="DP231" s="2"/>
      <c r="DQ231" s="2"/>
      <c r="DR231" s="2"/>
      <c r="DS231" s="1">
        <f t="shared" si="77"/>
        <v>949830.07217576227</v>
      </c>
      <c r="DT231" s="2"/>
      <c r="DU231" s="2"/>
      <c r="DV231" s="2"/>
      <c r="DW231" s="2"/>
      <c r="DX231" s="2"/>
      <c r="DY231" s="2"/>
      <c r="DZ231" s="2"/>
      <c r="EA231" s="2"/>
      <c r="EB231" s="1">
        <f t="shared" si="78"/>
        <v>111261.85247789804</v>
      </c>
      <c r="EC231" s="2"/>
      <c r="ED231" s="2"/>
      <c r="EE231" s="1">
        <f t="shared" si="79"/>
        <v>153367.15225199729</v>
      </c>
      <c r="EF231" s="2"/>
      <c r="EG231" s="1">
        <f t="shared" si="79"/>
        <v>549824.02931708773</v>
      </c>
      <c r="EH231" s="2"/>
      <c r="HW231" s="4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1">
        <f t="shared" si="80"/>
        <v>3348062.6953158421</v>
      </c>
      <c r="LU231" s="1">
        <f t="shared" si="81"/>
        <v>2464084.3064533039</v>
      </c>
    </row>
    <row r="232" spans="1:333">
      <c r="A232" s="1">
        <v>1595</v>
      </c>
      <c r="B232" s="1">
        <f t="shared" si="64"/>
        <v>15545686.923878817</v>
      </c>
      <c r="C232" s="1">
        <f t="shared" si="66"/>
        <v>4210112.713840805</v>
      </c>
      <c r="K232" s="1">
        <f t="shared" si="67"/>
        <v>2023645.7362358538</v>
      </c>
      <c r="U232" s="1">
        <f t="shared" si="68"/>
        <v>2111800.6216687076</v>
      </c>
      <c r="AH232" s="1">
        <f t="shared" si="69"/>
        <v>4606344.6828768989</v>
      </c>
      <c r="AT232" s="1">
        <f t="shared" si="70"/>
        <v>1550237.7881801203</v>
      </c>
      <c r="BC232" s="1">
        <f t="shared" si="71"/>
        <v>1043545.3810764309</v>
      </c>
      <c r="BI232" s="4">
        <f t="shared" si="65"/>
        <v>10844091.647836542</v>
      </c>
      <c r="BJ232" s="2">
        <f t="shared" si="82"/>
        <v>1030181.0240051693</v>
      </c>
      <c r="BK232" s="2"/>
      <c r="BL232" s="2"/>
      <c r="BM232" s="2"/>
      <c r="BN232" s="2"/>
      <c r="BO232" s="2"/>
      <c r="BP232" s="2"/>
      <c r="BQ232" s="2">
        <f t="shared" si="63"/>
        <v>797656.64397484099</v>
      </c>
      <c r="BR232" s="2"/>
      <c r="BS232" s="2"/>
      <c r="BT232" s="2"/>
      <c r="BU232" s="2"/>
      <c r="BV232" s="2"/>
      <c r="BW232" s="2"/>
      <c r="BX232" s="2"/>
      <c r="BY232" s="2"/>
      <c r="BZ232" s="1">
        <f t="shared" si="72"/>
        <v>2561250.0692782593</v>
      </c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1">
        <f t="shared" si="73"/>
        <v>579887.02177307894</v>
      </c>
      <c r="CU232" s="2"/>
      <c r="CV232" s="2"/>
      <c r="CW232" s="2"/>
      <c r="CX232" s="1">
        <f t="shared" si="74"/>
        <v>1848194.0986285263</v>
      </c>
      <c r="CY232" s="2"/>
      <c r="CZ232" s="2"/>
      <c r="DA232" s="2"/>
      <c r="DB232" s="2"/>
      <c r="DC232" s="2"/>
      <c r="DD232" s="2"/>
      <c r="DE232" s="1">
        <f t="shared" si="75"/>
        <v>1034702.9820587622</v>
      </c>
      <c r="DF232" s="2"/>
      <c r="DG232" s="2"/>
      <c r="DH232" s="2"/>
      <c r="DI232" s="2"/>
      <c r="DJ232" s="2"/>
      <c r="DK232" s="2"/>
      <c r="DL232" s="1">
        <f t="shared" si="76"/>
        <v>1218118.2084052491</v>
      </c>
      <c r="DM232" s="2"/>
      <c r="DN232" s="2"/>
      <c r="DO232" s="2"/>
      <c r="DP232" s="2"/>
      <c r="DQ232" s="2"/>
      <c r="DR232" s="2"/>
      <c r="DS232" s="1">
        <f t="shared" si="77"/>
        <v>956478.88268099248</v>
      </c>
      <c r="DT232" s="2"/>
      <c r="DU232" s="2"/>
      <c r="DV232" s="2"/>
      <c r="DW232" s="2"/>
      <c r="DX232" s="2"/>
      <c r="DY232" s="2"/>
      <c r="DZ232" s="2"/>
      <c r="EA232" s="2"/>
      <c r="EB232" s="1">
        <f t="shared" si="78"/>
        <v>112040.6854452433</v>
      </c>
      <c r="EC232" s="2"/>
      <c r="ED232" s="2"/>
      <c r="EE232" s="1">
        <f t="shared" si="79"/>
        <v>153888.60056965408</v>
      </c>
      <c r="EF232" s="2"/>
      <c r="EG232" s="1">
        <f t="shared" si="79"/>
        <v>551693.43101676588</v>
      </c>
      <c r="EH232" s="2"/>
      <c r="HW232" s="4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1">
        <f t="shared" si="80"/>
        <v>3359446.1084799161</v>
      </c>
      <c r="LU232" s="1">
        <f t="shared" si="81"/>
        <v>2472462.1930952454</v>
      </c>
    </row>
    <row r="233" spans="1:333">
      <c r="A233" s="1">
        <v>1596</v>
      </c>
      <c r="B233" s="1">
        <f t="shared" si="64"/>
        <v>15603091.250413699</v>
      </c>
      <c r="C233" s="1">
        <f t="shared" si="66"/>
        <v>4224427.0970678637</v>
      </c>
      <c r="K233" s="1">
        <f t="shared" si="67"/>
        <v>2032752.1420489149</v>
      </c>
      <c r="U233" s="1">
        <f t="shared" si="68"/>
        <v>2121303.7244662168</v>
      </c>
      <c r="AH233" s="1">
        <f t="shared" si="69"/>
        <v>4622006.2547986805</v>
      </c>
      <c r="AT233" s="1">
        <f t="shared" si="70"/>
        <v>1555508.5966599328</v>
      </c>
      <c r="BC233" s="1">
        <f t="shared" si="71"/>
        <v>1047093.4353720908</v>
      </c>
      <c r="BI233" s="4">
        <f t="shared" si="65"/>
        <v>10896026.107481005</v>
      </c>
      <c r="BJ233" s="2">
        <f t="shared" si="82"/>
        <v>1034404.7662035904</v>
      </c>
      <c r="BK233" s="2"/>
      <c r="BL233" s="2"/>
      <c r="BM233" s="2"/>
      <c r="BN233" s="2"/>
      <c r="BO233" s="2"/>
      <c r="BP233" s="2"/>
      <c r="BQ233" s="2">
        <f t="shared" si="63"/>
        <v>801644.92719471513</v>
      </c>
      <c r="BR233" s="2"/>
      <c r="BS233" s="2"/>
      <c r="BT233" s="2"/>
      <c r="BU233" s="2"/>
      <c r="BV233" s="2"/>
      <c r="BW233" s="2"/>
      <c r="BX233" s="2"/>
      <c r="BY233" s="2"/>
      <c r="BZ233" s="1">
        <f t="shared" si="72"/>
        <v>2579178.8197632069</v>
      </c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1">
        <f t="shared" si="73"/>
        <v>581858.63764710748</v>
      </c>
      <c r="CU233" s="2"/>
      <c r="CV233" s="2"/>
      <c r="CW233" s="2"/>
      <c r="CX233" s="1">
        <f t="shared" si="74"/>
        <v>1854477.9585638635</v>
      </c>
      <c r="CY233" s="2"/>
      <c r="CZ233" s="2"/>
      <c r="DA233" s="2"/>
      <c r="DB233" s="2"/>
      <c r="DC233" s="2"/>
      <c r="DD233" s="2"/>
      <c r="DE233" s="1">
        <f t="shared" si="75"/>
        <v>1038220.9721977621</v>
      </c>
      <c r="DF233" s="2"/>
      <c r="DG233" s="2"/>
      <c r="DH233" s="2"/>
      <c r="DI233" s="2"/>
      <c r="DJ233" s="2"/>
      <c r="DK233" s="2"/>
      <c r="DL233" s="1">
        <f t="shared" si="76"/>
        <v>1222259.8103138269</v>
      </c>
      <c r="DM233" s="2"/>
      <c r="DN233" s="2"/>
      <c r="DO233" s="2"/>
      <c r="DP233" s="2"/>
      <c r="DQ233" s="2"/>
      <c r="DR233" s="2"/>
      <c r="DS233" s="1">
        <f t="shared" si="77"/>
        <v>963174.23485975934</v>
      </c>
      <c r="DT233" s="2"/>
      <c r="DU233" s="2"/>
      <c r="DV233" s="2"/>
      <c r="DW233" s="2"/>
      <c r="DX233" s="2"/>
      <c r="DY233" s="2"/>
      <c r="DZ233" s="2"/>
      <c r="EA233" s="2"/>
      <c r="EB233" s="1">
        <f t="shared" si="78"/>
        <v>112824.97024335999</v>
      </c>
      <c r="EC233" s="2"/>
      <c r="ED233" s="2"/>
      <c r="EE233" s="1">
        <f t="shared" si="79"/>
        <v>154411.82181159093</v>
      </c>
      <c r="EF233" s="2"/>
      <c r="EG233" s="1">
        <f t="shared" si="79"/>
        <v>553569.18868222297</v>
      </c>
      <c r="EH233" s="2"/>
      <c r="HW233" s="4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1">
        <f t="shared" si="80"/>
        <v>3370868.225248748</v>
      </c>
      <c r="LU233" s="1">
        <f t="shared" si="81"/>
        <v>2480868.5645517693</v>
      </c>
    </row>
    <row r="234" spans="1:333">
      <c r="A234" s="1">
        <v>1597</v>
      </c>
      <c r="B234" s="1">
        <f t="shared" si="64"/>
        <v>15660711.222118273</v>
      </c>
      <c r="C234" s="1">
        <f t="shared" si="66"/>
        <v>4238790.1491978951</v>
      </c>
      <c r="K234" s="1">
        <f t="shared" si="67"/>
        <v>2041899.526688135</v>
      </c>
      <c r="U234" s="1">
        <f t="shared" si="68"/>
        <v>2130849.5912263147</v>
      </c>
      <c r="AH234" s="1">
        <f t="shared" si="69"/>
        <v>4637721.0760649964</v>
      </c>
      <c r="AT234" s="1">
        <f t="shared" si="70"/>
        <v>1560797.3258885767</v>
      </c>
      <c r="BC234" s="1">
        <f t="shared" si="71"/>
        <v>1050653.553052356</v>
      </c>
      <c r="BI234" s="4">
        <f t="shared" si="65"/>
        <v>10948237.952355813</v>
      </c>
      <c r="BJ234" s="2">
        <f t="shared" si="82"/>
        <v>1038645.8257450252</v>
      </c>
      <c r="BK234" s="2"/>
      <c r="BL234" s="2"/>
      <c r="BM234" s="2"/>
      <c r="BN234" s="2"/>
      <c r="BO234" s="2"/>
      <c r="BP234" s="2"/>
      <c r="BQ234" s="2">
        <f t="shared" si="63"/>
        <v>805653.15183068858</v>
      </c>
      <c r="BR234" s="2"/>
      <c r="BS234" s="2"/>
      <c r="BT234" s="2"/>
      <c r="BU234" s="2"/>
      <c r="BV234" s="2"/>
      <c r="BW234" s="2"/>
      <c r="BX234" s="2"/>
      <c r="BY234" s="2"/>
      <c r="BZ234" s="1">
        <f t="shared" si="72"/>
        <v>2597233.0715015489</v>
      </c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1">
        <f t="shared" si="73"/>
        <v>583836.95701510774</v>
      </c>
      <c r="CU234" s="2"/>
      <c r="CV234" s="2"/>
      <c r="CW234" s="2"/>
      <c r="CX234" s="1">
        <f t="shared" si="74"/>
        <v>1860783.1836229807</v>
      </c>
      <c r="CY234" s="2"/>
      <c r="CZ234" s="2"/>
      <c r="DA234" s="2"/>
      <c r="DB234" s="2"/>
      <c r="DC234" s="2"/>
      <c r="DD234" s="2"/>
      <c r="DE234" s="1">
        <f t="shared" si="75"/>
        <v>1041750.9235032345</v>
      </c>
      <c r="DF234" s="2"/>
      <c r="DG234" s="2"/>
      <c r="DH234" s="2"/>
      <c r="DI234" s="2"/>
      <c r="DJ234" s="2"/>
      <c r="DK234" s="2"/>
      <c r="DL234" s="1">
        <f t="shared" si="76"/>
        <v>1226415.4936688941</v>
      </c>
      <c r="DM234" s="2"/>
      <c r="DN234" s="2"/>
      <c r="DO234" s="2"/>
      <c r="DP234" s="2"/>
      <c r="DQ234" s="2"/>
      <c r="DR234" s="2"/>
      <c r="DS234" s="1">
        <f t="shared" si="77"/>
        <v>969916.45450377755</v>
      </c>
      <c r="DT234" s="2"/>
      <c r="DU234" s="2"/>
      <c r="DV234" s="2"/>
      <c r="DW234" s="2"/>
      <c r="DX234" s="2"/>
      <c r="DY234" s="2"/>
      <c r="DZ234" s="2"/>
      <c r="EA234" s="2"/>
      <c r="EB234" s="1">
        <f t="shared" si="78"/>
        <v>113614.74503506349</v>
      </c>
      <c r="EC234" s="2"/>
      <c r="ED234" s="2"/>
      <c r="EE234" s="1">
        <f t="shared" si="79"/>
        <v>154936.82200575035</v>
      </c>
      <c r="EF234" s="2"/>
      <c r="EG234" s="1">
        <f t="shared" si="79"/>
        <v>555451.32392374252</v>
      </c>
      <c r="EH234" s="2"/>
      <c r="HW234" s="4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1">
        <f t="shared" si="80"/>
        <v>3382329.1772145941</v>
      </c>
      <c r="LU234" s="1">
        <f t="shared" si="81"/>
        <v>2489303.5176712456</v>
      </c>
    </row>
    <row r="235" spans="1:333">
      <c r="A235" s="1">
        <v>1598</v>
      </c>
      <c r="B235" s="1">
        <f t="shared" si="64"/>
        <v>15718547.664303182</v>
      </c>
      <c r="C235" s="1">
        <f t="shared" si="66"/>
        <v>4253202.0357051678</v>
      </c>
      <c r="K235" s="1">
        <f t="shared" si="67"/>
        <v>2051088.0745582315</v>
      </c>
      <c r="U235" s="1">
        <f t="shared" si="68"/>
        <v>2140438.4143868331</v>
      </c>
      <c r="AH235" s="1">
        <f t="shared" si="69"/>
        <v>4653489.3277236177</v>
      </c>
      <c r="AT235" s="1">
        <f t="shared" si="70"/>
        <v>1566104.036796598</v>
      </c>
      <c r="BC235" s="1">
        <f t="shared" si="71"/>
        <v>1054225.7751327341</v>
      </c>
      <c r="BI235" s="4">
        <f t="shared" si="65"/>
        <v>11000728.809890518</v>
      </c>
      <c r="BJ235" s="2">
        <f t="shared" si="82"/>
        <v>1042904.2736305798</v>
      </c>
      <c r="BK235" s="2"/>
      <c r="BL235" s="2"/>
      <c r="BM235" s="2"/>
      <c r="BN235" s="2"/>
      <c r="BO235" s="2"/>
      <c r="BP235" s="2"/>
      <c r="BQ235" s="2">
        <f t="shared" si="63"/>
        <v>809681.41758984199</v>
      </c>
      <c r="BR235" s="2"/>
      <c r="BS235" s="2"/>
      <c r="BT235" s="2"/>
      <c r="BU235" s="2"/>
      <c r="BV235" s="2"/>
      <c r="BW235" s="2"/>
      <c r="BX235" s="2"/>
      <c r="BY235" s="2"/>
      <c r="BZ235" s="1">
        <f t="shared" si="72"/>
        <v>2615413.7030020594</v>
      </c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1">
        <f t="shared" si="73"/>
        <v>585822.00266895909</v>
      </c>
      <c r="CU235" s="2"/>
      <c r="CV235" s="2"/>
      <c r="CW235" s="2"/>
      <c r="CX235" s="1">
        <f t="shared" si="74"/>
        <v>1867109.846447299</v>
      </c>
      <c r="CY235" s="2"/>
      <c r="CZ235" s="2"/>
      <c r="DA235" s="2"/>
      <c r="DB235" s="2"/>
      <c r="DC235" s="2"/>
      <c r="DD235" s="2"/>
      <c r="DE235" s="1">
        <f t="shared" si="75"/>
        <v>1045292.8766431456</v>
      </c>
      <c r="DF235" s="2"/>
      <c r="DG235" s="2"/>
      <c r="DH235" s="2"/>
      <c r="DI235" s="2"/>
      <c r="DJ235" s="2"/>
      <c r="DK235" s="2"/>
      <c r="DL235" s="1">
        <f t="shared" si="76"/>
        <v>1230585.3063473683</v>
      </c>
      <c r="DM235" s="2"/>
      <c r="DN235" s="2"/>
      <c r="DO235" s="2"/>
      <c r="DP235" s="2"/>
      <c r="DQ235" s="2"/>
      <c r="DR235" s="2"/>
      <c r="DS235" s="1">
        <f t="shared" si="77"/>
        <v>976705.86968530389</v>
      </c>
      <c r="DT235" s="2"/>
      <c r="DU235" s="2"/>
      <c r="DV235" s="2"/>
      <c r="DW235" s="2"/>
      <c r="DX235" s="2"/>
      <c r="DY235" s="2"/>
      <c r="DZ235" s="2"/>
      <c r="EA235" s="2"/>
      <c r="EB235" s="1">
        <f t="shared" si="78"/>
        <v>114410.04825030893</v>
      </c>
      <c r="EC235" s="2"/>
      <c r="ED235" s="2"/>
      <c r="EE235" s="1">
        <f t="shared" si="79"/>
        <v>155463.60720056991</v>
      </c>
      <c r="EF235" s="2"/>
      <c r="EG235" s="1">
        <f t="shared" si="79"/>
        <v>557339.85842508322</v>
      </c>
      <c r="EH235" s="2"/>
      <c r="HW235" s="4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1">
        <f t="shared" si="80"/>
        <v>3393829.0964171239</v>
      </c>
      <c r="LU235" s="1">
        <f t="shared" si="81"/>
        <v>2497767.1496313279</v>
      </c>
    </row>
    <row r="236" spans="1:333">
      <c r="A236" s="1">
        <v>1599</v>
      </c>
      <c r="B236" s="1">
        <f t="shared" si="64"/>
        <v>15776601.405499652</v>
      </c>
      <c r="C236" s="1">
        <f t="shared" si="66"/>
        <v>4267662.9226265652</v>
      </c>
      <c r="K236" s="1">
        <f t="shared" si="67"/>
        <v>2060317.9708937434</v>
      </c>
      <c r="U236" s="1">
        <f t="shared" si="68"/>
        <v>2150070.3872515736</v>
      </c>
      <c r="AH236" s="1">
        <f t="shared" si="69"/>
        <v>4669311.1914378786</v>
      </c>
      <c r="AT236" s="1">
        <f t="shared" si="70"/>
        <v>1571428.7905217065</v>
      </c>
      <c r="BC236" s="1">
        <f t="shared" si="71"/>
        <v>1057810.1427681854</v>
      </c>
      <c r="BI236" s="4">
        <f t="shared" si="65"/>
        <v>11053500.317739209</v>
      </c>
      <c r="BJ236" s="2">
        <f t="shared" si="82"/>
        <v>1047180.1811524652</v>
      </c>
      <c r="BK236" s="2"/>
      <c r="BL236" s="2"/>
      <c r="BM236" s="2"/>
      <c r="BN236" s="2"/>
      <c r="BO236" s="2"/>
      <c r="BP236" s="2"/>
      <c r="BQ236" s="2">
        <f t="shared" si="63"/>
        <v>813729.8246777911</v>
      </c>
      <c r="BR236" s="2"/>
      <c r="BS236" s="2"/>
      <c r="BT236" s="2"/>
      <c r="BU236" s="2"/>
      <c r="BV236" s="2"/>
      <c r="BW236" s="2"/>
      <c r="BX236" s="2"/>
      <c r="BY236" s="2"/>
      <c r="BZ236" s="1">
        <f t="shared" si="72"/>
        <v>2633721.5989230736</v>
      </c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1">
        <f t="shared" si="73"/>
        <v>587813.79747803358</v>
      </c>
      <c r="CU236" s="2"/>
      <c r="CV236" s="2"/>
      <c r="CW236" s="2"/>
      <c r="CX236" s="1">
        <f t="shared" si="74"/>
        <v>1873458.0199252199</v>
      </c>
      <c r="CY236" s="2"/>
      <c r="CZ236" s="2"/>
      <c r="DA236" s="2"/>
      <c r="DB236" s="2"/>
      <c r="DC236" s="2"/>
      <c r="DD236" s="2"/>
      <c r="DE236" s="1">
        <f t="shared" si="75"/>
        <v>1048846.8724237324</v>
      </c>
      <c r="DF236" s="2"/>
      <c r="DG236" s="2"/>
      <c r="DH236" s="2"/>
      <c r="DI236" s="2"/>
      <c r="DJ236" s="2"/>
      <c r="DK236" s="2"/>
      <c r="DL236" s="1">
        <f t="shared" si="76"/>
        <v>1234769.2963889495</v>
      </c>
      <c r="DM236" s="2"/>
      <c r="DN236" s="2"/>
      <c r="DO236" s="2"/>
      <c r="DP236" s="2"/>
      <c r="DQ236" s="2"/>
      <c r="DR236" s="2"/>
      <c r="DS236" s="1">
        <f t="shared" si="77"/>
        <v>983542.81077310094</v>
      </c>
      <c r="DT236" s="2"/>
      <c r="DU236" s="2"/>
      <c r="DV236" s="2"/>
      <c r="DW236" s="2"/>
      <c r="DX236" s="2"/>
      <c r="DY236" s="2"/>
      <c r="DZ236" s="2"/>
      <c r="EA236" s="2"/>
      <c r="EB236" s="1">
        <f t="shared" si="78"/>
        <v>115210.91858806107</v>
      </c>
      <c r="EC236" s="2"/>
      <c r="ED236" s="2"/>
      <c r="EE236" s="1">
        <f t="shared" si="79"/>
        <v>155992.18346505187</v>
      </c>
      <c r="EF236" s="2"/>
      <c r="EG236" s="1">
        <f t="shared" si="79"/>
        <v>559234.81394372857</v>
      </c>
      <c r="EH236" s="2"/>
      <c r="HW236" s="4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1">
        <f t="shared" si="80"/>
        <v>3405368.1153449425</v>
      </c>
      <c r="LU236" s="1">
        <f t="shared" si="81"/>
        <v>2506259.5579400747</v>
      </c>
    </row>
    <row r="237" spans="1:333">
      <c r="A237" s="1">
        <v>1600</v>
      </c>
      <c r="B237" s="1">
        <f t="shared" si="64"/>
        <v>15834873.277472313</v>
      </c>
      <c r="C237" s="1">
        <f t="shared" si="66"/>
        <v>4282172.9765634956</v>
      </c>
      <c r="K237" s="1">
        <f t="shared" si="67"/>
        <v>2069589.4017627651</v>
      </c>
      <c r="U237" s="1">
        <f t="shared" si="68"/>
        <v>2159745.7039942057</v>
      </c>
      <c r="AH237" s="1">
        <f t="shared" si="69"/>
        <v>4685186.8494887678</v>
      </c>
      <c r="AT237" s="1">
        <f t="shared" si="70"/>
        <v>1576771.6484094805</v>
      </c>
      <c r="BC237" s="1">
        <f t="shared" si="71"/>
        <v>1061406.6972535972</v>
      </c>
      <c r="BI237" s="4">
        <f t="shared" si="65"/>
        <v>11106554.123847637</v>
      </c>
      <c r="BJ237" s="2">
        <f t="shared" si="82"/>
        <v>1051473.6198951902</v>
      </c>
      <c r="BK237" s="2"/>
      <c r="BL237" s="2"/>
      <c r="BM237" s="2"/>
      <c r="BN237" s="2"/>
      <c r="BO237" s="2"/>
      <c r="BP237" s="2"/>
      <c r="BQ237" s="2">
        <f t="shared" si="63"/>
        <v>817798.47380118002</v>
      </c>
      <c r="BR237" s="2"/>
      <c r="BS237" s="2"/>
      <c r="BT237" s="2"/>
      <c r="BU237" s="2"/>
      <c r="BV237" s="2"/>
      <c r="BW237" s="2"/>
      <c r="BX237" s="2"/>
      <c r="BY237" s="2"/>
      <c r="BZ237" s="1">
        <f t="shared" si="72"/>
        <v>2652157.6501155347</v>
      </c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1">
        <f t="shared" si="73"/>
        <v>589812.3643894589</v>
      </c>
      <c r="CU237" s="2"/>
      <c r="CV237" s="2"/>
      <c r="CW237" s="2"/>
      <c r="CX237" s="1">
        <f t="shared" si="74"/>
        <v>1879827.7771929658</v>
      </c>
      <c r="CY237" s="2"/>
      <c r="CZ237" s="2"/>
      <c r="DA237" s="2"/>
      <c r="DB237" s="2"/>
      <c r="DC237" s="2"/>
      <c r="DD237" s="2"/>
      <c r="DE237" s="1">
        <f t="shared" si="75"/>
        <v>1052412.9517899731</v>
      </c>
      <c r="DF237" s="2"/>
      <c r="DG237" s="2"/>
      <c r="DH237" s="2"/>
      <c r="DI237" s="2"/>
      <c r="DJ237" s="2"/>
      <c r="DK237" s="2"/>
      <c r="DL237" s="1">
        <f t="shared" si="76"/>
        <v>1238967.511996672</v>
      </c>
      <c r="DM237" s="2"/>
      <c r="DN237" s="2"/>
      <c r="DO237" s="2"/>
      <c r="DP237" s="2"/>
      <c r="DQ237" s="2"/>
      <c r="DR237" s="2"/>
      <c r="DS237" s="1">
        <f t="shared" si="77"/>
        <v>990427.6104485126</v>
      </c>
      <c r="DT237" s="2"/>
      <c r="DU237" s="2"/>
      <c r="DV237" s="2"/>
      <c r="DW237" s="2"/>
      <c r="DX237" s="2"/>
      <c r="DY237" s="2"/>
      <c r="DZ237" s="2"/>
      <c r="EA237" s="2"/>
      <c r="EB237" s="1">
        <f t="shared" si="78"/>
        <v>116017.39501817749</v>
      </c>
      <c r="EC237" s="2"/>
      <c r="ED237" s="2"/>
      <c r="EE237" s="1">
        <f t="shared" si="79"/>
        <v>156522.55688883306</v>
      </c>
      <c r="EF237" s="2"/>
      <c r="EG237" s="1">
        <f t="shared" si="79"/>
        <v>561136.21231113723</v>
      </c>
      <c r="EH237" s="2"/>
      <c r="HW237" s="4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1">
        <f t="shared" si="80"/>
        <v>3416946.3669371158</v>
      </c>
      <c r="LU237" s="1">
        <f t="shared" si="81"/>
        <v>2514780.8404370709</v>
      </c>
    </row>
    <row r="238" spans="1:333">
      <c r="A238" s="1">
        <v>1601</v>
      </c>
      <c r="B238" s="1">
        <f t="shared" si="64"/>
        <v>15893364.11523205</v>
      </c>
      <c r="C238" s="1">
        <f t="shared" si="66"/>
        <v>4296732.3646838116</v>
      </c>
      <c r="K238" s="1">
        <f t="shared" si="67"/>
        <v>2078902.5540706974</v>
      </c>
      <c r="U238" s="1">
        <f t="shared" si="68"/>
        <v>2169464.5596621796</v>
      </c>
      <c r="AH238" s="1">
        <f t="shared" si="69"/>
        <v>4701116.4847770296</v>
      </c>
      <c r="AT238" s="1">
        <f t="shared" si="70"/>
        <v>1582132.6720140728</v>
      </c>
      <c r="BC238" s="1">
        <f t="shared" si="71"/>
        <v>1065015.4800242595</v>
      </c>
      <c r="BI238" s="4">
        <f t="shared" si="65"/>
        <v>11159891.886520822</v>
      </c>
      <c r="BJ238" s="2">
        <f t="shared" si="82"/>
        <v>1055784.6617367605</v>
      </c>
      <c r="BK238" s="2"/>
      <c r="BL238" s="2"/>
      <c r="BM238" s="2"/>
      <c r="BN238" s="2"/>
      <c r="BO238" s="2"/>
      <c r="BP238" s="2"/>
      <c r="BQ238" s="2">
        <f t="shared" si="63"/>
        <v>821887.46617018583</v>
      </c>
      <c r="BR238" s="2"/>
      <c r="BS238" s="2"/>
      <c r="BT238" s="2"/>
      <c r="BU238" s="2"/>
      <c r="BV238" s="2"/>
      <c r="BW238" s="2"/>
      <c r="BX238" s="2"/>
      <c r="BY238" s="2"/>
      <c r="BZ238" s="1">
        <f t="shared" si="72"/>
        <v>2670722.7536663432</v>
      </c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1">
        <f t="shared" si="73"/>
        <v>591817.72642838315</v>
      </c>
      <c r="CU238" s="2"/>
      <c r="CV238" s="2"/>
      <c r="CW238" s="2"/>
      <c r="CX238" s="1">
        <f t="shared" si="74"/>
        <v>1886219.1916354222</v>
      </c>
      <c r="CY238" s="2"/>
      <c r="CZ238" s="2"/>
      <c r="DA238" s="2"/>
      <c r="DB238" s="2"/>
      <c r="DC238" s="2"/>
      <c r="DD238" s="2"/>
      <c r="DE238" s="1">
        <f t="shared" si="75"/>
        <v>1055991.1558260589</v>
      </c>
      <c r="DF238" s="2"/>
      <c r="DG238" s="2"/>
      <c r="DH238" s="2"/>
      <c r="DI238" s="2"/>
      <c r="DJ238" s="2"/>
      <c r="DK238" s="2"/>
      <c r="DL238" s="1">
        <f t="shared" si="76"/>
        <v>1243180.0015374608</v>
      </c>
      <c r="DM238" s="2"/>
      <c r="DN238" s="2"/>
      <c r="DO238" s="2"/>
      <c r="DP238" s="2"/>
      <c r="DQ238" s="2"/>
      <c r="DR238" s="2"/>
      <c r="DS238" s="1">
        <f t="shared" si="77"/>
        <v>997360.60372165206</v>
      </c>
      <c r="DT238" s="2"/>
      <c r="DU238" s="2"/>
      <c r="DV238" s="2"/>
      <c r="DW238" s="2"/>
      <c r="DX238" s="2"/>
      <c r="DY238" s="2"/>
      <c r="DZ238" s="2"/>
      <c r="EA238" s="2"/>
      <c r="EB238" s="1">
        <f t="shared" si="78"/>
        <v>116829.51678330472</v>
      </c>
      <c r="EC238" s="2"/>
      <c r="ED238" s="2"/>
      <c r="EE238" s="1">
        <f t="shared" si="79"/>
        <v>157054.73358225511</v>
      </c>
      <c r="EF238" s="2"/>
      <c r="EG238" s="1">
        <f t="shared" si="79"/>
        <v>563044.0754329951</v>
      </c>
      <c r="EH238" s="2"/>
      <c r="HW238" s="4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1">
        <f t="shared" si="80"/>
        <v>3428563.9845847022</v>
      </c>
      <c r="LU238" s="1">
        <f t="shared" si="81"/>
        <v>2523331.095294557</v>
      </c>
    </row>
    <row r="239" spans="1:333">
      <c r="A239" s="1">
        <v>1602</v>
      </c>
      <c r="B239" s="1">
        <f t="shared" si="64"/>
        <v>15952074.757048946</v>
      </c>
      <c r="C239" s="1">
        <f t="shared" si="66"/>
        <v>4311341.254723737</v>
      </c>
      <c r="K239" s="1">
        <f t="shared" si="67"/>
        <v>2088257.6155640155</v>
      </c>
      <c r="U239" s="1">
        <f t="shared" si="68"/>
        <v>2179227.1501806593</v>
      </c>
      <c r="AH239" s="1">
        <f t="shared" si="69"/>
        <v>4717100.2808252722</v>
      </c>
      <c r="AT239" s="1">
        <f t="shared" si="70"/>
        <v>1587511.9230989206</v>
      </c>
      <c r="BC239" s="1">
        <f t="shared" si="71"/>
        <v>1068636.532656342</v>
      </c>
      <c r="BI239" s="4">
        <f t="shared" si="65"/>
        <v>11213515.274491096</v>
      </c>
      <c r="BJ239" s="2">
        <f t="shared" si="82"/>
        <v>1060113.3788498812</v>
      </c>
      <c r="BK239" s="2"/>
      <c r="BL239" s="2"/>
      <c r="BM239" s="2"/>
      <c r="BN239" s="2"/>
      <c r="BO239" s="2"/>
      <c r="BP239" s="2"/>
      <c r="BQ239" s="2">
        <f t="shared" si="63"/>
        <v>825996.90350103669</v>
      </c>
      <c r="BR239" s="2"/>
      <c r="BS239" s="2"/>
      <c r="BT239" s="2"/>
      <c r="BU239" s="2"/>
      <c r="BV239" s="2"/>
      <c r="BW239" s="2"/>
      <c r="BX239" s="2"/>
      <c r="BY239" s="2"/>
      <c r="BZ239" s="1">
        <f t="shared" si="72"/>
        <v>2689417.8129420071</v>
      </c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1">
        <f t="shared" si="73"/>
        <v>593829.90669823973</v>
      </c>
      <c r="CU239" s="2"/>
      <c r="CV239" s="2"/>
      <c r="CW239" s="2"/>
      <c r="CX239" s="1">
        <f t="shared" si="74"/>
        <v>1892632.3368869827</v>
      </c>
      <c r="CY239" s="2"/>
      <c r="CZ239" s="2"/>
      <c r="DA239" s="2"/>
      <c r="DB239" s="2"/>
      <c r="DC239" s="2"/>
      <c r="DD239" s="2"/>
      <c r="DE239" s="1">
        <f t="shared" si="75"/>
        <v>1059581.5257558676</v>
      </c>
      <c r="DF239" s="2"/>
      <c r="DG239" s="2"/>
      <c r="DH239" s="2"/>
      <c r="DI239" s="2"/>
      <c r="DJ239" s="2"/>
      <c r="DK239" s="2"/>
      <c r="DL239" s="1">
        <f t="shared" si="76"/>
        <v>1247406.8135426883</v>
      </c>
      <c r="DM239" s="2"/>
      <c r="DN239" s="2"/>
      <c r="DO239" s="2"/>
      <c r="DP239" s="2"/>
      <c r="DQ239" s="2"/>
      <c r="DR239" s="2"/>
      <c r="DS239" s="1">
        <f t="shared" si="77"/>
        <v>1004342.1279477035</v>
      </c>
      <c r="DT239" s="2"/>
      <c r="DU239" s="2"/>
      <c r="DV239" s="2"/>
      <c r="DW239" s="2"/>
      <c r="DX239" s="2"/>
      <c r="DY239" s="2"/>
      <c r="DZ239" s="2"/>
      <c r="EA239" s="2"/>
      <c r="EB239" s="1">
        <f t="shared" si="78"/>
        <v>117647.32340078783</v>
      </c>
      <c r="EC239" s="2"/>
      <c r="ED239" s="2"/>
      <c r="EE239" s="1">
        <f t="shared" si="79"/>
        <v>157588.71967643479</v>
      </c>
      <c r="EF239" s="2"/>
      <c r="EG239" s="1">
        <f t="shared" si="79"/>
        <v>564958.42528946733</v>
      </c>
      <c r="EH239" s="2"/>
      <c r="HW239" s="4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1">
        <f t="shared" si="80"/>
        <v>3440221.1021322906</v>
      </c>
      <c r="LU239" s="1">
        <f t="shared" si="81"/>
        <v>2531910.4210185586</v>
      </c>
    </row>
    <row r="240" spans="1:333">
      <c r="A240" s="1">
        <v>1603</v>
      </c>
      <c r="B240" s="1">
        <f t="shared" si="64"/>
        <v>16011006.044465231</v>
      </c>
      <c r="C240" s="1">
        <f t="shared" si="66"/>
        <v>4325999.8149897978</v>
      </c>
      <c r="K240" s="1">
        <f t="shared" si="67"/>
        <v>2097654.7748340536</v>
      </c>
      <c r="U240" s="1">
        <f t="shared" si="68"/>
        <v>2189033.6723564719</v>
      </c>
      <c r="AH240" s="1">
        <f t="shared" si="69"/>
        <v>4733138.4217800787</v>
      </c>
      <c r="AT240" s="1">
        <f t="shared" si="70"/>
        <v>1592909.463637457</v>
      </c>
      <c r="BC240" s="1">
        <f t="shared" si="71"/>
        <v>1072269.8968673737</v>
      </c>
      <c r="BI240" s="4">
        <f t="shared" si="65"/>
        <v>11267425.96698661</v>
      </c>
      <c r="BJ240" s="2">
        <f t="shared" si="82"/>
        <v>1064459.8437031657</v>
      </c>
      <c r="BK240" s="2"/>
      <c r="BL240" s="2"/>
      <c r="BM240" s="2"/>
      <c r="BN240" s="2"/>
      <c r="BO240" s="2"/>
      <c r="BP240" s="2"/>
      <c r="BQ240" s="2">
        <f t="shared" si="63"/>
        <v>830126.88801854174</v>
      </c>
      <c r="BR240" s="2"/>
      <c r="BS240" s="2"/>
      <c r="BT240" s="2"/>
      <c r="BU240" s="2"/>
      <c r="BV240" s="2"/>
      <c r="BW240" s="2"/>
      <c r="BX240" s="2"/>
      <c r="BY240" s="2"/>
      <c r="BZ240" s="1">
        <f t="shared" si="72"/>
        <v>2708243.7376326011</v>
      </c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1">
        <f t="shared" si="73"/>
        <v>595848.9283810138</v>
      </c>
      <c r="CU240" s="2"/>
      <c r="CV240" s="2"/>
      <c r="CW240" s="2"/>
      <c r="CX240" s="1">
        <f t="shared" si="74"/>
        <v>1899067.2868323985</v>
      </c>
      <c r="CY240" s="2"/>
      <c r="CZ240" s="2"/>
      <c r="DA240" s="2"/>
      <c r="DB240" s="2"/>
      <c r="DC240" s="2"/>
      <c r="DD240" s="2"/>
      <c r="DE240" s="1">
        <f t="shared" si="75"/>
        <v>1063184.1029434376</v>
      </c>
      <c r="DF240" s="2"/>
      <c r="DG240" s="2"/>
      <c r="DH240" s="2"/>
      <c r="DI240" s="2"/>
      <c r="DJ240" s="2"/>
      <c r="DK240" s="2"/>
      <c r="DL240" s="1">
        <f t="shared" si="76"/>
        <v>1251647.9967087335</v>
      </c>
      <c r="DM240" s="2"/>
      <c r="DN240" s="2"/>
      <c r="DO240" s="2"/>
      <c r="DP240" s="2"/>
      <c r="DQ240" s="2"/>
      <c r="DR240" s="2"/>
      <c r="DS240" s="1">
        <f t="shared" si="77"/>
        <v>1011372.5228433373</v>
      </c>
      <c r="DT240" s="2"/>
      <c r="DU240" s="2"/>
      <c r="DV240" s="2"/>
      <c r="DW240" s="2"/>
      <c r="DX240" s="2"/>
      <c r="DY240" s="2"/>
      <c r="DZ240" s="2"/>
      <c r="EA240" s="2"/>
      <c r="EB240" s="1">
        <f t="shared" si="78"/>
        <v>118470.85466459334</v>
      </c>
      <c r="EC240" s="2"/>
      <c r="ED240" s="2"/>
      <c r="EE240" s="1">
        <f t="shared" si="79"/>
        <v>158124.52132333469</v>
      </c>
      <c r="EF240" s="2"/>
      <c r="EG240" s="1">
        <f t="shared" si="79"/>
        <v>566879.28393545153</v>
      </c>
      <c r="EH240" s="2"/>
      <c r="HW240" s="4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1">
        <f t="shared" si="80"/>
        <v>3451917.8538795407</v>
      </c>
      <c r="LU240" s="1">
        <f t="shared" si="81"/>
        <v>2540518.9164500218</v>
      </c>
    </row>
    <row r="241" spans="1:333">
      <c r="A241" s="1">
        <v>1604</v>
      </c>
      <c r="B241" s="1">
        <f t="shared" si="64"/>
        <v>16070158.822308328</v>
      </c>
      <c r="C241" s="1">
        <f t="shared" si="66"/>
        <v>4340708.2143607633</v>
      </c>
      <c r="K241" s="1">
        <f t="shared" si="67"/>
        <v>2107094.2213208065</v>
      </c>
      <c r="U241" s="1">
        <f t="shared" si="68"/>
        <v>2198884.323882076</v>
      </c>
      <c r="AH241" s="1">
        <f t="shared" si="69"/>
        <v>4749231.0924141314</v>
      </c>
      <c r="AT241" s="1">
        <f t="shared" si="70"/>
        <v>1598325.3558138246</v>
      </c>
      <c r="BC241" s="1">
        <f t="shared" si="71"/>
        <v>1075915.614516723</v>
      </c>
      <c r="BI241" s="4">
        <f t="shared" si="65"/>
        <v>11321625.65380029</v>
      </c>
      <c r="BJ241" s="2">
        <f t="shared" si="82"/>
        <v>1068824.1290623485</v>
      </c>
      <c r="BK241" s="2"/>
      <c r="BL241" s="2"/>
      <c r="BM241" s="2"/>
      <c r="BN241" s="2"/>
      <c r="BO241" s="2"/>
      <c r="BP241" s="2"/>
      <c r="BQ241" s="2">
        <f t="shared" si="63"/>
        <v>834277.52245863434</v>
      </c>
      <c r="BR241" s="2"/>
      <c r="BS241" s="2"/>
      <c r="BT241" s="2"/>
      <c r="BU241" s="2"/>
      <c r="BV241" s="2"/>
      <c r="BW241" s="2"/>
      <c r="BX241" s="2"/>
      <c r="BY241" s="2"/>
      <c r="BZ241" s="1">
        <f t="shared" si="72"/>
        <v>2727201.4437960288</v>
      </c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1">
        <f t="shared" si="73"/>
        <v>597874.81473750924</v>
      </c>
      <c r="CU241" s="2"/>
      <c r="CV241" s="2"/>
      <c r="CW241" s="2"/>
      <c r="CX241" s="1">
        <f t="shared" si="74"/>
        <v>1905524.1156076288</v>
      </c>
      <c r="CY241" s="2"/>
      <c r="CZ241" s="2"/>
      <c r="DA241" s="2"/>
      <c r="DB241" s="2"/>
      <c r="DC241" s="2"/>
      <c r="DD241" s="2"/>
      <c r="DE241" s="1">
        <f t="shared" si="75"/>
        <v>1066798.9288934453</v>
      </c>
      <c r="DF241" s="2"/>
      <c r="DG241" s="2"/>
      <c r="DH241" s="2"/>
      <c r="DI241" s="2"/>
      <c r="DJ241" s="2"/>
      <c r="DK241" s="2"/>
      <c r="DL241" s="1">
        <f t="shared" si="76"/>
        <v>1255903.5998975432</v>
      </c>
      <c r="DM241" s="2"/>
      <c r="DN241" s="2"/>
      <c r="DO241" s="2"/>
      <c r="DP241" s="2"/>
      <c r="DQ241" s="2"/>
      <c r="DR241" s="2"/>
      <c r="DS241" s="1">
        <f t="shared" si="77"/>
        <v>1018452.1305032405</v>
      </c>
      <c r="DT241" s="2"/>
      <c r="DU241" s="2"/>
      <c r="DV241" s="2"/>
      <c r="DW241" s="2"/>
      <c r="DX241" s="2"/>
      <c r="DY241" s="2"/>
      <c r="DZ241" s="2"/>
      <c r="EA241" s="2"/>
      <c r="EB241" s="1">
        <f t="shared" si="78"/>
        <v>119300.15064724548</v>
      </c>
      <c r="EC241" s="2"/>
      <c r="ED241" s="2"/>
      <c r="EE241" s="1">
        <f t="shared" si="79"/>
        <v>158662.14469583402</v>
      </c>
      <c r="EF241" s="2"/>
      <c r="EG241" s="1">
        <f t="shared" si="79"/>
        <v>568806.67350083205</v>
      </c>
      <c r="EH241" s="2"/>
      <c r="HW241" s="4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1">
        <f t="shared" si="80"/>
        <v>3463654.3745827312</v>
      </c>
      <c r="LU241" s="1">
        <f t="shared" si="81"/>
        <v>2549156.680765952</v>
      </c>
    </row>
    <row r="242" spans="1:333">
      <c r="A242" s="1">
        <v>1605</v>
      </c>
      <c r="B242" s="1">
        <f t="shared" si="64"/>
        <v>16129533.938703896</v>
      </c>
      <c r="C242" s="1">
        <f t="shared" si="66"/>
        <v>4355466.6222895905</v>
      </c>
      <c r="K242" s="1">
        <f t="shared" si="67"/>
        <v>2116576.1453167503</v>
      </c>
      <c r="U242" s="1">
        <f t="shared" si="68"/>
        <v>2208779.3033395451</v>
      </c>
      <c r="AH242" s="1">
        <f t="shared" si="69"/>
        <v>4765378.4781283401</v>
      </c>
      <c r="AT242" s="1">
        <f t="shared" si="70"/>
        <v>1603759.6620235916</v>
      </c>
      <c r="BC242" s="1">
        <f t="shared" si="71"/>
        <v>1079573.72760608</v>
      </c>
      <c r="BI242" s="4">
        <f t="shared" si="65"/>
        <v>11376116.035359297</v>
      </c>
      <c r="BJ242" s="2">
        <f t="shared" si="82"/>
        <v>1073206.3079915042</v>
      </c>
      <c r="BK242" s="2"/>
      <c r="BL242" s="2"/>
      <c r="BM242" s="2"/>
      <c r="BN242" s="2"/>
      <c r="BO242" s="2"/>
      <c r="BP242" s="2"/>
      <c r="BQ242" s="2">
        <f t="shared" si="63"/>
        <v>838448.91007092746</v>
      </c>
      <c r="BR242" s="2"/>
      <c r="BS242" s="2"/>
      <c r="BT242" s="2"/>
      <c r="BU242" s="2"/>
      <c r="BV242" s="2"/>
      <c r="BW242" s="2"/>
      <c r="BX242" s="2"/>
      <c r="BY242" s="2"/>
      <c r="BZ242" s="1">
        <f t="shared" si="72"/>
        <v>2746291.8539026007</v>
      </c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1">
        <f t="shared" si="73"/>
        <v>599907.5891076168</v>
      </c>
      <c r="CU242" s="2"/>
      <c r="CV242" s="2"/>
      <c r="CW242" s="2"/>
      <c r="CX242" s="1">
        <f t="shared" si="74"/>
        <v>1912002.8976006948</v>
      </c>
      <c r="CY242" s="2"/>
      <c r="CZ242" s="2"/>
      <c r="DA242" s="2"/>
      <c r="DB242" s="2"/>
      <c r="DC242" s="2"/>
      <c r="DD242" s="2"/>
      <c r="DE242" s="1">
        <f t="shared" si="75"/>
        <v>1070426.0452516831</v>
      </c>
      <c r="DF242" s="2"/>
      <c r="DG242" s="2"/>
      <c r="DH242" s="2"/>
      <c r="DI242" s="2"/>
      <c r="DJ242" s="2"/>
      <c r="DK242" s="2"/>
      <c r="DL242" s="1">
        <f t="shared" si="76"/>
        <v>1260173.672137195</v>
      </c>
      <c r="DM242" s="2"/>
      <c r="DN242" s="2"/>
      <c r="DO242" s="2"/>
      <c r="DP242" s="2"/>
      <c r="DQ242" s="2"/>
      <c r="DR242" s="2"/>
      <c r="DS242" s="1">
        <f t="shared" si="77"/>
        <v>1025581.2954167631</v>
      </c>
      <c r="DT242" s="2"/>
      <c r="DU242" s="2"/>
      <c r="DV242" s="2"/>
      <c r="DW242" s="2"/>
      <c r="DX242" s="2"/>
      <c r="DY242" s="2"/>
      <c r="DZ242" s="2"/>
      <c r="EA242" s="2"/>
      <c r="EB242" s="1">
        <f t="shared" si="78"/>
        <v>120135.25170177619</v>
      </c>
      <c r="EC242" s="2"/>
      <c r="ED242" s="2"/>
      <c r="EE242" s="1">
        <f t="shared" si="79"/>
        <v>159201.59598779987</v>
      </c>
      <c r="EF242" s="2"/>
      <c r="EG242" s="1">
        <f t="shared" si="79"/>
        <v>570740.6161907349</v>
      </c>
      <c r="EH242" s="2"/>
      <c r="HW242" s="4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1">
        <f t="shared" si="80"/>
        <v>3475430.7994563128</v>
      </c>
      <c r="LU242" s="1">
        <f t="shared" si="81"/>
        <v>2557823.8134805565</v>
      </c>
    </row>
    <row r="243" spans="1:333">
      <c r="A243" s="1">
        <v>1606</v>
      </c>
      <c r="B243" s="1">
        <f t="shared" si="64"/>
        <v>16189132.245089013</v>
      </c>
      <c r="C243" s="1">
        <f t="shared" si="66"/>
        <v>4370275.2088053757</v>
      </c>
      <c r="K243" s="1">
        <f t="shared" si="67"/>
        <v>2126100.7379706753</v>
      </c>
      <c r="U243" s="1">
        <f t="shared" si="68"/>
        <v>2218718.810204573</v>
      </c>
      <c r="AH243" s="1">
        <f t="shared" si="69"/>
        <v>4781580.7649539765</v>
      </c>
      <c r="AT243" s="1">
        <f t="shared" si="70"/>
        <v>1609212.444874472</v>
      </c>
      <c r="BC243" s="1">
        <f t="shared" si="71"/>
        <v>1083244.2782799408</v>
      </c>
      <c r="BI243" s="4">
        <f t="shared" si="65"/>
        <v>11430898.822794899</v>
      </c>
      <c r="BJ243" s="2">
        <f t="shared" si="82"/>
        <v>1077606.4538542693</v>
      </c>
      <c r="BK243" s="2"/>
      <c r="BL243" s="2"/>
      <c r="BM243" s="2"/>
      <c r="BN243" s="2"/>
      <c r="BO243" s="2"/>
      <c r="BP243" s="2"/>
      <c r="BQ243" s="2">
        <f t="shared" si="63"/>
        <v>842641.15462128201</v>
      </c>
      <c r="BR243" s="2"/>
      <c r="BS243" s="2"/>
      <c r="BT243" s="2"/>
      <c r="BU243" s="2"/>
      <c r="BV243" s="2"/>
      <c r="BW243" s="2"/>
      <c r="BX243" s="2"/>
      <c r="BY243" s="2"/>
      <c r="BZ243" s="1">
        <f t="shared" si="72"/>
        <v>2765515.8968799184</v>
      </c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1">
        <f t="shared" si="73"/>
        <v>601947.2749105827</v>
      </c>
      <c r="CU243" s="2"/>
      <c r="CV243" s="2"/>
      <c r="CW243" s="2"/>
      <c r="CX243" s="1">
        <f t="shared" si="74"/>
        <v>1918503.7074525373</v>
      </c>
      <c r="CY243" s="2"/>
      <c r="CZ243" s="2"/>
      <c r="DA243" s="2"/>
      <c r="DB243" s="2"/>
      <c r="DC243" s="2"/>
      <c r="DD243" s="2"/>
      <c r="DE243" s="1">
        <f t="shared" si="75"/>
        <v>1074065.4938055389</v>
      </c>
      <c r="DF243" s="2"/>
      <c r="DG243" s="2"/>
      <c r="DH243" s="2"/>
      <c r="DI243" s="2"/>
      <c r="DJ243" s="2"/>
      <c r="DK243" s="2"/>
      <c r="DL243" s="1">
        <f t="shared" si="76"/>
        <v>1264458.2626224617</v>
      </c>
      <c r="DM243" s="2"/>
      <c r="DN243" s="2"/>
      <c r="DO243" s="2"/>
      <c r="DP243" s="2"/>
      <c r="DQ243" s="2"/>
      <c r="DR243" s="2"/>
      <c r="DS243" s="1">
        <f t="shared" si="77"/>
        <v>1032760.3644846802</v>
      </c>
      <c r="DT243" s="2"/>
      <c r="DU243" s="2"/>
      <c r="DV243" s="2"/>
      <c r="DW243" s="2"/>
      <c r="DX243" s="2"/>
      <c r="DY243" s="2"/>
      <c r="DZ243" s="2"/>
      <c r="EA243" s="2"/>
      <c r="EB243" s="1">
        <f t="shared" si="78"/>
        <v>120976.1984636886</v>
      </c>
      <c r="EC243" s="2"/>
      <c r="ED243" s="2"/>
      <c r="EE243" s="1">
        <f t="shared" si="79"/>
        <v>159742.88141415839</v>
      </c>
      <c r="EF243" s="2"/>
      <c r="EG243" s="1">
        <f t="shared" si="79"/>
        <v>572681.1342857834</v>
      </c>
      <c r="EH243" s="2"/>
      <c r="HW243" s="4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1">
        <f t="shared" si="80"/>
        <v>3487247.2641744646</v>
      </c>
      <c r="LU243" s="1">
        <f t="shared" si="81"/>
        <v>2566520.4144463907</v>
      </c>
    </row>
    <row r="244" spans="1:333">
      <c r="A244" s="1">
        <v>1607</v>
      </c>
      <c r="B244" s="1">
        <f t="shared" si="64"/>
        <v>16248954.596225308</v>
      </c>
      <c r="C244" s="1">
        <f t="shared" si="66"/>
        <v>4385134.1445153141</v>
      </c>
      <c r="K244" s="1">
        <f t="shared" si="67"/>
        <v>2135668.1912915432</v>
      </c>
      <c r="U244" s="1">
        <f t="shared" si="68"/>
        <v>2228703.0448504933</v>
      </c>
      <c r="AH244" s="1">
        <f t="shared" si="69"/>
        <v>4797838.13955482</v>
      </c>
      <c r="AT244" s="1">
        <f t="shared" si="70"/>
        <v>1614683.7671870452</v>
      </c>
      <c r="BC244" s="1">
        <f t="shared" si="71"/>
        <v>1086927.3088260926</v>
      </c>
      <c r="BI244" s="4">
        <f t="shared" si="65"/>
        <v>11485975.738012876</v>
      </c>
      <c r="BJ244" s="2">
        <f t="shared" si="82"/>
        <v>1082024.6403150719</v>
      </c>
      <c r="BK244" s="2"/>
      <c r="BL244" s="2"/>
      <c r="BM244" s="2"/>
      <c r="BN244" s="2"/>
      <c r="BO244" s="2"/>
      <c r="BP244" s="2"/>
      <c r="BQ244" s="2">
        <f t="shared" si="63"/>
        <v>846854.36039438832</v>
      </c>
      <c r="BR244" s="2"/>
      <c r="BS244" s="2"/>
      <c r="BT244" s="2"/>
      <c r="BU244" s="2"/>
      <c r="BV244" s="2"/>
      <c r="BW244" s="2"/>
      <c r="BX244" s="2"/>
      <c r="BY244" s="2"/>
      <c r="BZ244" s="1">
        <f t="shared" si="72"/>
        <v>2784874.5081580775</v>
      </c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1">
        <f t="shared" si="73"/>
        <v>603993.89564527874</v>
      </c>
      <c r="CU244" s="2"/>
      <c r="CV244" s="2"/>
      <c r="CW244" s="2"/>
      <c r="CX244" s="1">
        <f t="shared" si="74"/>
        <v>1925026.620057876</v>
      </c>
      <c r="CY244" s="2"/>
      <c r="CZ244" s="2"/>
      <c r="DA244" s="2"/>
      <c r="DB244" s="2"/>
      <c r="DC244" s="2"/>
      <c r="DD244" s="2"/>
      <c r="DE244" s="1">
        <f t="shared" si="75"/>
        <v>1077717.3164844778</v>
      </c>
      <c r="DF244" s="2"/>
      <c r="DG244" s="2"/>
      <c r="DH244" s="2"/>
      <c r="DI244" s="2"/>
      <c r="DJ244" s="2"/>
      <c r="DK244" s="2"/>
      <c r="DL244" s="1">
        <f t="shared" si="76"/>
        <v>1268757.4207153781</v>
      </c>
      <c r="DM244" s="2"/>
      <c r="DN244" s="2"/>
      <c r="DO244" s="2"/>
      <c r="DP244" s="2"/>
      <c r="DQ244" s="2"/>
      <c r="DR244" s="2"/>
      <c r="DS244" s="1">
        <f t="shared" si="77"/>
        <v>1039989.6870360728</v>
      </c>
      <c r="DT244" s="2"/>
      <c r="DU244" s="2"/>
      <c r="DV244" s="2"/>
      <c r="DW244" s="2"/>
      <c r="DX244" s="2"/>
      <c r="DY244" s="2"/>
      <c r="DZ244" s="2"/>
      <c r="EA244" s="2"/>
      <c r="EB244" s="1">
        <f t="shared" si="78"/>
        <v>121823.03185293441</v>
      </c>
      <c r="EC244" s="2"/>
      <c r="ED244" s="2"/>
      <c r="EE244" s="1">
        <f t="shared" si="79"/>
        <v>160286.00721096655</v>
      </c>
      <c r="EF244" s="2"/>
      <c r="EG244" s="1">
        <f t="shared" si="79"/>
        <v>574628.2501423551</v>
      </c>
      <c r="EH244" s="2"/>
      <c r="HW244" s="4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1">
        <f t="shared" si="80"/>
        <v>3499103.9048726582</v>
      </c>
      <c r="LU244" s="1">
        <f t="shared" si="81"/>
        <v>2575246.5838555088</v>
      </c>
    </row>
    <row r="245" spans="1:333">
      <c r="A245" s="1">
        <v>1608</v>
      </c>
      <c r="B245" s="1">
        <f t="shared" si="64"/>
        <v>16309001.850212229</v>
      </c>
      <c r="C245" s="1">
        <f t="shared" si="66"/>
        <v>4400043.6006066669</v>
      </c>
      <c r="K245" s="1">
        <f t="shared" si="67"/>
        <v>2145278.6981523549</v>
      </c>
      <c r="U245" s="1">
        <f t="shared" si="68"/>
        <v>2238732.2085523205</v>
      </c>
      <c r="AH245" s="1">
        <f t="shared" si="69"/>
        <v>4814150.7892293064</v>
      </c>
      <c r="AT245" s="1">
        <f t="shared" si="70"/>
        <v>1620173.6919954813</v>
      </c>
      <c r="BC245" s="1">
        <f t="shared" si="71"/>
        <v>1090622.8616761013</v>
      </c>
      <c r="BI245" s="4">
        <f t="shared" si="65"/>
        <v>11541348.513764342</v>
      </c>
      <c r="BJ245" s="2">
        <f t="shared" si="82"/>
        <v>1086460.9413403636</v>
      </c>
      <c r="BK245" s="2"/>
      <c r="BL245" s="2"/>
      <c r="BM245" s="2"/>
      <c r="BN245" s="2"/>
      <c r="BO245" s="2"/>
      <c r="BP245" s="2"/>
      <c r="BQ245" s="2">
        <f t="shared" si="63"/>
        <v>851088.63219636015</v>
      </c>
      <c r="BR245" s="2"/>
      <c r="BS245" s="2"/>
      <c r="BT245" s="2"/>
      <c r="BU245" s="2"/>
      <c r="BV245" s="2"/>
      <c r="BW245" s="2"/>
      <c r="BX245" s="2"/>
      <c r="BY245" s="2"/>
      <c r="BZ245" s="1">
        <f t="shared" si="72"/>
        <v>2804368.6297151837</v>
      </c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1">
        <f t="shared" si="73"/>
        <v>606047.47489047272</v>
      </c>
      <c r="CU245" s="2"/>
      <c r="CV245" s="2"/>
      <c r="CW245" s="2"/>
      <c r="CX245" s="1">
        <f t="shared" si="74"/>
        <v>1931571.710566073</v>
      </c>
      <c r="CY245" s="2"/>
      <c r="CZ245" s="2"/>
      <c r="DA245" s="2"/>
      <c r="DB245" s="2"/>
      <c r="DC245" s="2"/>
      <c r="DD245" s="2"/>
      <c r="DE245" s="1">
        <f t="shared" si="75"/>
        <v>1081381.5553605251</v>
      </c>
      <c r="DF245" s="2"/>
      <c r="DG245" s="2"/>
      <c r="DH245" s="2"/>
      <c r="DI245" s="2"/>
      <c r="DJ245" s="2"/>
      <c r="DK245" s="2"/>
      <c r="DL245" s="1">
        <f t="shared" si="76"/>
        <v>1273071.1959458105</v>
      </c>
      <c r="DM245" s="2"/>
      <c r="DN245" s="2"/>
      <c r="DO245" s="2"/>
      <c r="DP245" s="2"/>
      <c r="DQ245" s="2"/>
      <c r="DR245" s="2"/>
      <c r="DS245" s="1">
        <f t="shared" si="77"/>
        <v>1047269.6148453252</v>
      </c>
      <c r="DT245" s="2"/>
      <c r="DU245" s="2"/>
      <c r="DV245" s="2"/>
      <c r="DW245" s="2"/>
      <c r="DX245" s="2"/>
      <c r="DY245" s="2"/>
      <c r="DZ245" s="2"/>
      <c r="EA245" s="2"/>
      <c r="EB245" s="1">
        <f t="shared" si="78"/>
        <v>122675.79307590493</v>
      </c>
      <c r="EC245" s="2"/>
      <c r="ED245" s="2"/>
      <c r="EE245" s="1">
        <f t="shared" si="79"/>
        <v>160830.97963548385</v>
      </c>
      <c r="EF245" s="2"/>
      <c r="EG245" s="1">
        <f t="shared" si="79"/>
        <v>576581.9861928391</v>
      </c>
      <c r="EH245" s="2"/>
      <c r="HW245" s="4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1">
        <f t="shared" si="80"/>
        <v>3511000.8581492254</v>
      </c>
      <c r="LU245" s="1">
        <f t="shared" si="81"/>
        <v>2584002.4222406177</v>
      </c>
    </row>
    <row r="246" spans="1:333">
      <c r="A246" s="1">
        <v>1609</v>
      </c>
      <c r="B246" s="1">
        <f t="shared" si="64"/>
        <v>16369274.868500326</v>
      </c>
      <c r="C246" s="1">
        <f t="shared" si="66"/>
        <v>4415003.7488487298</v>
      </c>
      <c r="K246" s="1">
        <f t="shared" si="67"/>
        <v>2154932.4522940405</v>
      </c>
      <c r="U246" s="1">
        <f t="shared" si="68"/>
        <v>2248806.5034908056</v>
      </c>
      <c r="AH246" s="1">
        <f t="shared" si="69"/>
        <v>4830518.9019126864</v>
      </c>
      <c r="AT246" s="1">
        <f t="shared" si="70"/>
        <v>1625682.282548266</v>
      </c>
      <c r="BC246" s="1">
        <f t="shared" si="71"/>
        <v>1094330.9794058001</v>
      </c>
      <c r="BI246" s="4">
        <f t="shared" si="65"/>
        <v>11597018.893717084</v>
      </c>
      <c r="BJ246" s="2">
        <f t="shared" si="82"/>
        <v>1090915.4311998591</v>
      </c>
      <c r="BK246" s="2"/>
      <c r="BL246" s="2"/>
      <c r="BM246" s="2"/>
      <c r="BN246" s="2"/>
      <c r="BO246" s="2"/>
      <c r="BP246" s="2"/>
      <c r="BQ246" s="2">
        <f t="shared" si="63"/>
        <v>855344.07535734191</v>
      </c>
      <c r="BR246" s="2"/>
      <c r="BS246" s="2"/>
      <c r="BT246" s="2"/>
      <c r="BU246" s="2"/>
      <c r="BV246" s="2"/>
      <c r="BW246" s="2"/>
      <c r="BX246" s="2"/>
      <c r="BY246" s="2"/>
      <c r="BZ246" s="1">
        <f t="shared" si="72"/>
        <v>2823999.2101231897</v>
      </c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1">
        <f t="shared" si="73"/>
        <v>608108.03630510042</v>
      </c>
      <c r="CU246" s="2"/>
      <c r="CV246" s="2"/>
      <c r="CW246" s="2"/>
      <c r="CX246" s="1">
        <f t="shared" si="74"/>
        <v>1938139.0543819978</v>
      </c>
      <c r="CY246" s="2"/>
      <c r="CZ246" s="2"/>
      <c r="DA246" s="2"/>
      <c r="DB246" s="2"/>
      <c r="DC246" s="2"/>
      <c r="DD246" s="2"/>
      <c r="DE246" s="1">
        <f t="shared" si="75"/>
        <v>1085058.252648751</v>
      </c>
      <c r="DF246" s="2"/>
      <c r="DG246" s="2"/>
      <c r="DH246" s="2"/>
      <c r="DI246" s="2"/>
      <c r="DJ246" s="2"/>
      <c r="DK246" s="2"/>
      <c r="DL246" s="1">
        <f t="shared" si="76"/>
        <v>1277399.6380120264</v>
      </c>
      <c r="DM246" s="2"/>
      <c r="DN246" s="2"/>
      <c r="DO246" s="2"/>
      <c r="DP246" s="2"/>
      <c r="DQ246" s="2"/>
      <c r="DR246" s="2"/>
      <c r="DS246" s="1">
        <f t="shared" si="77"/>
        <v>1054600.5021492424</v>
      </c>
      <c r="DT246" s="2"/>
      <c r="DU246" s="2"/>
      <c r="DV246" s="2"/>
      <c r="DW246" s="2"/>
      <c r="DX246" s="2"/>
      <c r="DY246" s="2"/>
      <c r="DZ246" s="2"/>
      <c r="EA246" s="2"/>
      <c r="EB246" s="1">
        <f t="shared" si="78"/>
        <v>123534.52362743625</v>
      </c>
      <c r="EC246" s="2"/>
      <c r="ED246" s="2"/>
      <c r="EE246" s="1">
        <f t="shared" si="79"/>
        <v>161377.8049662445</v>
      </c>
      <c r="EF246" s="2"/>
      <c r="EG246" s="1">
        <f t="shared" si="79"/>
        <v>578542.36494589481</v>
      </c>
      <c r="EH246" s="2"/>
      <c r="HW246" s="4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1">
        <f t="shared" si="80"/>
        <v>3522938.2610669332</v>
      </c>
      <c r="LU246" s="1">
        <f t="shared" si="81"/>
        <v>2592788.0304762358</v>
      </c>
    </row>
    <row r="247" spans="1:333">
      <c r="A247" s="1">
        <v>1610</v>
      </c>
      <c r="B247" s="1">
        <f t="shared" si="64"/>
        <v>16429774.515904594</v>
      </c>
      <c r="C247" s="1">
        <f t="shared" si="66"/>
        <v>4430014.7615948161</v>
      </c>
      <c r="K247" s="1">
        <f t="shared" si="67"/>
        <v>2164629.6483293637</v>
      </c>
      <c r="U247" s="1">
        <f t="shared" si="68"/>
        <v>2258926.132756514</v>
      </c>
      <c r="AH247" s="1">
        <f t="shared" si="69"/>
        <v>4846942.6661791895</v>
      </c>
      <c r="AT247" s="1">
        <f t="shared" si="70"/>
        <v>1631209.6023089301</v>
      </c>
      <c r="BC247" s="1">
        <f t="shared" si="71"/>
        <v>1098051.7047357799</v>
      </c>
      <c r="BI247" s="4">
        <f t="shared" si="65"/>
        <v>11652988.632527374</v>
      </c>
      <c r="BJ247" s="2">
        <f t="shared" si="82"/>
        <v>1095388.1844677785</v>
      </c>
      <c r="BK247" s="2"/>
      <c r="BL247" s="2"/>
      <c r="BM247" s="2"/>
      <c r="BN247" s="2"/>
      <c r="BO247" s="2"/>
      <c r="BP247" s="2"/>
      <c r="BQ247" s="2">
        <f t="shared" si="63"/>
        <v>859620.79573412857</v>
      </c>
      <c r="BR247" s="2"/>
      <c r="BS247" s="2"/>
      <c r="BT247" s="2"/>
      <c r="BU247" s="2"/>
      <c r="BV247" s="2"/>
      <c r="BW247" s="2"/>
      <c r="BX247" s="2"/>
      <c r="BY247" s="2"/>
      <c r="BZ247" s="1">
        <f t="shared" si="72"/>
        <v>2843767.2045940519</v>
      </c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1">
        <f t="shared" si="73"/>
        <v>610175.60362853785</v>
      </c>
      <c r="CU247" s="2"/>
      <c r="CV247" s="2"/>
      <c r="CW247" s="2"/>
      <c r="CX247" s="1">
        <f t="shared" si="74"/>
        <v>1944728.7271668967</v>
      </c>
      <c r="CY247" s="2"/>
      <c r="CZ247" s="2"/>
      <c r="DA247" s="2"/>
      <c r="DB247" s="2"/>
      <c r="DC247" s="2"/>
      <c r="DD247" s="2"/>
      <c r="DE247" s="1">
        <f t="shared" si="75"/>
        <v>1088747.4507077569</v>
      </c>
      <c r="DF247" s="2"/>
      <c r="DG247" s="2"/>
      <c r="DH247" s="2"/>
      <c r="DI247" s="2"/>
      <c r="DJ247" s="2"/>
      <c r="DK247" s="2"/>
      <c r="DL247" s="1">
        <f t="shared" si="76"/>
        <v>1281742.7967812675</v>
      </c>
      <c r="DM247" s="2"/>
      <c r="DN247" s="2"/>
      <c r="DO247" s="2"/>
      <c r="DP247" s="2"/>
      <c r="DQ247" s="2"/>
      <c r="DR247" s="2"/>
      <c r="DS247" s="1">
        <f t="shared" si="77"/>
        <v>1061982.7056642871</v>
      </c>
      <c r="DT247" s="2"/>
      <c r="DU247" s="2"/>
      <c r="DV247" s="2"/>
      <c r="DW247" s="2"/>
      <c r="DX247" s="2"/>
      <c r="DY247" s="2"/>
      <c r="DZ247" s="2"/>
      <c r="EA247" s="2"/>
      <c r="EB247" s="1">
        <f t="shared" si="78"/>
        <v>124399.26529282829</v>
      </c>
      <c r="EC247" s="2"/>
      <c r="ED247" s="2"/>
      <c r="EE247" s="1">
        <f t="shared" si="79"/>
        <v>161926.48950312973</v>
      </c>
      <c r="EF247" s="2"/>
      <c r="EG247" s="1">
        <f t="shared" si="79"/>
        <v>580509.40898671094</v>
      </c>
      <c r="EH247" s="2"/>
      <c r="HW247" s="4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1">
        <f t="shared" si="80"/>
        <v>3534916.2511545611</v>
      </c>
      <c r="LU247" s="1">
        <f t="shared" si="81"/>
        <v>2601603.5097798551</v>
      </c>
    </row>
    <row r="248" spans="1:333">
      <c r="A248" s="1">
        <v>1611</v>
      </c>
      <c r="B248" s="1">
        <f t="shared" si="64"/>
        <v>16490501.660617866</v>
      </c>
      <c r="C248" s="1">
        <f t="shared" si="66"/>
        <v>4445076.8117842386</v>
      </c>
      <c r="K248" s="1">
        <f t="shared" si="67"/>
        <v>2174370.4817468459</v>
      </c>
      <c r="U248" s="1">
        <f t="shared" si="68"/>
        <v>2269091.3003539182</v>
      </c>
      <c r="AH248" s="1">
        <f t="shared" si="69"/>
        <v>4863422.271244199</v>
      </c>
      <c r="AT248" s="1">
        <f t="shared" si="70"/>
        <v>1636755.7149567807</v>
      </c>
      <c r="BC248" s="1">
        <f t="shared" si="71"/>
        <v>1101785.0805318817</v>
      </c>
      <c r="BI248" s="4">
        <f t="shared" si="65"/>
        <v>11709259.495912254</v>
      </c>
      <c r="BJ248" s="2">
        <f t="shared" si="82"/>
        <v>1099879.2760240964</v>
      </c>
      <c r="BK248" s="2"/>
      <c r="BL248" s="2"/>
      <c r="BM248" s="2"/>
      <c r="BN248" s="2"/>
      <c r="BO248" s="2"/>
      <c r="BP248" s="2"/>
      <c r="BQ248" s="2">
        <f t="shared" si="63"/>
        <v>863918.89971279912</v>
      </c>
      <c r="BR248" s="2"/>
      <c r="BS248" s="2"/>
      <c r="BT248" s="2"/>
      <c r="BU248" s="2"/>
      <c r="BV248" s="2"/>
      <c r="BW248" s="2"/>
      <c r="BX248" s="2"/>
      <c r="BY248" s="2"/>
      <c r="BZ248" s="1">
        <f t="shared" si="72"/>
        <v>2863673.5750262099</v>
      </c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1">
        <f t="shared" si="73"/>
        <v>612250.20068087487</v>
      </c>
      <c r="CU248" s="2"/>
      <c r="CV248" s="2"/>
      <c r="CW248" s="2"/>
      <c r="CX248" s="1">
        <f t="shared" si="74"/>
        <v>1951340.8048392644</v>
      </c>
      <c r="CY248" s="2"/>
      <c r="CZ248" s="2"/>
      <c r="DA248" s="2"/>
      <c r="DB248" s="2"/>
      <c r="DC248" s="2"/>
      <c r="DD248" s="2"/>
      <c r="DE248" s="1">
        <f t="shared" si="75"/>
        <v>1092449.1920401633</v>
      </c>
      <c r="DF248" s="2"/>
      <c r="DG248" s="2"/>
      <c r="DH248" s="2"/>
      <c r="DI248" s="2"/>
      <c r="DJ248" s="2"/>
      <c r="DK248" s="2"/>
      <c r="DL248" s="1">
        <f t="shared" si="76"/>
        <v>1286100.7222903238</v>
      </c>
      <c r="DM248" s="2"/>
      <c r="DN248" s="2"/>
      <c r="DO248" s="2"/>
      <c r="DP248" s="2"/>
      <c r="DQ248" s="2"/>
      <c r="DR248" s="2"/>
      <c r="DS248" s="1">
        <f t="shared" si="77"/>
        <v>1069416.5846039369</v>
      </c>
      <c r="DT248" s="2"/>
      <c r="DU248" s="2"/>
      <c r="DV248" s="2"/>
      <c r="DW248" s="2"/>
      <c r="DX248" s="2"/>
      <c r="DY248" s="2"/>
      <c r="DZ248" s="2"/>
      <c r="EA248" s="2"/>
      <c r="EB248" s="1">
        <f t="shared" si="78"/>
        <v>125270.06014987807</v>
      </c>
      <c r="EC248" s="2"/>
      <c r="ED248" s="2"/>
      <c r="EE248" s="1">
        <f t="shared" si="79"/>
        <v>162477.0395674404</v>
      </c>
      <c r="EF248" s="2"/>
      <c r="EG248" s="1">
        <f t="shared" si="79"/>
        <v>582483.14097726578</v>
      </c>
      <c r="EH248" s="2"/>
      <c r="HW248" s="4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1">
        <f t="shared" si="80"/>
        <v>3546934.9664084869</v>
      </c>
      <c r="LU248" s="1">
        <f t="shared" si="81"/>
        <v>2610448.9617131068</v>
      </c>
    </row>
    <row r="249" spans="1:333">
      <c r="A249" s="1">
        <v>1612</v>
      </c>
      <c r="B249" s="1">
        <f t="shared" si="64"/>
        <v>16551457.174224276</v>
      </c>
      <c r="C249" s="1">
        <f t="shared" si="66"/>
        <v>4460190.0729443049</v>
      </c>
      <c r="K249" s="1">
        <f t="shared" si="67"/>
        <v>2184155.1489147064</v>
      </c>
      <c r="U249" s="1">
        <f t="shared" si="68"/>
        <v>2279302.2112055109</v>
      </c>
      <c r="AH249" s="1">
        <f t="shared" si="69"/>
        <v>4879957.9069664292</v>
      </c>
      <c r="AT249" s="1">
        <f t="shared" si="70"/>
        <v>1642320.6843876338</v>
      </c>
      <c r="BC249" s="1">
        <f t="shared" si="71"/>
        <v>1105531.1498056902</v>
      </c>
      <c r="BI249" s="4">
        <f t="shared" si="65"/>
        <v>11765833.260722319</v>
      </c>
      <c r="BJ249" s="2">
        <f t="shared" si="82"/>
        <v>1104388.7810557953</v>
      </c>
      <c r="BK249" s="2"/>
      <c r="BL249" s="2"/>
      <c r="BM249" s="2"/>
      <c r="BN249" s="2"/>
      <c r="BO249" s="2"/>
      <c r="BP249" s="2"/>
      <c r="BQ249" s="2">
        <f t="shared" si="63"/>
        <v>868238.49421136302</v>
      </c>
      <c r="BR249" s="2"/>
      <c r="BS249" s="2"/>
      <c r="BT249" s="2"/>
      <c r="BU249" s="2"/>
      <c r="BV249" s="2"/>
      <c r="BW249" s="2"/>
      <c r="BX249" s="2"/>
      <c r="BY249" s="2"/>
      <c r="BZ249" s="1">
        <f t="shared" si="72"/>
        <v>2883719.2900513932</v>
      </c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1">
        <f t="shared" si="73"/>
        <v>614331.85136318987</v>
      </c>
      <c r="CU249" s="2"/>
      <c r="CV249" s="2"/>
      <c r="CW249" s="2"/>
      <c r="CX249" s="1">
        <f t="shared" si="74"/>
        <v>1957975.3635757179</v>
      </c>
      <c r="CY249" s="2"/>
      <c r="CZ249" s="2"/>
      <c r="DA249" s="2"/>
      <c r="DB249" s="2"/>
      <c r="DC249" s="2"/>
      <c r="DD249" s="2"/>
      <c r="DE249" s="1">
        <f t="shared" si="75"/>
        <v>1096163.5192930999</v>
      </c>
      <c r="DF249" s="2"/>
      <c r="DG249" s="2"/>
      <c r="DH249" s="2"/>
      <c r="DI249" s="2"/>
      <c r="DJ249" s="2"/>
      <c r="DK249" s="2"/>
      <c r="DL249" s="1">
        <f t="shared" si="76"/>
        <v>1290473.4647461111</v>
      </c>
      <c r="DM249" s="2"/>
      <c r="DN249" s="2"/>
      <c r="DO249" s="2"/>
      <c r="DP249" s="2"/>
      <c r="DQ249" s="2"/>
      <c r="DR249" s="2"/>
      <c r="DS249" s="1">
        <f t="shared" si="77"/>
        <v>1076902.5006961643</v>
      </c>
      <c r="DT249" s="2"/>
      <c r="DU249" s="2"/>
      <c r="DV249" s="2"/>
      <c r="DW249" s="2"/>
      <c r="DX249" s="2"/>
      <c r="DY249" s="2"/>
      <c r="DZ249" s="2"/>
      <c r="EA249" s="2"/>
      <c r="EB249" s="1">
        <f t="shared" si="78"/>
        <v>126146.95057092721</v>
      </c>
      <c r="EC249" s="2"/>
      <c r="ED249" s="2"/>
      <c r="EE249" s="1">
        <f t="shared" si="79"/>
        <v>163029.46150196969</v>
      </c>
      <c r="EF249" s="2"/>
      <c r="EG249" s="1">
        <f t="shared" si="79"/>
        <v>584463.58365658857</v>
      </c>
      <c r="EH249" s="2"/>
      <c r="HW249" s="4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1">
        <f t="shared" si="80"/>
        <v>3558994.545294276</v>
      </c>
      <c r="LU249" s="1">
        <f t="shared" si="81"/>
        <v>2619324.4881829317</v>
      </c>
    </row>
    <row r="250" spans="1:333">
      <c r="A250" s="1">
        <v>1613</v>
      </c>
      <c r="B250" s="1">
        <f t="shared" si="64"/>
        <v>16612641.931712773</v>
      </c>
      <c r="C250" s="1">
        <f t="shared" si="66"/>
        <v>4475354.7191923158</v>
      </c>
      <c r="K250" s="1">
        <f t="shared" si="67"/>
        <v>2193983.8470848226</v>
      </c>
      <c r="U250" s="1">
        <f t="shared" si="68"/>
        <v>2289559.0711559355</v>
      </c>
      <c r="AH250" s="1">
        <f t="shared" si="69"/>
        <v>4896549.7638501152</v>
      </c>
      <c r="AT250" s="1">
        <f t="shared" si="70"/>
        <v>1647904.5747145519</v>
      </c>
      <c r="BC250" s="1">
        <f t="shared" si="71"/>
        <v>1109289.9557150295</v>
      </c>
      <c r="BI250" s="4">
        <f t="shared" si="65"/>
        <v>11822711.715015</v>
      </c>
      <c r="BJ250" s="2">
        <f t="shared" si="82"/>
        <v>1108916.775058124</v>
      </c>
      <c r="BK250" s="2"/>
      <c r="BL250" s="2"/>
      <c r="BM250" s="2"/>
      <c r="BN250" s="2"/>
      <c r="BO250" s="2"/>
      <c r="BP250" s="2"/>
      <c r="BQ250" s="2">
        <f t="shared" si="63"/>
        <v>872579.68668241974</v>
      </c>
      <c r="BR250" s="2"/>
      <c r="BS250" s="2"/>
      <c r="BT250" s="2"/>
      <c r="BU250" s="2"/>
      <c r="BV250" s="2"/>
      <c r="BW250" s="2"/>
      <c r="BX250" s="2"/>
      <c r="BY250" s="2"/>
      <c r="BZ250" s="1">
        <f t="shared" si="72"/>
        <v>2903905.3250817526</v>
      </c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1">
        <f t="shared" si="73"/>
        <v>616420.57965782471</v>
      </c>
      <c r="CU250" s="2"/>
      <c r="CV250" s="2"/>
      <c r="CW250" s="2"/>
      <c r="CX250" s="1">
        <f t="shared" si="74"/>
        <v>1964632.4798118754</v>
      </c>
      <c r="CY250" s="2"/>
      <c r="CZ250" s="2"/>
      <c r="DA250" s="2"/>
      <c r="DB250" s="2"/>
      <c r="DC250" s="2"/>
      <c r="DD250" s="2"/>
      <c r="DE250" s="1">
        <f t="shared" si="75"/>
        <v>1099890.4752586966</v>
      </c>
      <c r="DF250" s="2"/>
      <c r="DG250" s="2"/>
      <c r="DH250" s="2"/>
      <c r="DI250" s="2"/>
      <c r="DJ250" s="2"/>
      <c r="DK250" s="2"/>
      <c r="DL250" s="1">
        <f t="shared" si="76"/>
        <v>1294861.074526248</v>
      </c>
      <c r="DM250" s="2"/>
      <c r="DN250" s="2"/>
      <c r="DO250" s="2"/>
      <c r="DP250" s="2"/>
      <c r="DQ250" s="2"/>
      <c r="DR250" s="2"/>
      <c r="DS250" s="1">
        <f t="shared" si="77"/>
        <v>1084440.8182010374</v>
      </c>
      <c r="DT250" s="2"/>
      <c r="DU250" s="2"/>
      <c r="DV250" s="2"/>
      <c r="DW250" s="2"/>
      <c r="DX250" s="2"/>
      <c r="DY250" s="2"/>
      <c r="DZ250" s="2"/>
      <c r="EA250" s="2"/>
      <c r="EB250" s="1">
        <f t="shared" si="78"/>
        <v>127029.97922492368</v>
      </c>
      <c r="EC250" s="2"/>
      <c r="ED250" s="2"/>
      <c r="EE250" s="1">
        <f t="shared" si="79"/>
        <v>163583.76167107641</v>
      </c>
      <c r="EF250" s="2"/>
      <c r="EG250" s="1">
        <f t="shared" si="79"/>
        <v>586450.75984102103</v>
      </c>
      <c r="EH250" s="2"/>
      <c r="HW250" s="4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1">
        <f t="shared" si="80"/>
        <v>3571095.1267482769</v>
      </c>
      <c r="LU250" s="1">
        <f t="shared" si="81"/>
        <v>2628230.1914427537</v>
      </c>
    </row>
    <row r="251" spans="1:333">
      <c r="A251" s="1">
        <v>1614</v>
      </c>
      <c r="B251" s="1">
        <f t="shared" si="64"/>
        <v>16674056.811490659</v>
      </c>
      <c r="C251" s="1">
        <f t="shared" si="66"/>
        <v>4490570.92523757</v>
      </c>
      <c r="K251" s="1">
        <f t="shared" si="67"/>
        <v>2203856.774396704</v>
      </c>
      <c r="U251" s="1">
        <f t="shared" si="68"/>
        <v>2299862.086976137</v>
      </c>
      <c r="AH251" s="1">
        <f t="shared" si="69"/>
        <v>4913198.0330472058</v>
      </c>
      <c r="AT251" s="1">
        <f t="shared" si="70"/>
        <v>1653507.4502685815</v>
      </c>
      <c r="BC251" s="1">
        <f t="shared" si="71"/>
        <v>1113061.5415644606</v>
      </c>
      <c r="BI251" s="4">
        <f t="shared" si="65"/>
        <v>11879896.65812831</v>
      </c>
      <c r="BJ251" s="2">
        <f t="shared" si="82"/>
        <v>1113463.3338358623</v>
      </c>
      <c r="BK251" s="2"/>
      <c r="BL251" s="2"/>
      <c r="BM251" s="2"/>
      <c r="BN251" s="2"/>
      <c r="BO251" s="2"/>
      <c r="BP251" s="2"/>
      <c r="BQ251" s="2">
        <f t="shared" si="63"/>
        <v>876942.58511583169</v>
      </c>
      <c r="BR251" s="2"/>
      <c r="BS251" s="2"/>
      <c r="BT251" s="2"/>
      <c r="BU251" s="2"/>
      <c r="BV251" s="2"/>
      <c r="BW251" s="2"/>
      <c r="BX251" s="2"/>
      <c r="BY251" s="2"/>
      <c r="BZ251" s="1">
        <f t="shared" si="72"/>
        <v>2924232.6623573247</v>
      </c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1">
        <f t="shared" si="73"/>
        <v>618516.40962866135</v>
      </c>
      <c r="CU251" s="2"/>
      <c r="CV251" s="2"/>
      <c r="CW251" s="2"/>
      <c r="CX251" s="1">
        <f t="shared" si="74"/>
        <v>1971312.2302432358</v>
      </c>
      <c r="CY251" s="2"/>
      <c r="CZ251" s="2"/>
      <c r="DA251" s="2"/>
      <c r="DB251" s="2"/>
      <c r="DC251" s="2"/>
      <c r="DD251" s="2"/>
      <c r="DE251" s="1">
        <f t="shared" si="75"/>
        <v>1103630.1028745763</v>
      </c>
      <c r="DF251" s="2"/>
      <c r="DG251" s="2"/>
      <c r="DH251" s="2"/>
      <c r="DI251" s="2"/>
      <c r="DJ251" s="2"/>
      <c r="DK251" s="2"/>
      <c r="DL251" s="1">
        <f t="shared" si="76"/>
        <v>1299263.6021796374</v>
      </c>
      <c r="DM251" s="2"/>
      <c r="DN251" s="2"/>
      <c r="DO251" s="2"/>
      <c r="DP251" s="2"/>
      <c r="DQ251" s="2"/>
      <c r="DR251" s="2"/>
      <c r="DS251" s="1">
        <f t="shared" si="77"/>
        <v>1092031.9039284445</v>
      </c>
      <c r="DT251" s="2"/>
      <c r="DU251" s="2"/>
      <c r="DV251" s="2"/>
      <c r="DW251" s="2"/>
      <c r="DX251" s="2"/>
      <c r="DY251" s="2"/>
      <c r="DZ251" s="2"/>
      <c r="EA251" s="2"/>
      <c r="EB251" s="1">
        <f t="shared" si="78"/>
        <v>127919.18907949813</v>
      </c>
      <c r="EC251" s="2"/>
      <c r="ED251" s="2"/>
      <c r="EE251" s="1">
        <f t="shared" si="79"/>
        <v>164139.94646075807</v>
      </c>
      <c r="EF251" s="2"/>
      <c r="EG251" s="1">
        <f t="shared" si="79"/>
        <v>588444.69242448057</v>
      </c>
      <c r="EH251" s="2"/>
      <c r="HW251" s="4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1">
        <f t="shared" si="80"/>
        <v>3583236.8501792215</v>
      </c>
      <c r="LU251" s="1">
        <f t="shared" si="81"/>
        <v>2637166.174093659</v>
      </c>
    </row>
    <row r="252" spans="1:333">
      <c r="A252" s="1">
        <v>1615</v>
      </c>
      <c r="B252" s="1">
        <f t="shared" si="64"/>
        <v>16735702.695397237</v>
      </c>
      <c r="C252" s="1">
        <f t="shared" si="66"/>
        <v>4505838.8663833784</v>
      </c>
      <c r="K252" s="1">
        <f t="shared" si="67"/>
        <v>2213774.1298814891</v>
      </c>
      <c r="U252" s="1">
        <f t="shared" si="68"/>
        <v>2310211.4663675297</v>
      </c>
      <c r="AH252" s="1">
        <f t="shared" si="69"/>
        <v>4929902.9063595664</v>
      </c>
      <c r="AT252" s="1">
        <f t="shared" si="70"/>
        <v>1659129.3755994949</v>
      </c>
      <c r="BC252" s="1">
        <f t="shared" si="71"/>
        <v>1116845.9508057798</v>
      </c>
      <c r="BI252" s="4">
        <f t="shared" si="65"/>
        <v>11937389.90075513</v>
      </c>
      <c r="BJ252" s="2">
        <f t="shared" si="82"/>
        <v>1118028.5335045895</v>
      </c>
      <c r="BK252" s="2"/>
      <c r="BL252" s="2"/>
      <c r="BM252" s="2"/>
      <c r="BN252" s="2"/>
      <c r="BO252" s="2"/>
      <c r="BP252" s="2"/>
      <c r="BQ252" s="2">
        <f t="shared" si="63"/>
        <v>881327.29804141074</v>
      </c>
      <c r="BR252" s="2"/>
      <c r="BS252" s="2"/>
      <c r="BT252" s="2"/>
      <c r="BU252" s="2"/>
      <c r="BV252" s="2"/>
      <c r="BW252" s="2"/>
      <c r="BX252" s="2"/>
      <c r="BY252" s="2"/>
      <c r="BZ252" s="1">
        <f t="shared" si="72"/>
        <v>2944702.2909938255</v>
      </c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1">
        <f t="shared" si="73"/>
        <v>620619.36542139889</v>
      </c>
      <c r="CU252" s="2"/>
      <c r="CV252" s="2"/>
      <c r="CW252" s="2"/>
      <c r="CX252" s="1">
        <f t="shared" si="74"/>
        <v>1978014.691826063</v>
      </c>
      <c r="CY252" s="2"/>
      <c r="CZ252" s="2"/>
      <c r="DA252" s="2"/>
      <c r="DB252" s="2"/>
      <c r="DC252" s="2"/>
      <c r="DD252" s="2"/>
      <c r="DE252" s="1">
        <f t="shared" si="75"/>
        <v>1107382.4452243501</v>
      </c>
      <c r="DF252" s="2"/>
      <c r="DG252" s="2"/>
      <c r="DH252" s="2"/>
      <c r="DI252" s="2"/>
      <c r="DJ252" s="2"/>
      <c r="DK252" s="2"/>
      <c r="DL252" s="1">
        <f t="shared" si="76"/>
        <v>1303681.0984270482</v>
      </c>
      <c r="DM252" s="2"/>
      <c r="DN252" s="2"/>
      <c r="DO252" s="2"/>
      <c r="DP252" s="2"/>
      <c r="DQ252" s="2"/>
      <c r="DR252" s="2"/>
      <c r="DS252" s="1">
        <f t="shared" si="77"/>
        <v>1099676.1272559434</v>
      </c>
      <c r="DT252" s="2"/>
      <c r="DU252" s="2"/>
      <c r="DV252" s="2"/>
      <c r="DW252" s="2"/>
      <c r="DX252" s="2"/>
      <c r="DY252" s="2"/>
      <c r="DZ252" s="2"/>
      <c r="EA252" s="2"/>
      <c r="EB252" s="1">
        <f t="shared" si="78"/>
        <v>128814.6234030546</v>
      </c>
      <c r="EC252" s="2"/>
      <c r="ED252" s="2"/>
      <c r="EE252" s="1">
        <f t="shared" si="79"/>
        <v>164698.02227872467</v>
      </c>
      <c r="EF252" s="2"/>
      <c r="EG252" s="1">
        <f t="shared" si="79"/>
        <v>590445.40437872382</v>
      </c>
      <c r="EH252" s="2"/>
      <c r="HW252" s="4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1">
        <f t="shared" si="80"/>
        <v>3595419.8554698313</v>
      </c>
      <c r="LU252" s="1">
        <f t="shared" si="81"/>
        <v>2646132.5390855777</v>
      </c>
    </row>
    <row r="253" spans="1:333">
      <c r="A253" s="1">
        <v>1616</v>
      </c>
      <c r="B253" s="1">
        <f t="shared" si="64"/>
        <v>16797580.468717463</v>
      </c>
      <c r="C253" s="1">
        <f t="shared" si="66"/>
        <v>4521158.7185290819</v>
      </c>
      <c r="K253" s="1">
        <f t="shared" si="67"/>
        <v>2223736.1134659555</v>
      </c>
      <c r="U253" s="1">
        <f t="shared" si="68"/>
        <v>2320607.4179661833</v>
      </c>
      <c r="AH253" s="1">
        <f t="shared" si="69"/>
        <v>4946664.5762411896</v>
      </c>
      <c r="AT253" s="1">
        <f t="shared" si="70"/>
        <v>1664770.4154765334</v>
      </c>
      <c r="BC253" s="1">
        <f t="shared" si="71"/>
        <v>1120643.2270385195</v>
      </c>
      <c r="BI253" s="4">
        <f t="shared" si="65"/>
        <v>11995193.26501797</v>
      </c>
      <c r="BJ253" s="2">
        <f t="shared" si="82"/>
        <v>1122612.4504919583</v>
      </c>
      <c r="BK253" s="2"/>
      <c r="BL253" s="2"/>
      <c r="BM253" s="2"/>
      <c r="BN253" s="2"/>
      <c r="BO253" s="2"/>
      <c r="BP253" s="2"/>
      <c r="BQ253" s="2">
        <f t="shared" si="63"/>
        <v>885733.93453161768</v>
      </c>
      <c r="BR253" s="2"/>
      <c r="BS253" s="2"/>
      <c r="BT253" s="2"/>
      <c r="BU253" s="2"/>
      <c r="BV253" s="2"/>
      <c r="BW253" s="2"/>
      <c r="BX253" s="2"/>
      <c r="BY253" s="2"/>
      <c r="BZ253" s="1">
        <f t="shared" si="72"/>
        <v>2965315.207030782</v>
      </c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1">
        <f t="shared" si="73"/>
        <v>622729.47126383171</v>
      </c>
      <c r="CU253" s="2"/>
      <c r="CV253" s="2"/>
      <c r="CW253" s="2"/>
      <c r="CX253" s="1">
        <f t="shared" si="74"/>
        <v>1984739.9417782717</v>
      </c>
      <c r="CY253" s="2"/>
      <c r="CZ253" s="2"/>
      <c r="DA253" s="2"/>
      <c r="DB253" s="2"/>
      <c r="DC253" s="2"/>
      <c r="DD253" s="2"/>
      <c r="DE253" s="1">
        <f t="shared" si="75"/>
        <v>1111147.545538113</v>
      </c>
      <c r="DF253" s="2"/>
      <c r="DG253" s="2"/>
      <c r="DH253" s="2"/>
      <c r="DI253" s="2"/>
      <c r="DJ253" s="2"/>
      <c r="DK253" s="2"/>
      <c r="DL253" s="1">
        <f t="shared" si="76"/>
        <v>1308113.6141617002</v>
      </c>
      <c r="DM253" s="2"/>
      <c r="DN253" s="2"/>
      <c r="DO253" s="2"/>
      <c r="DP253" s="2"/>
      <c r="DQ253" s="2"/>
      <c r="DR253" s="2"/>
      <c r="DS253" s="1">
        <f t="shared" si="77"/>
        <v>1107373.8601467349</v>
      </c>
      <c r="DT253" s="2"/>
      <c r="DU253" s="2"/>
      <c r="DV253" s="2"/>
      <c r="DW253" s="2"/>
      <c r="DX253" s="2"/>
      <c r="DY253" s="2"/>
      <c r="DZ253" s="2"/>
      <c r="EA253" s="2"/>
      <c r="EB253" s="1">
        <f t="shared" si="78"/>
        <v>129716.32576687598</v>
      </c>
      <c r="EC253" s="2"/>
      <c r="ED253" s="2"/>
      <c r="EE253" s="1">
        <f t="shared" si="79"/>
        <v>165257.99555447235</v>
      </c>
      <c r="EF253" s="2"/>
      <c r="EG253" s="1">
        <f t="shared" si="79"/>
        <v>592452.91875361151</v>
      </c>
      <c r="EH253" s="2"/>
      <c r="HW253" s="4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1">
        <f t="shared" si="80"/>
        <v>3607644.282978429</v>
      </c>
      <c r="LU253" s="1">
        <f t="shared" si="81"/>
        <v>2655129.3897184688</v>
      </c>
    </row>
    <row r="254" spans="1:333">
      <c r="A254" s="1">
        <v>1617</v>
      </c>
      <c r="B254" s="1">
        <f t="shared" si="64"/>
        <v>16859691.020195678</v>
      </c>
      <c r="C254" s="1">
        <f t="shared" si="66"/>
        <v>4536530.6581720812</v>
      </c>
      <c r="K254" s="1">
        <f t="shared" si="67"/>
        <v>2233742.9259765521</v>
      </c>
      <c r="U254" s="1">
        <f t="shared" si="68"/>
        <v>2331050.1513470309</v>
      </c>
      <c r="AH254" s="1">
        <f t="shared" si="69"/>
        <v>4963483.2358004097</v>
      </c>
      <c r="AT254" s="1">
        <f t="shared" si="70"/>
        <v>1670430.6348891538</v>
      </c>
      <c r="BC254" s="1">
        <f t="shared" si="71"/>
        <v>1124453.4140104505</v>
      </c>
      <c r="BI254" s="4">
        <f t="shared" si="65"/>
        <v>12053308.584544228</v>
      </c>
      <c r="BJ254" s="2">
        <f t="shared" si="82"/>
        <v>1127215.1615389753</v>
      </c>
      <c r="BK254" s="2"/>
      <c r="BL254" s="2"/>
      <c r="BM254" s="2"/>
      <c r="BN254" s="2"/>
      <c r="BO254" s="2"/>
      <c r="BP254" s="2"/>
      <c r="BQ254" s="2">
        <f t="shared" si="63"/>
        <v>890162.60420427565</v>
      </c>
      <c r="BR254" s="2"/>
      <c r="BS254" s="2"/>
      <c r="BT254" s="2"/>
      <c r="BU254" s="2"/>
      <c r="BV254" s="2"/>
      <c r="BW254" s="2"/>
      <c r="BX254" s="2"/>
      <c r="BY254" s="2"/>
      <c r="BZ254" s="1">
        <f t="shared" si="72"/>
        <v>2986072.4134799973</v>
      </c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1">
        <f t="shared" si="73"/>
        <v>624846.75146612874</v>
      </c>
      <c r="CU254" s="2"/>
      <c r="CV254" s="2"/>
      <c r="CW254" s="2"/>
      <c r="CX254" s="1">
        <f t="shared" si="74"/>
        <v>1991488.0575803181</v>
      </c>
      <c r="CY254" s="2"/>
      <c r="CZ254" s="2"/>
      <c r="DA254" s="2"/>
      <c r="DB254" s="2"/>
      <c r="DC254" s="2"/>
      <c r="DD254" s="2"/>
      <c r="DE254" s="1">
        <f t="shared" si="75"/>
        <v>1114925.4471929427</v>
      </c>
      <c r="DF254" s="2"/>
      <c r="DG254" s="2"/>
      <c r="DH254" s="2"/>
      <c r="DI254" s="2"/>
      <c r="DJ254" s="2"/>
      <c r="DK254" s="2"/>
      <c r="DL254" s="1">
        <f t="shared" si="76"/>
        <v>1312561.2004498502</v>
      </c>
      <c r="DM254" s="2"/>
      <c r="DN254" s="2"/>
      <c r="DO254" s="2"/>
      <c r="DP254" s="2"/>
      <c r="DQ254" s="2"/>
      <c r="DR254" s="2"/>
      <c r="DS254" s="1">
        <f t="shared" si="77"/>
        <v>1115125.4771677619</v>
      </c>
      <c r="DT254" s="2"/>
      <c r="DU254" s="2"/>
      <c r="DV254" s="2"/>
      <c r="DW254" s="2"/>
      <c r="DX254" s="2"/>
      <c r="DY254" s="2"/>
      <c r="DZ254" s="2"/>
      <c r="EA254" s="2"/>
      <c r="EB254" s="1">
        <f t="shared" si="78"/>
        <v>130624.3400472441</v>
      </c>
      <c r="EC254" s="2"/>
      <c r="ED254" s="2"/>
      <c r="EE254" s="1">
        <f t="shared" si="79"/>
        <v>165819.87273935755</v>
      </c>
      <c r="EF254" s="2"/>
      <c r="EG254" s="1">
        <f t="shared" si="79"/>
        <v>594467.25867737387</v>
      </c>
      <c r="EH254" s="2"/>
      <c r="HW254" s="4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1">
        <f t="shared" si="80"/>
        <v>3619910.273540556</v>
      </c>
      <c r="LU254" s="1">
        <f t="shared" si="81"/>
        <v>2664156.8296435117</v>
      </c>
    </row>
    <row r="255" spans="1:333">
      <c r="A255" s="1">
        <v>1618</v>
      </c>
      <c r="B255" s="1">
        <f t="shared" si="64"/>
        <v>16922035.2420494</v>
      </c>
      <c r="C255" s="1">
        <f t="shared" si="66"/>
        <v>4551954.8624098664</v>
      </c>
      <c r="K255" s="1">
        <f t="shared" si="67"/>
        <v>2243794.7691434463</v>
      </c>
      <c r="U255" s="1">
        <f t="shared" si="68"/>
        <v>2341539.8770280923</v>
      </c>
      <c r="AH255" s="1">
        <f t="shared" si="69"/>
        <v>4980359.0788021311</v>
      </c>
      <c r="AT255" s="1">
        <f t="shared" si="70"/>
        <v>1676110.099047777</v>
      </c>
      <c r="BC255" s="1">
        <f t="shared" si="71"/>
        <v>1128276.5556180861</v>
      </c>
      <c r="BI255" s="4">
        <f t="shared" si="65"/>
        <v>12111737.704541983</v>
      </c>
      <c r="BJ255" s="2">
        <f t="shared" si="82"/>
        <v>1131836.7437012852</v>
      </c>
      <c r="BK255" s="2"/>
      <c r="BL255" s="2"/>
      <c r="BM255" s="2"/>
      <c r="BN255" s="2"/>
      <c r="BO255" s="2"/>
      <c r="BP255" s="2"/>
      <c r="BQ255" s="2">
        <f t="shared" si="63"/>
        <v>894613.41722529696</v>
      </c>
      <c r="BR255" s="2"/>
      <c r="BS255" s="2"/>
      <c r="BT255" s="2"/>
      <c r="BU255" s="2"/>
      <c r="BV255" s="2"/>
      <c r="BW255" s="2"/>
      <c r="BX255" s="2"/>
      <c r="BY255" s="2"/>
      <c r="BZ255" s="1">
        <f t="shared" si="72"/>
        <v>3006974.9203743571</v>
      </c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1">
        <f t="shared" si="73"/>
        <v>626971.23042111367</v>
      </c>
      <c r="CU255" s="2"/>
      <c r="CV255" s="2"/>
      <c r="CW255" s="2"/>
      <c r="CX255" s="1">
        <f t="shared" si="74"/>
        <v>1998259.1169760914</v>
      </c>
      <c r="CY255" s="2"/>
      <c r="CZ255" s="2"/>
      <c r="DA255" s="2"/>
      <c r="DB255" s="2"/>
      <c r="DC255" s="2"/>
      <c r="DD255" s="2"/>
      <c r="DE255" s="1">
        <f t="shared" si="75"/>
        <v>1118716.1937133989</v>
      </c>
      <c r="DF255" s="2"/>
      <c r="DG255" s="2"/>
      <c r="DH255" s="2"/>
      <c r="DI255" s="2"/>
      <c r="DJ255" s="2"/>
      <c r="DK255" s="2"/>
      <c r="DL255" s="1">
        <f t="shared" si="76"/>
        <v>1317023.9085313797</v>
      </c>
      <c r="DM255" s="2"/>
      <c r="DN255" s="2"/>
      <c r="DO255" s="2"/>
      <c r="DP255" s="2"/>
      <c r="DQ255" s="2"/>
      <c r="DR255" s="2"/>
      <c r="DS255" s="1">
        <f t="shared" si="77"/>
        <v>1122931.3555079361</v>
      </c>
      <c r="DT255" s="2"/>
      <c r="DU255" s="2"/>
      <c r="DV255" s="2"/>
      <c r="DW255" s="2"/>
      <c r="DX255" s="2"/>
      <c r="DY255" s="2"/>
      <c r="DZ255" s="2"/>
      <c r="EA255" s="2"/>
      <c r="EB255" s="1">
        <f t="shared" si="78"/>
        <v>131538.71042757478</v>
      </c>
      <c r="EC255" s="2"/>
      <c r="ED255" s="2"/>
      <c r="EE255" s="1">
        <f t="shared" si="79"/>
        <v>166383.66030667137</v>
      </c>
      <c r="EF255" s="2"/>
      <c r="EG255" s="1">
        <f t="shared" si="79"/>
        <v>596488.44735687703</v>
      </c>
      <c r="EH255" s="2"/>
      <c r="HW255" s="4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1">
        <f t="shared" si="80"/>
        <v>3632217.9684705939</v>
      </c>
      <c r="LU255" s="1">
        <f t="shared" si="81"/>
        <v>2673214.9628642998</v>
      </c>
    </row>
    <row r="256" spans="1:333">
      <c r="A256" s="1">
        <v>1619</v>
      </c>
      <c r="B256" s="1">
        <f t="shared" si="64"/>
        <v>16984614.029983155</v>
      </c>
      <c r="C256" s="1">
        <f t="shared" si="66"/>
        <v>4567431.5089420602</v>
      </c>
      <c r="K256" s="1">
        <f t="shared" si="67"/>
        <v>2253891.8456045915</v>
      </c>
      <c r="U256" s="1">
        <f t="shared" si="68"/>
        <v>2352076.8064747187</v>
      </c>
      <c r="AH256" s="1">
        <f t="shared" si="69"/>
        <v>4997292.2996700583</v>
      </c>
      <c r="AT256" s="1">
        <f t="shared" si="70"/>
        <v>1681808.8733845395</v>
      </c>
      <c r="BC256" s="1">
        <f t="shared" si="71"/>
        <v>1132112.6959071876</v>
      </c>
      <c r="BI256" s="4">
        <f t="shared" si="65"/>
        <v>12170482.481876289</v>
      </c>
      <c r="BJ256" s="2">
        <f t="shared" si="82"/>
        <v>1136477.2743504604</v>
      </c>
      <c r="BK256" s="2"/>
      <c r="BL256" s="2"/>
      <c r="BM256" s="2"/>
      <c r="BN256" s="2"/>
      <c r="BO256" s="2"/>
      <c r="BP256" s="2"/>
      <c r="BQ256" s="2">
        <f t="shared" si="63"/>
        <v>899086.48431142338</v>
      </c>
      <c r="BR256" s="2"/>
      <c r="BS256" s="2"/>
      <c r="BT256" s="2"/>
      <c r="BU256" s="2"/>
      <c r="BV256" s="2"/>
      <c r="BW256" s="2"/>
      <c r="BX256" s="2"/>
      <c r="BY256" s="2"/>
      <c r="BZ256" s="1">
        <f t="shared" si="72"/>
        <v>3028023.7448169775</v>
      </c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1">
        <f t="shared" si="73"/>
        <v>629102.93260454549</v>
      </c>
      <c r="CU256" s="2"/>
      <c r="CV256" s="2"/>
      <c r="CW256" s="2"/>
      <c r="CX256" s="1">
        <f t="shared" si="74"/>
        <v>2005053.1979738104</v>
      </c>
      <c r="CY256" s="2"/>
      <c r="CZ256" s="2"/>
      <c r="DA256" s="2"/>
      <c r="DB256" s="2"/>
      <c r="DC256" s="2"/>
      <c r="DD256" s="2"/>
      <c r="DE256" s="1">
        <f t="shared" si="75"/>
        <v>1122519.8287720245</v>
      </c>
      <c r="DF256" s="2"/>
      <c r="DG256" s="2"/>
      <c r="DH256" s="2"/>
      <c r="DI256" s="2"/>
      <c r="DJ256" s="2"/>
      <c r="DK256" s="2"/>
      <c r="DL256" s="1">
        <f t="shared" si="76"/>
        <v>1321501.7898203863</v>
      </c>
      <c r="DM256" s="2"/>
      <c r="DN256" s="2"/>
      <c r="DO256" s="2"/>
      <c r="DP256" s="2"/>
      <c r="DQ256" s="2"/>
      <c r="DR256" s="2"/>
      <c r="DS256" s="1">
        <f t="shared" si="77"/>
        <v>1130791.8749964915</v>
      </c>
      <c r="DT256" s="2"/>
      <c r="DU256" s="2"/>
      <c r="DV256" s="2"/>
      <c r="DW256" s="2"/>
      <c r="DX256" s="2"/>
      <c r="DY256" s="2"/>
      <c r="DZ256" s="2"/>
      <c r="EA256" s="2"/>
      <c r="EB256" s="1">
        <f t="shared" si="78"/>
        <v>132459.48140056781</v>
      </c>
      <c r="EC256" s="2"/>
      <c r="ED256" s="2"/>
      <c r="EE256" s="1">
        <f t="shared" si="79"/>
        <v>166949.36475171408</v>
      </c>
      <c r="EF256" s="2"/>
      <c r="EG256" s="1">
        <f t="shared" si="79"/>
        <v>598516.5080778905</v>
      </c>
      <c r="EH256" s="2"/>
      <c r="HW256" s="4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1">
        <f t="shared" si="80"/>
        <v>3644567.5095633944</v>
      </c>
      <c r="LU256" s="1">
        <f t="shared" si="81"/>
        <v>2682303.8937380384</v>
      </c>
    </row>
    <row r="257" spans="1:333">
      <c r="A257" s="1">
        <v>1620</v>
      </c>
      <c r="B257" s="1">
        <f t="shared" si="64"/>
        <v>17047428.283202387</v>
      </c>
      <c r="C257" s="1">
        <f t="shared" si="66"/>
        <v>4582960.776072464</v>
      </c>
      <c r="K257" s="1">
        <f t="shared" si="67"/>
        <v>2264034.3589098123</v>
      </c>
      <c r="U257" s="1">
        <f t="shared" si="68"/>
        <v>2362661.1521038548</v>
      </c>
      <c r="AH257" s="1">
        <f t="shared" si="69"/>
        <v>5014283.0934889372</v>
      </c>
      <c r="AT257" s="1">
        <f t="shared" si="70"/>
        <v>1687527.0235540471</v>
      </c>
      <c r="BC257" s="1">
        <f t="shared" si="71"/>
        <v>1135961.8790732722</v>
      </c>
      <c r="BI257" s="4">
        <f t="shared" si="65"/>
        <v>12229544.785145987</v>
      </c>
      <c r="BJ257" s="2">
        <f t="shared" si="82"/>
        <v>1141136.8311752973</v>
      </c>
      <c r="BK257" s="2"/>
      <c r="BL257" s="2"/>
      <c r="BM257" s="2"/>
      <c r="BN257" s="2"/>
      <c r="BO257" s="2"/>
      <c r="BP257" s="2"/>
      <c r="BQ257" s="2">
        <f t="shared" si="63"/>
        <v>903581.9167329804</v>
      </c>
      <c r="BR257" s="2"/>
      <c r="BS257" s="2"/>
      <c r="BT257" s="2"/>
      <c r="BU257" s="2"/>
      <c r="BV257" s="2"/>
      <c r="BW257" s="2"/>
      <c r="BX257" s="2"/>
      <c r="BY257" s="2"/>
      <c r="BZ257" s="1">
        <f t="shared" si="72"/>
        <v>3049219.9110306962</v>
      </c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1">
        <f t="shared" si="73"/>
        <v>631241.88257540099</v>
      </c>
      <c r="CU257" s="2"/>
      <c r="CV257" s="2"/>
      <c r="CW257" s="2"/>
      <c r="CX257" s="1">
        <f t="shared" si="74"/>
        <v>2011870.3788469215</v>
      </c>
      <c r="CY257" s="2"/>
      <c r="CZ257" s="2"/>
      <c r="DA257" s="2"/>
      <c r="DB257" s="2"/>
      <c r="DC257" s="2"/>
      <c r="DD257" s="2"/>
      <c r="DE257" s="1">
        <f t="shared" si="75"/>
        <v>1126336.3961898494</v>
      </c>
      <c r="DF257" s="2"/>
      <c r="DG257" s="2"/>
      <c r="DH257" s="2"/>
      <c r="DI257" s="2"/>
      <c r="DJ257" s="2"/>
      <c r="DK257" s="2"/>
      <c r="DL257" s="1">
        <f t="shared" si="76"/>
        <v>1325994.8959057757</v>
      </c>
      <c r="DM257" s="2"/>
      <c r="DN257" s="2"/>
      <c r="DO257" s="2"/>
      <c r="DP257" s="2"/>
      <c r="DQ257" s="2"/>
      <c r="DR257" s="2"/>
      <c r="DS257" s="1">
        <f t="shared" si="77"/>
        <v>1138707.4181214669</v>
      </c>
      <c r="DT257" s="2"/>
      <c r="DU257" s="2"/>
      <c r="DV257" s="2"/>
      <c r="DW257" s="2"/>
      <c r="DX257" s="2"/>
      <c r="DY257" s="2"/>
      <c r="DZ257" s="2"/>
      <c r="EA257" s="2"/>
      <c r="EB257" s="1">
        <f t="shared" si="78"/>
        <v>133386.69777037177</v>
      </c>
      <c r="EC257" s="2"/>
      <c r="ED257" s="2"/>
      <c r="EE257" s="1">
        <f t="shared" si="79"/>
        <v>167516.99259186993</v>
      </c>
      <c r="EF257" s="2"/>
      <c r="EG257" s="1">
        <f t="shared" si="79"/>
        <v>600551.46420535538</v>
      </c>
      <c r="EH257" s="2"/>
      <c r="HW257" s="4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1">
        <f t="shared" si="80"/>
        <v>3656959.0390959103</v>
      </c>
      <c r="LU257" s="1">
        <f t="shared" si="81"/>
        <v>2691423.7269767481</v>
      </c>
    </row>
    <row r="258" spans="1:333">
      <c r="A258" s="1">
        <v>1621</v>
      </c>
      <c r="B258" s="1">
        <f t="shared" si="64"/>
        <v>17110478.904427391</v>
      </c>
      <c r="C258" s="1">
        <f t="shared" si="66"/>
        <v>4598542.8427111106</v>
      </c>
      <c r="K258" s="1">
        <f t="shared" si="67"/>
        <v>2274222.5135249062</v>
      </c>
      <c r="U258" s="1">
        <f t="shared" si="68"/>
        <v>2373293.127288322</v>
      </c>
      <c r="AH258" s="1">
        <f t="shared" si="69"/>
        <v>5031331.6560068</v>
      </c>
      <c r="AT258" s="1">
        <f t="shared" si="70"/>
        <v>1693264.6154341309</v>
      </c>
      <c r="BC258" s="1">
        <f t="shared" si="71"/>
        <v>1139824.1494621215</v>
      </c>
      <c r="BI258" s="4">
        <f t="shared" si="65"/>
        <v>12288926.494760998</v>
      </c>
      <c r="BJ258" s="2">
        <f t="shared" si="82"/>
        <v>1145815.492183116</v>
      </c>
      <c r="BK258" s="2"/>
      <c r="BL258" s="2"/>
      <c r="BM258" s="2"/>
      <c r="BN258" s="2"/>
      <c r="BO258" s="2"/>
      <c r="BP258" s="2"/>
      <c r="BQ258" s="2">
        <f t="shared" si="63"/>
        <v>908099.82631664525</v>
      </c>
      <c r="BR258" s="2"/>
      <c r="BS258" s="2"/>
      <c r="BT258" s="2"/>
      <c r="BU258" s="2"/>
      <c r="BV258" s="2"/>
      <c r="BW258" s="2"/>
      <c r="BX258" s="2"/>
      <c r="BY258" s="2"/>
      <c r="BZ258" s="1">
        <f t="shared" si="72"/>
        <v>3070564.4504079106</v>
      </c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1">
        <f t="shared" si="73"/>
        <v>633388.10497615742</v>
      </c>
      <c r="CU258" s="2"/>
      <c r="CV258" s="2"/>
      <c r="CW258" s="2"/>
      <c r="CX258" s="1">
        <f t="shared" si="74"/>
        <v>2018710.7381350012</v>
      </c>
      <c r="CY258" s="2"/>
      <c r="CZ258" s="2"/>
      <c r="DA258" s="2"/>
      <c r="DB258" s="2"/>
      <c r="DC258" s="2"/>
      <c r="DD258" s="2"/>
      <c r="DE258" s="1">
        <f t="shared" si="75"/>
        <v>1130165.9399368949</v>
      </c>
      <c r="DF258" s="2"/>
      <c r="DG258" s="2"/>
      <c r="DH258" s="2"/>
      <c r="DI258" s="2"/>
      <c r="DJ258" s="2"/>
      <c r="DK258" s="2"/>
      <c r="DL258" s="1">
        <f t="shared" si="76"/>
        <v>1330503.2785518554</v>
      </c>
      <c r="DM258" s="2"/>
      <c r="DN258" s="2"/>
      <c r="DO258" s="2"/>
      <c r="DP258" s="2"/>
      <c r="DQ258" s="2"/>
      <c r="DR258" s="2"/>
      <c r="DS258" s="1">
        <f t="shared" si="77"/>
        <v>1146678.3700483171</v>
      </c>
      <c r="DT258" s="2"/>
      <c r="DU258" s="2"/>
      <c r="DV258" s="2"/>
      <c r="DW258" s="2"/>
      <c r="DX258" s="2"/>
      <c r="DY258" s="2"/>
      <c r="DZ258" s="2"/>
      <c r="EA258" s="2"/>
      <c r="EB258" s="1">
        <f t="shared" si="78"/>
        <v>134320.40465476437</v>
      </c>
      <c r="EC258" s="2"/>
      <c r="ED258" s="2"/>
      <c r="EE258" s="1">
        <f t="shared" si="79"/>
        <v>168086.55036668229</v>
      </c>
      <c r="EF258" s="2"/>
      <c r="EG258" s="1">
        <f t="shared" si="79"/>
        <v>602593.33918365359</v>
      </c>
      <c r="EH258" s="2"/>
      <c r="HW258" s="4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1">
        <f t="shared" si="80"/>
        <v>3669392.6998288366</v>
      </c>
      <c r="LU258" s="1">
        <f t="shared" si="81"/>
        <v>2700574.567648469</v>
      </c>
    </row>
    <row r="259" spans="1:333">
      <c r="A259" s="1">
        <v>1622</v>
      </c>
      <c r="B259" s="1">
        <f t="shared" si="64"/>
        <v>17173766.799907342</v>
      </c>
      <c r="C259" s="1">
        <f t="shared" si="66"/>
        <v>4614177.8883763291</v>
      </c>
      <c r="K259" s="1">
        <f t="shared" si="67"/>
        <v>2284456.5148357684</v>
      </c>
      <c r="U259" s="1">
        <f t="shared" si="68"/>
        <v>2383972.9463611194</v>
      </c>
      <c r="AH259" s="1">
        <f t="shared" si="69"/>
        <v>5048438.1836372232</v>
      </c>
      <c r="AT259" s="1">
        <f t="shared" si="70"/>
        <v>1699021.7151266071</v>
      </c>
      <c r="BC259" s="1">
        <f t="shared" si="71"/>
        <v>1143699.5515702928</v>
      </c>
      <c r="BI259" s="4">
        <f t="shared" si="65"/>
        <v>12348629.50302022</v>
      </c>
      <c r="BJ259" s="2">
        <f t="shared" si="82"/>
        <v>1150513.3357010668</v>
      </c>
      <c r="BK259" s="2"/>
      <c r="BL259" s="2"/>
      <c r="BM259" s="2"/>
      <c r="BN259" s="2"/>
      <c r="BO259" s="2"/>
      <c r="BP259" s="2"/>
      <c r="BQ259" s="2">
        <f t="shared" si="63"/>
        <v>912640.3254482284</v>
      </c>
      <c r="BR259" s="2"/>
      <c r="BS259" s="2"/>
      <c r="BT259" s="2"/>
      <c r="BU259" s="2"/>
      <c r="BV259" s="2"/>
      <c r="BW259" s="2"/>
      <c r="BX259" s="2"/>
      <c r="BY259" s="2"/>
      <c r="BZ259" s="1">
        <f t="shared" si="72"/>
        <v>3092058.4015607657</v>
      </c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1">
        <f t="shared" si="73"/>
        <v>635541.62453307642</v>
      </c>
      <c r="CU259" s="2"/>
      <c r="CV259" s="2"/>
      <c r="CW259" s="2"/>
      <c r="CX259" s="1">
        <f t="shared" si="74"/>
        <v>2025574.3546446604</v>
      </c>
      <c r="CY259" s="2"/>
      <c r="CZ259" s="2"/>
      <c r="DA259" s="2"/>
      <c r="DB259" s="2"/>
      <c r="DC259" s="2"/>
      <c r="DD259" s="2"/>
      <c r="DE259" s="1">
        <f t="shared" si="75"/>
        <v>1134008.5041326804</v>
      </c>
      <c r="DF259" s="2"/>
      <c r="DG259" s="2"/>
      <c r="DH259" s="2"/>
      <c r="DI259" s="2"/>
      <c r="DJ259" s="2"/>
      <c r="DK259" s="2"/>
      <c r="DL259" s="1">
        <f t="shared" si="76"/>
        <v>1335026.9896989318</v>
      </c>
      <c r="DM259" s="2"/>
      <c r="DN259" s="2"/>
      <c r="DO259" s="2"/>
      <c r="DP259" s="2"/>
      <c r="DQ259" s="2"/>
      <c r="DR259" s="2"/>
      <c r="DS259" s="1">
        <f t="shared" si="77"/>
        <v>1154705.1186386552</v>
      </c>
      <c r="DT259" s="2"/>
      <c r="DU259" s="2"/>
      <c r="DV259" s="2"/>
      <c r="DW259" s="2"/>
      <c r="DX259" s="2"/>
      <c r="DY259" s="2"/>
      <c r="DZ259" s="2"/>
      <c r="EA259" s="2"/>
      <c r="EB259" s="1">
        <f t="shared" si="78"/>
        <v>135260.64748734771</v>
      </c>
      <c r="EC259" s="2"/>
      <c r="ED259" s="2"/>
      <c r="EE259" s="1">
        <f t="shared" si="79"/>
        <v>168658.04463792904</v>
      </c>
      <c r="EF259" s="2"/>
      <c r="EG259" s="1">
        <f t="shared" si="79"/>
        <v>604642.15653687809</v>
      </c>
      <c r="EH259" s="2"/>
      <c r="HW259" s="4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1">
        <f t="shared" si="80"/>
        <v>3681868.635008255</v>
      </c>
      <c r="LU259" s="1">
        <f t="shared" si="81"/>
        <v>2709756.5211784742</v>
      </c>
    </row>
    <row r="260" spans="1:333">
      <c r="A260" s="1">
        <v>1623</v>
      </c>
      <c r="B260" s="1">
        <f t="shared" si="64"/>
        <v>17237292.87943434</v>
      </c>
      <c r="C260" s="1">
        <f t="shared" si="66"/>
        <v>4629866.0931968093</v>
      </c>
      <c r="K260" s="1">
        <f t="shared" si="67"/>
        <v>2294736.5691525294</v>
      </c>
      <c r="U260" s="1">
        <f t="shared" si="68"/>
        <v>2394700.8246197444</v>
      </c>
      <c r="AH260" s="1">
        <f t="shared" si="69"/>
        <v>5065602.8734615901</v>
      </c>
      <c r="AT260" s="1">
        <f t="shared" si="70"/>
        <v>1704798.3889580376</v>
      </c>
      <c r="BC260" s="1">
        <f t="shared" si="71"/>
        <v>1147588.1300456319</v>
      </c>
      <c r="BI260" s="4">
        <f t="shared" si="65"/>
        <v>12408655.71418987</v>
      </c>
      <c r="BJ260" s="2">
        <f t="shared" si="82"/>
        <v>1155230.4403774412</v>
      </c>
      <c r="BK260" s="2"/>
      <c r="BL260" s="2"/>
      <c r="BM260" s="2"/>
      <c r="BN260" s="2"/>
      <c r="BO260" s="2"/>
      <c r="BP260" s="2"/>
      <c r="BQ260" s="2">
        <f t="shared" si="63"/>
        <v>917203.52707546949</v>
      </c>
      <c r="BR260" s="2"/>
      <c r="BS260" s="2"/>
      <c r="BT260" s="2"/>
      <c r="BU260" s="2"/>
      <c r="BV260" s="2"/>
      <c r="BW260" s="2"/>
      <c r="BX260" s="2"/>
      <c r="BY260" s="2"/>
      <c r="BZ260" s="1">
        <f t="shared" si="72"/>
        <v>3113702.8103716909</v>
      </c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1">
        <f t="shared" si="73"/>
        <v>637702.46605648892</v>
      </c>
      <c r="CU260" s="2"/>
      <c r="CV260" s="2"/>
      <c r="CW260" s="2"/>
      <c r="CX260" s="1">
        <f t="shared" si="74"/>
        <v>2032461.3074504524</v>
      </c>
      <c r="CY260" s="2"/>
      <c r="CZ260" s="2"/>
      <c r="DA260" s="2"/>
      <c r="DB260" s="2"/>
      <c r="DC260" s="2"/>
      <c r="DD260" s="2"/>
      <c r="DE260" s="1">
        <f t="shared" si="75"/>
        <v>1137864.1330467316</v>
      </c>
      <c r="DF260" s="2"/>
      <c r="DG260" s="2"/>
      <c r="DH260" s="2"/>
      <c r="DI260" s="2"/>
      <c r="DJ260" s="2"/>
      <c r="DK260" s="2"/>
      <c r="DL260" s="1">
        <f t="shared" si="76"/>
        <v>1339566.0814639083</v>
      </c>
      <c r="DM260" s="2"/>
      <c r="DN260" s="2"/>
      <c r="DO260" s="2"/>
      <c r="DP260" s="2"/>
      <c r="DQ260" s="2"/>
      <c r="DR260" s="2"/>
      <c r="DS260" s="1">
        <f t="shared" si="77"/>
        <v>1162788.0544691256</v>
      </c>
      <c r="DT260" s="2"/>
      <c r="DU260" s="2"/>
      <c r="DV260" s="2"/>
      <c r="DW260" s="2"/>
      <c r="DX260" s="2"/>
      <c r="DY260" s="2"/>
      <c r="DZ260" s="2"/>
      <c r="EA260" s="2"/>
      <c r="EB260" s="1">
        <f t="shared" si="78"/>
        <v>136207.47201975912</v>
      </c>
      <c r="EC260" s="2"/>
      <c r="ED260" s="2"/>
      <c r="EE260" s="1">
        <f t="shared" si="79"/>
        <v>169231.48198969802</v>
      </c>
      <c r="EF260" s="2"/>
      <c r="EG260" s="1">
        <f t="shared" si="79"/>
        <v>606697.93986910349</v>
      </c>
      <c r="EH260" s="2"/>
      <c r="HW260" s="4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1">
        <f t="shared" si="80"/>
        <v>3694386.9883672833</v>
      </c>
      <c r="LU260" s="1">
        <f t="shared" si="81"/>
        <v>2718969.6933504813</v>
      </c>
    </row>
    <row r="261" spans="1:333">
      <c r="A261" s="1">
        <v>1624</v>
      </c>
      <c r="B261" s="1">
        <f t="shared" si="64"/>
        <v>17301058.05635757</v>
      </c>
      <c r="C261" s="1">
        <f t="shared" si="66"/>
        <v>4645607.6379136788</v>
      </c>
      <c r="K261" s="1">
        <f t="shared" si="67"/>
        <v>2305062.8837137157</v>
      </c>
      <c r="U261" s="1">
        <f t="shared" si="68"/>
        <v>2405476.978330533</v>
      </c>
      <c r="AH261" s="1">
        <f t="shared" si="69"/>
        <v>5082825.9232313596</v>
      </c>
      <c r="AT261" s="1">
        <f t="shared" si="70"/>
        <v>1710594.7034804951</v>
      </c>
      <c r="BC261" s="1">
        <f t="shared" si="71"/>
        <v>1151489.9296877871</v>
      </c>
      <c r="BI261" s="4">
        <f t="shared" si="65"/>
        <v>12469007.044582397</v>
      </c>
      <c r="BJ261" s="2">
        <f t="shared" si="82"/>
        <v>1159966.8851829888</v>
      </c>
      <c r="BK261" s="2"/>
      <c r="BL261" s="2"/>
      <c r="BM261" s="2"/>
      <c r="BN261" s="2"/>
      <c r="BO261" s="2"/>
      <c r="BP261" s="2"/>
      <c r="BQ261" s="2">
        <f t="shared" si="63"/>
        <v>921789.54471084673</v>
      </c>
      <c r="BR261" s="2"/>
      <c r="BS261" s="2"/>
      <c r="BT261" s="2"/>
      <c r="BU261" s="2"/>
      <c r="BV261" s="2"/>
      <c r="BW261" s="2"/>
      <c r="BX261" s="2"/>
      <c r="BY261" s="2"/>
      <c r="BZ261" s="1">
        <f t="shared" si="72"/>
        <v>3135498.7300442923</v>
      </c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1">
        <f t="shared" si="73"/>
        <v>639870.65444108099</v>
      </c>
      <c r="CU261" s="2"/>
      <c r="CV261" s="2"/>
      <c r="CW261" s="2"/>
      <c r="CX261" s="1">
        <f t="shared" si="74"/>
        <v>2039371.6758957841</v>
      </c>
      <c r="CY261" s="2"/>
      <c r="CZ261" s="2"/>
      <c r="DA261" s="2"/>
      <c r="DB261" s="2"/>
      <c r="DC261" s="2"/>
      <c r="DD261" s="2"/>
      <c r="DE261" s="1">
        <f t="shared" si="75"/>
        <v>1141732.8710990904</v>
      </c>
      <c r="DF261" s="2"/>
      <c r="DG261" s="2"/>
      <c r="DH261" s="2"/>
      <c r="DI261" s="2"/>
      <c r="DJ261" s="2"/>
      <c r="DK261" s="2"/>
      <c r="DL261" s="1">
        <f t="shared" si="76"/>
        <v>1344120.6061408857</v>
      </c>
      <c r="DM261" s="2"/>
      <c r="DN261" s="2"/>
      <c r="DO261" s="2"/>
      <c r="DP261" s="2"/>
      <c r="DQ261" s="2"/>
      <c r="DR261" s="2"/>
      <c r="DS261" s="1">
        <f t="shared" si="77"/>
        <v>1170927.5708504093</v>
      </c>
      <c r="DT261" s="2"/>
      <c r="DU261" s="2"/>
      <c r="DV261" s="2"/>
      <c r="DW261" s="2"/>
      <c r="DX261" s="2"/>
      <c r="DY261" s="2"/>
      <c r="DZ261" s="2"/>
      <c r="EA261" s="2"/>
      <c r="EB261" s="1">
        <f t="shared" si="78"/>
        <v>137160.92432389743</v>
      </c>
      <c r="EC261" s="2"/>
      <c r="ED261" s="2"/>
      <c r="EE261" s="1">
        <f t="shared" si="79"/>
        <v>169806.869028463</v>
      </c>
      <c r="EF261" s="2"/>
      <c r="EG261" s="1">
        <f t="shared" si="79"/>
        <v>608760.71286465845</v>
      </c>
      <c r="EH261" s="2"/>
      <c r="HW261" s="4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1">
        <f t="shared" si="80"/>
        <v>3706947.9041277324</v>
      </c>
      <c r="LU261" s="1">
        <f t="shared" si="81"/>
        <v>2728214.1903078733</v>
      </c>
    </row>
    <row r="262" spans="1:333">
      <c r="A262" s="1">
        <v>1625</v>
      </c>
      <c r="B262" s="1">
        <f>C262+K262+U262+AD262+AH262+AG262+AT262+BC262+R262</f>
        <v>17365063.247597434</v>
      </c>
      <c r="C262" s="1">
        <f t="shared" si="66"/>
        <v>4661402.7038825853</v>
      </c>
      <c r="K262" s="1">
        <f t="shared" si="67"/>
        <v>2315435.6666904273</v>
      </c>
      <c r="U262" s="1">
        <f t="shared" si="68"/>
        <v>2416301.6247330201</v>
      </c>
      <c r="AH262" s="1">
        <f t="shared" si="69"/>
        <v>5100107.5313703464</v>
      </c>
      <c r="AT262" s="1">
        <f t="shared" si="70"/>
        <v>1716410.725472329</v>
      </c>
      <c r="BC262" s="1">
        <f t="shared" si="71"/>
        <v>1155404.9954487255</v>
      </c>
      <c r="BI262" s="4">
        <f t="shared" si="65"/>
        <v>12529685.422635932</v>
      </c>
      <c r="BJ262" s="2">
        <f t="shared" si="82"/>
        <v>1164722.7494122391</v>
      </c>
      <c r="BK262" s="2"/>
      <c r="BL262" s="2"/>
      <c r="BM262" s="2"/>
      <c r="BN262" s="2"/>
      <c r="BO262" s="2"/>
      <c r="BP262" s="2"/>
      <c r="BQ262" s="2">
        <f t="shared" si="63"/>
        <v>926398.49243440083</v>
      </c>
      <c r="BR262" s="2"/>
      <c r="BS262" s="2"/>
      <c r="BT262" s="2"/>
      <c r="BU262" s="2"/>
      <c r="BV262" s="2"/>
      <c r="BW262" s="2"/>
      <c r="BX262" s="2"/>
      <c r="BY262" s="2"/>
      <c r="BZ262" s="1">
        <f t="shared" si="72"/>
        <v>3157447.2211546018</v>
      </c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1">
        <f t="shared" si="73"/>
        <v>642046.21466618066</v>
      </c>
      <c r="CU262" s="2"/>
      <c r="CV262" s="2"/>
      <c r="CW262" s="2"/>
      <c r="CX262" s="1">
        <f t="shared" si="74"/>
        <v>2046305.5395938298</v>
      </c>
      <c r="CY262" s="2"/>
      <c r="CZ262" s="2"/>
      <c r="DA262" s="2"/>
      <c r="DB262" s="2"/>
      <c r="DC262" s="2"/>
      <c r="DD262" s="2"/>
      <c r="DE262" s="1">
        <f t="shared" si="75"/>
        <v>1145614.7628608274</v>
      </c>
      <c r="DF262" s="2"/>
      <c r="DG262" s="2"/>
      <c r="DH262" s="2"/>
      <c r="DI262" s="2"/>
      <c r="DJ262" s="2"/>
      <c r="DK262" s="2"/>
      <c r="DL262" s="1">
        <f t="shared" si="76"/>
        <v>1348690.6162017649</v>
      </c>
      <c r="DM262" s="2"/>
      <c r="DN262" s="2"/>
      <c r="DO262" s="2"/>
      <c r="DP262" s="2"/>
      <c r="DQ262" s="2"/>
      <c r="DR262" s="2"/>
      <c r="DS262" s="1">
        <f t="shared" si="77"/>
        <v>1179124.0638463621</v>
      </c>
      <c r="DT262" s="2"/>
      <c r="DU262" s="2"/>
      <c r="DV262" s="2"/>
      <c r="DW262" s="2"/>
      <c r="DX262" s="2"/>
      <c r="DY262" s="2"/>
      <c r="DZ262" s="2"/>
      <c r="EA262" s="2"/>
      <c r="EB262" s="1">
        <f t="shared" si="78"/>
        <v>138121.05079416471</v>
      </c>
      <c r="EC262" s="2"/>
      <c r="ED262" s="2"/>
      <c r="EE262" s="1">
        <f t="shared" si="79"/>
        <v>170384.21238315979</v>
      </c>
      <c r="EF262" s="2"/>
      <c r="EG262" s="1">
        <f t="shared" si="79"/>
        <v>610830.49928839831</v>
      </c>
      <c r="EH262" s="2"/>
      <c r="HW262" s="4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1">
        <f t="shared" si="80"/>
        <v>3719551.527001767</v>
      </c>
      <c r="LU262" s="1">
        <f t="shared" si="81"/>
        <v>2737490.1185549204</v>
      </c>
    </row>
    <row r="263" spans="1:333">
      <c r="A263" s="1">
        <v>1626</v>
      </c>
      <c r="B263" s="1">
        <f t="shared" ref="B263:B267" si="83">C263+K263+U263+AD263+AH263+AG263+AT263+BC263+R263</f>
        <v>17429309.373659831</v>
      </c>
      <c r="C263" s="1">
        <f t="shared" si="66"/>
        <v>4677251.4730757866</v>
      </c>
      <c r="K263" s="1">
        <f t="shared" si="67"/>
        <v>2325855.127190534</v>
      </c>
      <c r="U263" s="1">
        <f t="shared" si="68"/>
        <v>2427174.9820443187</v>
      </c>
      <c r="AH263" s="1">
        <f t="shared" si="69"/>
        <v>5117447.8969770055</v>
      </c>
      <c r="AT263" s="1">
        <f t="shared" si="70"/>
        <v>1722246.5219389349</v>
      </c>
      <c r="BC263" s="1">
        <f t="shared" si="71"/>
        <v>1159333.3724332512</v>
      </c>
      <c r="BI263" s="4">
        <f t="shared" si="65"/>
        <v>12590692.788994238</v>
      </c>
      <c r="BJ263" s="2">
        <f t="shared" si="82"/>
        <v>1169498.1126848292</v>
      </c>
      <c r="BK263" s="2"/>
      <c r="BL263" s="2"/>
      <c r="BM263" s="2"/>
      <c r="BN263" s="2"/>
      <c r="BO263" s="2"/>
      <c r="BP263" s="2"/>
      <c r="BQ263" s="2">
        <f t="shared" si="63"/>
        <v>931030.48489657277</v>
      </c>
      <c r="BR263" s="2"/>
      <c r="BS263" s="2"/>
      <c r="BT263" s="2"/>
      <c r="BU263" s="2"/>
      <c r="BV263" s="2"/>
      <c r="BW263" s="2"/>
      <c r="BX263" s="2"/>
      <c r="BY263" s="2"/>
      <c r="BZ263" s="1">
        <f t="shared" si="72"/>
        <v>3179549.3517026836</v>
      </c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1">
        <f t="shared" si="73"/>
        <v>644229.17179604573</v>
      </c>
      <c r="CU263" s="2"/>
      <c r="CV263" s="2"/>
      <c r="CW263" s="2"/>
      <c r="CX263" s="1">
        <f t="shared" si="74"/>
        <v>2053262.978428449</v>
      </c>
      <c r="CY263" s="2"/>
      <c r="CZ263" s="2"/>
      <c r="DA263" s="2"/>
      <c r="DB263" s="2"/>
      <c r="DC263" s="2"/>
      <c r="DD263" s="2"/>
      <c r="DE263" s="1">
        <f t="shared" si="75"/>
        <v>1149509.8530545542</v>
      </c>
      <c r="DF263" s="2"/>
      <c r="DG263" s="2"/>
      <c r="DH263" s="2"/>
      <c r="DI263" s="2"/>
      <c r="DJ263" s="2"/>
      <c r="DK263" s="2"/>
      <c r="DL263" s="1">
        <f t="shared" si="76"/>
        <v>1353276.164296851</v>
      </c>
      <c r="DM263" s="2"/>
      <c r="DN263" s="2"/>
      <c r="DO263" s="2"/>
      <c r="DP263" s="2"/>
      <c r="DQ263" s="2"/>
      <c r="DR263" s="2"/>
      <c r="DS263" s="1">
        <f t="shared" si="77"/>
        <v>1187377.9322932865</v>
      </c>
      <c r="DT263" s="2"/>
      <c r="DU263" s="2"/>
      <c r="DV263" s="2"/>
      <c r="DW263" s="2"/>
      <c r="DX263" s="2"/>
      <c r="DY263" s="2"/>
      <c r="DZ263" s="2"/>
      <c r="EA263" s="2"/>
      <c r="EB263" s="1">
        <f t="shared" si="78"/>
        <v>139087.89814972386</v>
      </c>
      <c r="EC263" s="2"/>
      <c r="ED263" s="2"/>
      <c r="EE263" s="1">
        <f t="shared" si="79"/>
        <v>170963.51870526254</v>
      </c>
      <c r="EF263" s="2"/>
      <c r="EG263" s="1">
        <f t="shared" si="79"/>
        <v>612907.32298597891</v>
      </c>
      <c r="EH263" s="2"/>
      <c r="HW263" s="4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1">
        <f t="shared" si="80"/>
        <v>3732198.0021935734</v>
      </c>
      <c r="LU263" s="1">
        <f t="shared" si="81"/>
        <v>2746797.5849580076</v>
      </c>
    </row>
    <row r="264" spans="1:333">
      <c r="A264" s="1">
        <v>1627</v>
      </c>
      <c r="B264" s="1">
        <f t="shared" si="83"/>
        <v>17493797.358650435</v>
      </c>
      <c r="C264" s="1">
        <f t="shared" si="66"/>
        <v>4693154.1280842442</v>
      </c>
      <c r="K264" s="1">
        <f t="shared" si="67"/>
        <v>2336321.4752628915</v>
      </c>
      <c r="U264" s="1">
        <f t="shared" si="68"/>
        <v>2438097.2694635182</v>
      </c>
      <c r="AH264" s="1">
        <f t="shared" si="69"/>
        <v>5134847.2198267281</v>
      </c>
      <c r="AT264" s="1">
        <f t="shared" si="70"/>
        <v>1728102.1601135274</v>
      </c>
      <c r="BC264" s="1">
        <f t="shared" si="71"/>
        <v>1163275.1058995244</v>
      </c>
      <c r="BI264" s="4">
        <f t="shared" si="65"/>
        <v>12652031.096587257</v>
      </c>
      <c r="BJ264" s="2">
        <f t="shared" si="82"/>
        <v>1174293.054946837</v>
      </c>
      <c r="BK264" s="2"/>
      <c r="BL264" s="2"/>
      <c r="BM264" s="2"/>
      <c r="BN264" s="2"/>
      <c r="BO264" s="2"/>
      <c r="BP264" s="2"/>
      <c r="BQ264" s="2">
        <f t="shared" si="63"/>
        <v>935685.63732105552</v>
      </c>
      <c r="BR264" s="2"/>
      <c r="BS264" s="2"/>
      <c r="BT264" s="2"/>
      <c r="BU264" s="2"/>
      <c r="BV264" s="2"/>
      <c r="BW264" s="2"/>
      <c r="BX264" s="2"/>
      <c r="BY264" s="2"/>
      <c r="BZ264" s="1">
        <f t="shared" si="72"/>
        <v>3201806.1971646021</v>
      </c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1">
        <f t="shared" si="73"/>
        <v>646419.55098015233</v>
      </c>
      <c r="CU264" s="2"/>
      <c r="CV264" s="2"/>
      <c r="CW264" s="2"/>
      <c r="CX264" s="1">
        <f t="shared" si="74"/>
        <v>2060244.0725551059</v>
      </c>
      <c r="CY264" s="2"/>
      <c r="CZ264" s="2"/>
      <c r="DA264" s="2"/>
      <c r="DB264" s="2"/>
      <c r="DC264" s="2"/>
      <c r="DD264" s="2"/>
      <c r="DE264" s="1">
        <f t="shared" si="75"/>
        <v>1153418.1865549397</v>
      </c>
      <c r="DF264" s="2"/>
      <c r="DG264" s="2"/>
      <c r="DH264" s="2"/>
      <c r="DI264" s="2"/>
      <c r="DJ264" s="2"/>
      <c r="DK264" s="2"/>
      <c r="DL264" s="1">
        <f t="shared" si="76"/>
        <v>1357877.3032554605</v>
      </c>
      <c r="DM264" s="2"/>
      <c r="DN264" s="2"/>
      <c r="DO264" s="2"/>
      <c r="DP264" s="2"/>
      <c r="DQ264" s="2"/>
      <c r="DR264" s="2"/>
      <c r="DS264" s="1">
        <f t="shared" si="77"/>
        <v>1195689.5778193395</v>
      </c>
      <c r="DT264" s="2"/>
      <c r="DU264" s="2"/>
      <c r="DV264" s="2"/>
      <c r="DW264" s="2"/>
      <c r="DX264" s="2"/>
      <c r="DY264" s="2"/>
      <c r="DZ264" s="2"/>
      <c r="EA264" s="2"/>
      <c r="EB264" s="1">
        <f t="shared" si="78"/>
        <v>140061.5134367719</v>
      </c>
      <c r="EC264" s="2"/>
      <c r="ED264" s="2"/>
      <c r="EE264" s="1">
        <f t="shared" si="79"/>
        <v>171544.79466886044</v>
      </c>
      <c r="EF264" s="2"/>
      <c r="EG264" s="1">
        <f t="shared" si="79"/>
        <v>614991.20788413123</v>
      </c>
      <c r="EH264" s="2"/>
      <c r="HW264" s="4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1">
        <f t="shared" si="80"/>
        <v>3744887.4754010318</v>
      </c>
      <c r="LU264" s="1">
        <f t="shared" si="81"/>
        <v>2756136.6967468648</v>
      </c>
    </row>
    <row r="265" spans="1:333">
      <c r="A265" s="1">
        <v>1628</v>
      </c>
      <c r="B265" s="1">
        <f t="shared" si="83"/>
        <v>17558528.130289044</v>
      </c>
      <c r="C265" s="1">
        <f t="shared" si="66"/>
        <v>4709110.8521197308</v>
      </c>
      <c r="K265" s="1">
        <f t="shared" si="67"/>
        <v>2346834.9219015744</v>
      </c>
      <c r="U265" s="1">
        <f t="shared" si="68"/>
        <v>2449068.7071761037</v>
      </c>
      <c r="AH265" s="1">
        <f t="shared" si="69"/>
        <v>5152305.7003741395</v>
      </c>
      <c r="AT265" s="1">
        <f t="shared" si="70"/>
        <v>1733977.7074579136</v>
      </c>
      <c r="BC265" s="1">
        <f t="shared" si="71"/>
        <v>1167230.2412595828</v>
      </c>
      <c r="BI265" s="4">
        <f t="shared" si="65"/>
        <v>12713702.310712142</v>
      </c>
      <c r="BJ265" s="2">
        <f t="shared" si="82"/>
        <v>1179107.656472119</v>
      </c>
      <c r="BK265" s="2"/>
      <c r="BL265" s="2"/>
      <c r="BM265" s="2"/>
      <c r="BN265" s="2"/>
      <c r="BO265" s="2"/>
      <c r="BP265" s="2"/>
      <c r="BQ265" s="2">
        <f t="shared" si="63"/>
        <v>940364.06550766074</v>
      </c>
      <c r="BR265" s="2"/>
      <c r="BS265" s="2"/>
      <c r="BT265" s="2"/>
      <c r="BU265" s="2"/>
      <c r="BV265" s="2"/>
      <c r="BW265" s="2"/>
      <c r="BX265" s="2"/>
      <c r="BY265" s="2"/>
      <c r="BZ265" s="1">
        <f t="shared" si="72"/>
        <v>3224218.8405447542</v>
      </c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1">
        <f t="shared" si="73"/>
        <v>648617.37745348492</v>
      </c>
      <c r="CU265" s="2"/>
      <c r="CV265" s="2"/>
      <c r="CW265" s="2"/>
      <c r="CX265" s="1">
        <f t="shared" si="74"/>
        <v>2067248.9024017935</v>
      </c>
      <c r="CY265" s="2"/>
      <c r="CZ265" s="2"/>
      <c r="DA265" s="2"/>
      <c r="DB265" s="2"/>
      <c r="DC265" s="2"/>
      <c r="DD265" s="2"/>
      <c r="DE265" s="1">
        <f t="shared" si="75"/>
        <v>1157339.8083892267</v>
      </c>
      <c r="DF265" s="2"/>
      <c r="DG265" s="2"/>
      <c r="DH265" s="2"/>
      <c r="DI265" s="2"/>
      <c r="DJ265" s="2"/>
      <c r="DK265" s="2"/>
      <c r="DL265" s="1">
        <f t="shared" si="76"/>
        <v>1362494.0860865291</v>
      </c>
      <c r="DM265" s="2"/>
      <c r="DN265" s="2"/>
      <c r="DO265" s="2"/>
      <c r="DP265" s="2"/>
      <c r="DQ265" s="2"/>
      <c r="DR265" s="2"/>
      <c r="DS265" s="1">
        <f t="shared" si="77"/>
        <v>1204059.4048640747</v>
      </c>
      <c r="DT265" s="2"/>
      <c r="DU265" s="2"/>
      <c r="DV265" s="2"/>
      <c r="DW265" s="2"/>
      <c r="DX265" s="2"/>
      <c r="DY265" s="2"/>
      <c r="DZ265" s="2"/>
      <c r="EA265" s="2"/>
      <c r="EB265" s="1">
        <f t="shared" si="78"/>
        <v>141041.9440308293</v>
      </c>
      <c r="EC265" s="2"/>
      <c r="ED265" s="2"/>
      <c r="EE265" s="1">
        <f t="shared" si="79"/>
        <v>172128.04697073458</v>
      </c>
      <c r="EF265" s="2"/>
      <c r="EG265" s="1">
        <f t="shared" si="79"/>
        <v>617082.17799093737</v>
      </c>
      <c r="EH265" s="2"/>
      <c r="HW265" s="4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1">
        <f t="shared" si="80"/>
        <v>3757620.0928173955</v>
      </c>
      <c r="LU265" s="1">
        <f t="shared" si="81"/>
        <v>2765507.5615158044</v>
      </c>
    </row>
    <row r="266" spans="1:333">
      <c r="A266" s="1">
        <v>1629</v>
      </c>
      <c r="B266" s="1">
        <f t="shared" si="83"/>
        <v>17623502.619924013</v>
      </c>
      <c r="C266" s="1">
        <f t="shared" si="66"/>
        <v>4725121.8290169379</v>
      </c>
      <c r="K266" s="1">
        <f t="shared" si="67"/>
        <v>2357395.6790501312</v>
      </c>
      <c r="U266" s="1">
        <f t="shared" si="68"/>
        <v>2460089.516358396</v>
      </c>
      <c r="AH266" s="1">
        <f t="shared" si="69"/>
        <v>5169823.5397554114</v>
      </c>
      <c r="AT266" s="1">
        <f t="shared" si="70"/>
        <v>1739873.2316632706</v>
      </c>
      <c r="BC266" s="1">
        <f t="shared" si="71"/>
        <v>1171198.8240798654</v>
      </c>
      <c r="BI266" s="4">
        <f t="shared" si="65"/>
        <v>12775708.40911489</v>
      </c>
      <c r="BJ266" s="2">
        <f t="shared" si="82"/>
        <v>1183941.9978636547</v>
      </c>
      <c r="BK266" s="2"/>
      <c r="BL266" s="2"/>
      <c r="BM266" s="2"/>
      <c r="BN266" s="2"/>
      <c r="BO266" s="2"/>
      <c r="BP266" s="2"/>
      <c r="BQ266" s="2">
        <f t="shared" si="63"/>
        <v>945065.88583519892</v>
      </c>
      <c r="BR266" s="2"/>
      <c r="BS266" s="2"/>
      <c r="BT266" s="2"/>
      <c r="BU266" s="2"/>
      <c r="BV266" s="2"/>
      <c r="BW266" s="2"/>
      <c r="BX266" s="2"/>
      <c r="BY266" s="2"/>
      <c r="BZ266" s="1">
        <f t="shared" si="72"/>
        <v>3246788.3724285671</v>
      </c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1">
        <f t="shared" si="73"/>
        <v>650822.67653682677</v>
      </c>
      <c r="CU266" s="2"/>
      <c r="CV266" s="2"/>
      <c r="CW266" s="2"/>
      <c r="CX266" s="1">
        <f t="shared" si="74"/>
        <v>2074277.5486699597</v>
      </c>
      <c r="CY266" s="2"/>
      <c r="CZ266" s="2"/>
      <c r="DA266" s="2"/>
      <c r="DB266" s="2"/>
      <c r="DC266" s="2"/>
      <c r="DD266" s="2"/>
      <c r="DE266" s="1">
        <f t="shared" si="75"/>
        <v>1161274.7637377502</v>
      </c>
      <c r="DF266" s="2"/>
      <c r="DG266" s="2"/>
      <c r="DH266" s="2"/>
      <c r="DI266" s="2"/>
      <c r="DJ266" s="2"/>
      <c r="DK266" s="2"/>
      <c r="DL266" s="1">
        <f t="shared" si="76"/>
        <v>1367126.5659792235</v>
      </c>
      <c r="DM266" s="2"/>
      <c r="DN266" s="2"/>
      <c r="DO266" s="2"/>
      <c r="DP266" s="2"/>
      <c r="DQ266" s="2"/>
      <c r="DR266" s="2"/>
      <c r="DS266" s="1">
        <f t="shared" si="77"/>
        <v>1212487.820698123</v>
      </c>
      <c r="DT266" s="2"/>
      <c r="DU266" s="2"/>
      <c r="DV266" s="2"/>
      <c r="DW266" s="2"/>
      <c r="DX266" s="2"/>
      <c r="DY266" s="2"/>
      <c r="DZ266" s="2"/>
      <c r="EA266" s="2"/>
      <c r="EB266" s="1">
        <f t="shared" si="78"/>
        <v>142029.23763904508</v>
      </c>
      <c r="EC266" s="2"/>
      <c r="ED266" s="2"/>
      <c r="EE266" s="1">
        <f t="shared" si="79"/>
        <v>172713.28233043509</v>
      </c>
      <c r="EF266" s="2"/>
      <c r="EG266" s="1">
        <f t="shared" si="79"/>
        <v>619180.25739610661</v>
      </c>
      <c r="EH266" s="2"/>
      <c r="HW266" s="4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1">
        <f t="shared" si="80"/>
        <v>3770396.0011329749</v>
      </c>
      <c r="LU266" s="1">
        <f t="shared" si="81"/>
        <v>2774910.2872249582</v>
      </c>
    </row>
    <row r="267" spans="1:333">
      <c r="A267" s="1">
        <v>1630</v>
      </c>
      <c r="B267" s="1">
        <f t="shared" si="83"/>
        <v>17688721.762546703</v>
      </c>
      <c r="C267" s="1">
        <f t="shared" si="66"/>
        <v>4741187.2432355955</v>
      </c>
      <c r="K267" s="1">
        <f t="shared" si="67"/>
        <v>2368003.9596058568</v>
      </c>
      <c r="U267" s="1">
        <f t="shared" si="68"/>
        <v>2471159.9191820086</v>
      </c>
      <c r="AH267" s="1">
        <f t="shared" si="69"/>
        <v>5187400.9397905804</v>
      </c>
      <c r="AT267" s="1">
        <f t="shared" si="70"/>
        <v>1745788.8006509258</v>
      </c>
      <c r="BC267" s="1">
        <f t="shared" si="71"/>
        <v>1175180.900081737</v>
      </c>
      <c r="BI267" s="4">
        <f t="shared" si="65"/>
        <v>12838051.382072479</v>
      </c>
      <c r="BJ267" s="2">
        <f t="shared" si="82"/>
        <v>1188796.1600548958</v>
      </c>
      <c r="BK267" s="2"/>
      <c r="BL267" s="2"/>
      <c r="BM267" s="2"/>
      <c r="BN267" s="2"/>
      <c r="BO267" s="2"/>
      <c r="BP267" s="2"/>
      <c r="BQ267" s="2">
        <f t="shared" si="63"/>
        <v>949791.21526437486</v>
      </c>
      <c r="BR267" s="2"/>
      <c r="BS267" s="2"/>
      <c r="BT267" s="2"/>
      <c r="BU267" s="2"/>
      <c r="BV267" s="2"/>
      <c r="BW267" s="2"/>
      <c r="BX267" s="2"/>
      <c r="BY267" s="2"/>
      <c r="BZ267" s="1">
        <f t="shared" si="72"/>
        <v>3269515.8910355666</v>
      </c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1">
        <f t="shared" si="73"/>
        <v>653035.473637052</v>
      </c>
      <c r="CU267" s="2"/>
      <c r="CV267" s="2"/>
      <c r="CW267" s="2"/>
      <c r="CX267" s="1">
        <f t="shared" si="74"/>
        <v>2081330.0923354377</v>
      </c>
      <c r="CY267" s="2"/>
      <c r="CZ267" s="2"/>
      <c r="DA267" s="2"/>
      <c r="DB267" s="2"/>
      <c r="DC267" s="2"/>
      <c r="DD267" s="2"/>
      <c r="DE267" s="1">
        <f t="shared" si="75"/>
        <v>1165223.0979344586</v>
      </c>
      <c r="DF267" s="2"/>
      <c r="DG267" s="2"/>
      <c r="DH267" s="2"/>
      <c r="DI267" s="2"/>
      <c r="DJ267" s="2"/>
      <c r="DK267" s="2"/>
      <c r="DL267" s="1">
        <f t="shared" si="76"/>
        <v>1371774.7963035528</v>
      </c>
      <c r="DM267" s="2"/>
      <c r="DN267" s="2"/>
      <c r="DO267" s="2"/>
      <c r="DP267" s="2"/>
      <c r="DQ267" s="2"/>
      <c r="DR267" s="2"/>
      <c r="DS267" s="1">
        <f t="shared" si="77"/>
        <v>1220975.2354430098</v>
      </c>
      <c r="DT267" s="2"/>
      <c r="DU267" s="2"/>
      <c r="DV267" s="2"/>
      <c r="DW267" s="2"/>
      <c r="DX267" s="2"/>
      <c r="DY267" s="2"/>
      <c r="DZ267" s="2"/>
      <c r="EA267" s="2"/>
      <c r="EB267" s="1">
        <f t="shared" si="78"/>
        <v>143023.44230251838</v>
      </c>
      <c r="EC267" s="2"/>
      <c r="ED267" s="2"/>
      <c r="EE267" s="1">
        <f t="shared" si="79"/>
        <v>173300.50749035858</v>
      </c>
      <c r="EF267" s="2"/>
      <c r="EG267" s="1">
        <f t="shared" si="79"/>
        <v>621285.47027125338</v>
      </c>
      <c r="EH267" s="2"/>
      <c r="EI267" s="1">
        <v>24900000</v>
      </c>
      <c r="HW267" s="4">
        <v>19300000</v>
      </c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1">
        <f t="shared" si="80"/>
        <v>3783215.3475368274</v>
      </c>
      <c r="LU267" s="1">
        <f t="shared" si="81"/>
        <v>2784344.9822015231</v>
      </c>
    </row>
    <row r="268" spans="1:333">
      <c r="A268" s="1">
        <v>1631</v>
      </c>
      <c r="BI268" s="4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HW268" s="4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</row>
    <row r="269" spans="1:333">
      <c r="A269" s="1">
        <v>1632</v>
      </c>
      <c r="BI269" s="4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HW269" s="4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</row>
    <row r="270" spans="1:333">
      <c r="A270" s="1">
        <v>1633</v>
      </c>
      <c r="BI270" s="4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HW270" s="4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</row>
    <row r="271" spans="1:333">
      <c r="A271" s="1">
        <v>1634</v>
      </c>
      <c r="BI271" s="4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HW271" s="4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</row>
    <row r="272" spans="1:333">
      <c r="A272" s="1">
        <v>1635</v>
      </c>
      <c r="BI272" s="4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HW272" s="4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</row>
    <row r="273" spans="1:333">
      <c r="A273" s="1">
        <v>1636</v>
      </c>
      <c r="BI273" s="4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HW273" s="4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</row>
    <row r="274" spans="1:333">
      <c r="A274" s="1">
        <v>1637</v>
      </c>
      <c r="BI274" s="4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HW274" s="4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</row>
    <row r="275" spans="1:333">
      <c r="A275" s="1">
        <v>1638</v>
      </c>
      <c r="BI275" s="4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HW275" s="4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</row>
    <row r="276" spans="1:333">
      <c r="A276" s="1">
        <v>1639</v>
      </c>
      <c r="BI276" s="4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HW276" s="4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</row>
    <row r="277" spans="1:333">
      <c r="A277" s="1">
        <v>1640</v>
      </c>
      <c r="AP277" s="1">
        <v>956384</v>
      </c>
      <c r="BI277" s="4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HW277" s="4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</row>
    <row r="278" spans="1:333">
      <c r="A278" s="1">
        <v>1641</v>
      </c>
      <c r="BI278" s="4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HW278" s="4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P278" s="1">
        <v>256089</v>
      </c>
      <c r="LR278" s="1">
        <v>1033356</v>
      </c>
      <c r="LU278" s="1">
        <v>2548776</v>
      </c>
    </row>
    <row r="279" spans="1:333">
      <c r="A279" s="1">
        <v>1642</v>
      </c>
      <c r="BI279" s="4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HW279" s="4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</row>
    <row r="280" spans="1:333">
      <c r="A280" s="1">
        <v>1643</v>
      </c>
      <c r="BI280" s="4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HW280" s="4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</row>
    <row r="281" spans="1:333">
      <c r="A281" s="1">
        <v>1644</v>
      </c>
      <c r="B281" s="1">
        <f>B267*0.836</f>
        <v>14787771.393489044</v>
      </c>
      <c r="BI281" s="4">
        <f>BI267*0.836</f>
        <v>10732610.955412591</v>
      </c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1">
        <v>19900000</v>
      </c>
      <c r="HW281" s="4">
        <v>19300000</v>
      </c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1">
        <v>3163110.0849003606</v>
      </c>
      <c r="LP281" s="19"/>
    </row>
    <row r="282" spans="1:333">
      <c r="A282" s="1">
        <v>1645</v>
      </c>
      <c r="BI282" s="4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HW282" s="4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</row>
    <row r="283" spans="1:333">
      <c r="A283" s="1">
        <v>1646</v>
      </c>
      <c r="BI283" s="4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HW283" s="4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</row>
    <row r="284" spans="1:333">
      <c r="A284" s="1">
        <v>1647</v>
      </c>
      <c r="BI284" s="4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HW284" s="4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</row>
    <row r="285" spans="1:333">
      <c r="A285" s="1">
        <v>1648</v>
      </c>
      <c r="BI285" s="4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HW285" s="4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</row>
    <row r="286" spans="1:333">
      <c r="A286" s="1">
        <v>1649</v>
      </c>
      <c r="BI286" s="4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HW286" s="4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</row>
    <row r="287" spans="1:333">
      <c r="A287" s="1">
        <v>1650</v>
      </c>
      <c r="BI287" s="4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HW287" s="4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</row>
    <row r="288" spans="1:333">
      <c r="A288" s="1">
        <v>1651</v>
      </c>
      <c r="BI288" s="4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HW288" s="4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</row>
    <row r="289" spans="1:326">
      <c r="A289" s="1">
        <v>1652</v>
      </c>
      <c r="BI289" s="4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HW289" s="4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</row>
    <row r="290" spans="1:326">
      <c r="A290" s="1">
        <v>1653</v>
      </c>
      <c r="BI290" s="4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HW290" s="4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</row>
    <row r="291" spans="1:326">
      <c r="A291" s="1">
        <v>1654</v>
      </c>
      <c r="BI291" s="4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HW291" s="4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</row>
    <row r="292" spans="1:326">
      <c r="A292" s="1">
        <v>1655</v>
      </c>
      <c r="BI292" s="4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17"/>
      <c r="CR292" s="2"/>
      <c r="CS292" s="2"/>
      <c r="CT292" s="2"/>
      <c r="CU292" s="2"/>
      <c r="CV292" s="2"/>
      <c r="CW292" s="2"/>
      <c r="CX292" s="17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HW292" s="4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</row>
    <row r="293" spans="1:326">
      <c r="A293" s="1">
        <v>1656</v>
      </c>
      <c r="BI293" s="4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HW293" s="4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</row>
    <row r="294" spans="1:326">
      <c r="A294" s="1">
        <v>1657</v>
      </c>
      <c r="BI294" s="4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HW294" s="4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</row>
    <row r="295" spans="1:326">
      <c r="A295" s="1">
        <v>1658</v>
      </c>
      <c r="BI295" s="4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HW295" s="4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</row>
    <row r="296" spans="1:326">
      <c r="A296" s="1">
        <v>1659</v>
      </c>
      <c r="BI296" s="4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HW296" s="4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</row>
    <row r="297" spans="1:326">
      <c r="A297" s="1">
        <v>1660</v>
      </c>
      <c r="BI297" s="4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HW297" s="4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</row>
    <row r="298" spans="1:326">
      <c r="A298" s="1">
        <v>1661</v>
      </c>
      <c r="BI298" s="4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HW298" s="4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</row>
    <row r="299" spans="1:326">
      <c r="A299" s="1">
        <v>1662</v>
      </c>
      <c r="BI299" s="4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HW299" s="4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</row>
    <row r="300" spans="1:326">
      <c r="A300" s="1">
        <v>1663</v>
      </c>
      <c r="BI300" s="4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HW300" s="4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</row>
    <row r="301" spans="1:326">
      <c r="A301" s="1">
        <v>1664</v>
      </c>
      <c r="BI301" s="4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HW301" s="4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</row>
    <row r="302" spans="1:326">
      <c r="A302" s="1">
        <v>1665</v>
      </c>
      <c r="BI302" s="4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HW302" s="4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</row>
    <row r="303" spans="1:326">
      <c r="A303" s="1">
        <v>1666</v>
      </c>
      <c r="BI303" s="4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HW303" s="4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</row>
    <row r="304" spans="1:326">
      <c r="A304" s="1">
        <v>1667</v>
      </c>
      <c r="BI304" s="4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HW304" s="4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</row>
    <row r="305" spans="1:333">
      <c r="A305" s="1">
        <v>1668</v>
      </c>
      <c r="BI305" s="4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HW305" s="4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</row>
    <row r="306" spans="1:333">
      <c r="A306" s="1">
        <v>1669</v>
      </c>
      <c r="BI306" s="4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HW306" s="4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</row>
    <row r="307" spans="1:333">
      <c r="A307" s="1">
        <v>1670</v>
      </c>
      <c r="BI307" s="4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HW307" s="4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</row>
    <row r="308" spans="1:333">
      <c r="A308" s="1">
        <v>1671</v>
      </c>
      <c r="BI308" s="4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HW308" s="4"/>
      <c r="HX308" s="2"/>
      <c r="HY308" s="2"/>
      <c r="HZ308" s="2"/>
      <c r="IA308" s="2"/>
      <c r="IB308" s="2"/>
      <c r="IC308" s="2"/>
      <c r="ID308" s="2"/>
      <c r="IE308" s="2"/>
      <c r="IF308" s="18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18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</row>
    <row r="309" spans="1:333">
      <c r="A309" s="1">
        <v>1672</v>
      </c>
      <c r="BI309" s="4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HW309" s="4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</row>
    <row r="310" spans="1:333">
      <c r="A310" s="1">
        <v>1673</v>
      </c>
      <c r="BI310" s="4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HW310" s="4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</row>
    <row r="311" spans="1:333">
      <c r="A311" s="1">
        <v>1674</v>
      </c>
      <c r="BI311" s="4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HW311" s="4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</row>
    <row r="312" spans="1:333">
      <c r="A312" s="1">
        <v>1675</v>
      </c>
      <c r="BI312" s="4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HW312" s="4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</row>
    <row r="313" spans="1:333">
      <c r="A313" s="1">
        <v>1676</v>
      </c>
      <c r="BI313" s="4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HW313" s="4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</row>
    <row r="314" spans="1:333">
      <c r="A314" s="1">
        <v>1677</v>
      </c>
      <c r="BI314" s="4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HW314" s="4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</row>
    <row r="315" spans="1:333">
      <c r="A315" s="1">
        <v>1678</v>
      </c>
      <c r="BI315" s="4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HW315" s="4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</row>
    <row r="316" spans="1:333">
      <c r="A316" s="1">
        <v>1679</v>
      </c>
      <c r="BI316" s="4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HW316" s="4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</row>
    <row r="317" spans="1:333">
      <c r="A317" s="1">
        <v>1680</v>
      </c>
      <c r="AP317" s="1">
        <v>465132</v>
      </c>
      <c r="BI317" s="4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HW317" s="4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R317" s="1">
        <v>499063</v>
      </c>
      <c r="LU317" s="1">
        <v>1529818</v>
      </c>
    </row>
    <row r="318" spans="1:333">
      <c r="A318" s="1">
        <v>1681</v>
      </c>
      <c r="BI318" s="4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HW318" s="4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</row>
    <row r="319" spans="1:333">
      <c r="A319" s="1">
        <v>1682</v>
      </c>
      <c r="BI319" s="4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HW319" s="4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</row>
    <row r="320" spans="1:333">
      <c r="A320" s="1">
        <v>1683</v>
      </c>
      <c r="BI320" s="4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HW320" s="4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</row>
    <row r="321" spans="1:326">
      <c r="A321" s="1">
        <v>1684</v>
      </c>
      <c r="BI321" s="4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HW321" s="4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</row>
    <row r="322" spans="1:326">
      <c r="A322" s="1">
        <v>1685</v>
      </c>
      <c r="BI322" s="4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HW322" s="4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</row>
    <row r="323" spans="1:326">
      <c r="A323" s="1">
        <v>1686</v>
      </c>
      <c r="BI323" s="4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HW323" s="4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</row>
    <row r="324" spans="1:326">
      <c r="A324" s="1">
        <v>1687</v>
      </c>
      <c r="BI324" s="4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HW324" s="4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  <c r="LC324" s="2"/>
      <c r="LD324" s="2"/>
      <c r="LE324" s="2"/>
      <c r="LF324" s="2"/>
      <c r="LG324" s="2"/>
      <c r="LH324" s="2"/>
      <c r="LI324" s="2"/>
      <c r="LJ324" s="2"/>
      <c r="LK324" s="2"/>
      <c r="LL324" s="2"/>
      <c r="LM324" s="2"/>
      <c r="LN324" s="2"/>
    </row>
    <row r="325" spans="1:326">
      <c r="A325" s="1">
        <v>1688</v>
      </c>
      <c r="BI325" s="4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HW325" s="4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/>
      <c r="KW325" s="2"/>
      <c r="KX325" s="2"/>
      <c r="KY325" s="2"/>
      <c r="KZ325" s="2"/>
      <c r="LA325" s="2"/>
      <c r="LB325" s="2"/>
      <c r="LC325" s="2"/>
      <c r="LD325" s="2"/>
      <c r="LE325" s="2"/>
      <c r="LF325" s="2"/>
      <c r="LG325" s="2"/>
      <c r="LH325" s="2"/>
      <c r="LI325" s="2"/>
      <c r="LJ325" s="2"/>
      <c r="LK325" s="2"/>
      <c r="LL325" s="2"/>
      <c r="LM325" s="2"/>
      <c r="LN325" s="2"/>
    </row>
    <row r="326" spans="1:326">
      <c r="A326" s="1">
        <v>1689</v>
      </c>
      <c r="BI326" s="4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HW326" s="4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r="KW326" s="2"/>
      <c r="KX326" s="2"/>
      <c r="KY326" s="2"/>
      <c r="KZ326" s="2"/>
      <c r="LA326" s="2"/>
      <c r="LB326" s="2"/>
      <c r="LC326" s="2"/>
      <c r="LD326" s="2"/>
      <c r="LE326" s="2"/>
      <c r="LF326" s="2"/>
      <c r="LG326" s="2"/>
      <c r="LH326" s="2"/>
      <c r="LI326" s="2"/>
      <c r="LJ326" s="2"/>
      <c r="LK326" s="2"/>
      <c r="LL326" s="2"/>
      <c r="LM326" s="2"/>
      <c r="LN326" s="2"/>
    </row>
    <row r="327" spans="1:326">
      <c r="A327" s="1">
        <v>1690</v>
      </c>
      <c r="BI327" s="4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HW327" s="4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  <c r="KX327" s="2"/>
      <c r="KY327" s="2"/>
      <c r="KZ327" s="2"/>
      <c r="LA327" s="2"/>
      <c r="LB327" s="2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</row>
    <row r="328" spans="1:326">
      <c r="A328" s="1">
        <v>1691</v>
      </c>
      <c r="BI328" s="4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HW328" s="4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</row>
    <row r="329" spans="1:326">
      <c r="A329" s="1">
        <v>1692</v>
      </c>
      <c r="BI329" s="4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HW329" s="4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</row>
    <row r="330" spans="1:326">
      <c r="A330" s="1">
        <v>1693</v>
      </c>
      <c r="BI330" s="4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HW330" s="4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/>
      <c r="KZ330" s="2"/>
      <c r="LA330" s="2"/>
      <c r="LB330" s="2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</row>
    <row r="331" spans="1:326">
      <c r="A331" s="1">
        <v>1694</v>
      </c>
      <c r="BI331" s="4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HW331" s="4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</row>
    <row r="332" spans="1:326">
      <c r="A332" s="1">
        <v>1695</v>
      </c>
      <c r="BI332" s="4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HW332" s="4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</row>
    <row r="333" spans="1:326">
      <c r="A333" s="1">
        <v>1696</v>
      </c>
      <c r="BI333" s="4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HW333" s="4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</row>
    <row r="334" spans="1:326">
      <c r="A334" s="1">
        <v>1697</v>
      </c>
      <c r="BI334" s="4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HW334" s="4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/>
      <c r="KZ334" s="2"/>
      <c r="LA334" s="2"/>
      <c r="LB334" s="2"/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/>
    </row>
    <row r="335" spans="1:326">
      <c r="A335" s="1">
        <v>1698</v>
      </c>
      <c r="BI335" s="4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HW335" s="4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  <c r="KX335" s="2"/>
      <c r="KY335" s="2"/>
      <c r="KZ335" s="2"/>
      <c r="LA335" s="2"/>
      <c r="LB335" s="2"/>
      <c r="LC335" s="2"/>
      <c r="LD335" s="2"/>
      <c r="LE335" s="2"/>
      <c r="LF335" s="2"/>
      <c r="LG335" s="2"/>
      <c r="LH335" s="2"/>
      <c r="LI335" s="2"/>
      <c r="LJ335" s="2"/>
      <c r="LK335" s="2"/>
      <c r="LL335" s="2"/>
      <c r="LM335" s="2"/>
      <c r="LN335" s="2"/>
    </row>
    <row r="336" spans="1:326">
      <c r="A336" s="1">
        <v>1699</v>
      </c>
      <c r="BI336" s="4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HW336" s="4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  <c r="LC336" s="2"/>
      <c r="LD336" s="2"/>
      <c r="LE336" s="2"/>
      <c r="LF336" s="2"/>
      <c r="LG336" s="2"/>
      <c r="LH336" s="2"/>
      <c r="LI336" s="2"/>
      <c r="LJ336" s="2"/>
      <c r="LK336" s="2"/>
      <c r="LL336" s="2"/>
      <c r="LM336" s="2"/>
      <c r="LN336" s="2"/>
    </row>
    <row r="337" spans="1:326">
      <c r="A337" s="1">
        <v>1700</v>
      </c>
      <c r="BI337" s="4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HW337" s="4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U337" s="2"/>
      <c r="KV337" s="2"/>
      <c r="KW337" s="2"/>
      <c r="KX337" s="2"/>
      <c r="KY337" s="2"/>
      <c r="KZ337" s="2"/>
      <c r="LA337" s="2"/>
      <c r="LB337" s="2"/>
      <c r="LC337" s="2"/>
      <c r="LD337" s="2"/>
      <c r="LE337" s="2"/>
      <c r="LF337" s="2"/>
      <c r="LG337" s="2"/>
      <c r="LH337" s="2"/>
      <c r="LI337" s="2"/>
      <c r="LJ337" s="2"/>
      <c r="LK337" s="2"/>
      <c r="LL337" s="2"/>
      <c r="LM337" s="2"/>
      <c r="LN337" s="2"/>
    </row>
    <row r="338" spans="1:326">
      <c r="A338" s="1">
        <v>1701</v>
      </c>
      <c r="BI338" s="4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HW338" s="4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  <c r="LC338" s="2"/>
      <c r="LD338" s="2"/>
      <c r="LE338" s="2"/>
      <c r="LF338" s="2"/>
      <c r="LG338" s="2"/>
      <c r="LH338" s="2"/>
      <c r="LI338" s="2"/>
      <c r="LJ338" s="2"/>
      <c r="LK338" s="2"/>
      <c r="LL338" s="2"/>
      <c r="LM338" s="2"/>
      <c r="LN338" s="2"/>
    </row>
    <row r="339" spans="1:326">
      <c r="A339" s="1">
        <v>1702</v>
      </c>
      <c r="BI339" s="4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HW339" s="4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  <c r="KX339" s="2"/>
      <c r="KY339" s="2"/>
      <c r="KZ339" s="2"/>
      <c r="LA339" s="2"/>
      <c r="LB339" s="2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/>
    </row>
    <row r="340" spans="1:326">
      <c r="A340" s="1">
        <v>1703</v>
      </c>
      <c r="BI340" s="4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HW340" s="4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</row>
    <row r="341" spans="1:326">
      <c r="A341" s="1">
        <v>1704</v>
      </c>
      <c r="BI341" s="4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HW341" s="4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</row>
    <row r="342" spans="1:326">
      <c r="A342" s="1">
        <v>1705</v>
      </c>
      <c r="BI342" s="4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HW342" s="4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  <c r="KX342" s="2"/>
      <c r="KY342" s="2"/>
      <c r="KZ342" s="2"/>
      <c r="LA342" s="2"/>
      <c r="LB342" s="2"/>
      <c r="LC342" s="2"/>
      <c r="LD342" s="2"/>
      <c r="LE342" s="2"/>
      <c r="LF342" s="2"/>
      <c r="LG342" s="2"/>
      <c r="LH342" s="2"/>
      <c r="LI342" s="2"/>
      <c r="LJ342" s="2"/>
      <c r="LK342" s="2"/>
      <c r="LL342" s="2"/>
      <c r="LM342" s="2"/>
      <c r="LN342" s="2"/>
    </row>
    <row r="343" spans="1:326">
      <c r="A343" s="1">
        <v>1706</v>
      </c>
      <c r="BI343" s="4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HW343" s="4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  <c r="LC343" s="2"/>
      <c r="LD343" s="2"/>
      <c r="LE343" s="2"/>
      <c r="LF343" s="2"/>
      <c r="LG343" s="2"/>
      <c r="LH343" s="2"/>
      <c r="LI343" s="2"/>
      <c r="LJ343" s="2"/>
      <c r="LK343" s="2"/>
      <c r="LL343" s="2"/>
      <c r="LM343" s="2"/>
      <c r="LN343" s="2"/>
    </row>
    <row r="344" spans="1:326">
      <c r="A344" s="1">
        <v>1707</v>
      </c>
      <c r="BI344" s="4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HW344" s="4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  <c r="KO344" s="2"/>
      <c r="KP344" s="2"/>
      <c r="KQ344" s="2"/>
      <c r="KR344" s="2"/>
      <c r="KS344" s="2"/>
      <c r="KT344" s="2"/>
      <c r="KU344" s="2"/>
      <c r="KV344" s="2"/>
      <c r="KW344" s="2"/>
      <c r="KX344" s="2"/>
      <c r="KY344" s="2"/>
      <c r="KZ344" s="2"/>
      <c r="LA344" s="2"/>
      <c r="LB344" s="2"/>
      <c r="LC344" s="2"/>
      <c r="LD344" s="2"/>
      <c r="LE344" s="2"/>
      <c r="LF344" s="2"/>
      <c r="LG344" s="2"/>
      <c r="LH344" s="2"/>
      <c r="LI344" s="2"/>
      <c r="LJ344" s="2"/>
      <c r="LK344" s="2"/>
      <c r="LL344" s="2"/>
      <c r="LM344" s="2"/>
      <c r="LN344" s="2"/>
    </row>
    <row r="345" spans="1:326">
      <c r="A345" s="1">
        <v>1708</v>
      </c>
      <c r="BI345" s="4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HW345" s="4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/>
      <c r="KJ345" s="2"/>
      <c r="KK345" s="2"/>
      <c r="KL345" s="2"/>
      <c r="KM345" s="2"/>
      <c r="KN345" s="2"/>
      <c r="KO345" s="2"/>
      <c r="KP345" s="2"/>
      <c r="KQ345" s="2"/>
      <c r="KR345" s="2"/>
      <c r="KS345" s="2"/>
      <c r="KT345" s="2"/>
      <c r="KU345" s="2"/>
      <c r="KV345" s="2"/>
      <c r="KW345" s="2"/>
      <c r="KX345" s="2"/>
      <c r="KY345" s="2"/>
      <c r="KZ345" s="2"/>
      <c r="LA345" s="2"/>
      <c r="LB345" s="2"/>
      <c r="LC345" s="2"/>
      <c r="LD345" s="2"/>
      <c r="LE345" s="2"/>
      <c r="LF345" s="2"/>
      <c r="LG345" s="2"/>
      <c r="LH345" s="2"/>
      <c r="LI345" s="2"/>
      <c r="LJ345" s="2"/>
      <c r="LK345" s="2"/>
      <c r="LL345" s="2"/>
      <c r="LM345" s="2"/>
      <c r="LN345" s="2"/>
    </row>
    <row r="346" spans="1:326">
      <c r="A346" s="1">
        <v>1709</v>
      </c>
      <c r="BI346" s="4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HW346" s="4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  <c r="KO346" s="2"/>
      <c r="KP346" s="2"/>
      <c r="KQ346" s="2"/>
      <c r="KR346" s="2"/>
      <c r="KS346" s="2"/>
      <c r="KT346" s="2"/>
      <c r="KU346" s="2"/>
      <c r="KV346" s="2"/>
      <c r="KW346" s="2"/>
      <c r="KX346" s="2"/>
      <c r="KY346" s="2"/>
      <c r="KZ346" s="2"/>
      <c r="LA346" s="2"/>
      <c r="LB346" s="2"/>
      <c r="LC346" s="2"/>
      <c r="LD346" s="2"/>
      <c r="LE346" s="2"/>
      <c r="LF346" s="2"/>
      <c r="LG346" s="2"/>
      <c r="LH346" s="2"/>
      <c r="LI346" s="2"/>
      <c r="LJ346" s="2"/>
      <c r="LK346" s="2"/>
      <c r="LL346" s="2"/>
      <c r="LM346" s="2"/>
      <c r="LN346" s="2"/>
    </row>
    <row r="347" spans="1:326">
      <c r="A347" s="1">
        <v>1710</v>
      </c>
      <c r="BI347" s="4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HW347" s="4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/>
      <c r="KW347" s="2"/>
      <c r="KX347" s="2"/>
      <c r="KY347" s="2"/>
      <c r="KZ347" s="2"/>
      <c r="LA347" s="2"/>
      <c r="LB347" s="2"/>
      <c r="LC347" s="2"/>
      <c r="LD347" s="2"/>
      <c r="LE347" s="2"/>
      <c r="LF347" s="2"/>
      <c r="LG347" s="2"/>
      <c r="LH347" s="2"/>
      <c r="LI347" s="2"/>
      <c r="LJ347" s="2"/>
      <c r="LK347" s="2"/>
      <c r="LL347" s="2"/>
      <c r="LM347" s="2"/>
      <c r="LN347" s="2"/>
    </row>
    <row r="348" spans="1:326">
      <c r="A348" s="1">
        <v>1711</v>
      </c>
      <c r="BI348" s="4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HW348" s="4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/>
      <c r="KZ348" s="2"/>
      <c r="LA348" s="2"/>
      <c r="LB348" s="2"/>
      <c r="LC348" s="2"/>
      <c r="LD348" s="2"/>
      <c r="LE348" s="2"/>
      <c r="LF348" s="2"/>
      <c r="LG348" s="2"/>
      <c r="LH348" s="2"/>
      <c r="LI348" s="2"/>
      <c r="LJ348" s="2"/>
      <c r="LK348" s="2"/>
      <c r="LL348" s="2"/>
      <c r="LM348" s="2"/>
      <c r="LN348" s="2"/>
    </row>
    <row r="349" spans="1:326">
      <c r="A349" s="1">
        <v>1712</v>
      </c>
      <c r="BI349" s="4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HW349" s="4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JY349" s="2"/>
      <c r="JZ349" s="2"/>
      <c r="KA349" s="2"/>
      <c r="KB349" s="2"/>
      <c r="KC349" s="2"/>
      <c r="KD349" s="2"/>
      <c r="KE349" s="2"/>
      <c r="KF349" s="2"/>
      <c r="KG349" s="2"/>
      <c r="KH349" s="2"/>
      <c r="KI349" s="2"/>
      <c r="KJ349" s="2"/>
      <c r="KK349" s="2"/>
      <c r="KL349" s="2"/>
      <c r="KM349" s="2"/>
      <c r="KN349" s="2"/>
      <c r="KO349" s="2"/>
      <c r="KP349" s="2"/>
      <c r="KQ349" s="2"/>
      <c r="KR349" s="2"/>
      <c r="KS349" s="2"/>
      <c r="KT349" s="2"/>
      <c r="KU349" s="2"/>
      <c r="KV349" s="2"/>
      <c r="KW349" s="2"/>
      <c r="KX349" s="2"/>
      <c r="KY349" s="2"/>
      <c r="KZ349" s="2"/>
      <c r="LA349" s="2"/>
      <c r="LB349" s="2"/>
      <c r="LC349" s="2"/>
      <c r="LD349" s="2"/>
      <c r="LE349" s="2"/>
      <c r="LF349" s="2"/>
      <c r="LG349" s="2"/>
      <c r="LH349" s="2"/>
      <c r="LI349" s="2"/>
      <c r="LJ349" s="2"/>
      <c r="LK349" s="2"/>
      <c r="LL349" s="2"/>
      <c r="LM349" s="2"/>
      <c r="LN349" s="2"/>
    </row>
    <row r="350" spans="1:326">
      <c r="A350" s="1">
        <v>1713</v>
      </c>
      <c r="BI350" s="4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HW350" s="4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/>
      <c r="KZ350" s="2"/>
      <c r="LA350" s="2"/>
      <c r="LB350" s="2"/>
      <c r="LC350" s="2"/>
      <c r="LD350" s="2"/>
      <c r="LE350" s="2"/>
      <c r="LF350" s="2"/>
      <c r="LG350" s="2"/>
      <c r="LH350" s="2"/>
      <c r="LI350" s="2"/>
      <c r="LJ350" s="2"/>
      <c r="LK350" s="2"/>
      <c r="LL350" s="2"/>
      <c r="LM350" s="2"/>
      <c r="LN350" s="2"/>
    </row>
    <row r="351" spans="1:326">
      <c r="A351" s="1">
        <v>1714</v>
      </c>
      <c r="BI351" s="4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HW351" s="4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  <c r="KO351" s="2"/>
      <c r="KP351" s="2"/>
      <c r="KQ351" s="2"/>
      <c r="KR351" s="2"/>
      <c r="KS351" s="2"/>
      <c r="KT351" s="2"/>
      <c r="KU351" s="2"/>
      <c r="KV351" s="2"/>
      <c r="KW351" s="2"/>
      <c r="KX351" s="2"/>
      <c r="KY351" s="2"/>
      <c r="KZ351" s="2"/>
      <c r="LA351" s="2"/>
      <c r="LB351" s="2"/>
      <c r="LC351" s="2"/>
      <c r="LD351" s="2"/>
      <c r="LE351" s="2"/>
      <c r="LF351" s="2"/>
      <c r="LG351" s="2"/>
      <c r="LH351" s="2"/>
      <c r="LI351" s="2"/>
      <c r="LJ351" s="2"/>
      <c r="LK351" s="2"/>
      <c r="LL351" s="2"/>
      <c r="LM351" s="2"/>
      <c r="LN351" s="2"/>
    </row>
    <row r="352" spans="1:326">
      <c r="A352" s="1">
        <v>1715</v>
      </c>
      <c r="BI352" s="4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HW352" s="4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  <c r="LC352" s="2"/>
      <c r="LD352" s="2"/>
      <c r="LE352" s="2"/>
      <c r="LF352" s="2"/>
      <c r="LG352" s="2"/>
      <c r="LH352" s="2"/>
      <c r="LI352" s="2"/>
      <c r="LJ352" s="2"/>
      <c r="LK352" s="2"/>
      <c r="LL352" s="2"/>
      <c r="LM352" s="2"/>
      <c r="LN352" s="2"/>
    </row>
    <row r="353" spans="1:326">
      <c r="A353" s="1">
        <v>1716</v>
      </c>
      <c r="BI353" s="4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HW353" s="4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  <c r="KT353" s="2"/>
      <c r="KU353" s="2"/>
      <c r="KV353" s="2"/>
      <c r="KW353" s="2"/>
      <c r="KX353" s="2"/>
      <c r="KY353" s="2"/>
      <c r="KZ353" s="2"/>
      <c r="LA353" s="2"/>
      <c r="LB353" s="2"/>
      <c r="LC353" s="2"/>
      <c r="LD353" s="2"/>
      <c r="LE353" s="2"/>
      <c r="LF353" s="2"/>
      <c r="LG353" s="2"/>
      <c r="LH353" s="2"/>
      <c r="LI353" s="2"/>
      <c r="LJ353" s="2"/>
      <c r="LK353" s="2"/>
      <c r="LL353" s="2"/>
      <c r="LM353" s="2"/>
      <c r="LN353" s="2"/>
    </row>
    <row r="354" spans="1:326">
      <c r="A354" s="1">
        <v>1717</v>
      </c>
      <c r="BI354" s="4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HW354" s="4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  <c r="KA354" s="2"/>
      <c r="KB354" s="2"/>
      <c r="KC354" s="2"/>
      <c r="KD354" s="2"/>
      <c r="KE354" s="2"/>
      <c r="KF354" s="2"/>
      <c r="KG354" s="2"/>
      <c r="KH354" s="2"/>
      <c r="KI354" s="2"/>
      <c r="KJ354" s="2"/>
      <c r="KK354" s="2"/>
      <c r="KL354" s="2"/>
      <c r="KM354" s="2"/>
      <c r="KN354" s="2"/>
      <c r="KO354" s="2"/>
      <c r="KP354" s="2"/>
      <c r="KQ354" s="2"/>
      <c r="KR354" s="2"/>
      <c r="KS354" s="2"/>
      <c r="KT354" s="2"/>
      <c r="KU354" s="2"/>
      <c r="KV354" s="2"/>
      <c r="KW354" s="2"/>
      <c r="KX354" s="2"/>
      <c r="KY354" s="2"/>
      <c r="KZ354" s="2"/>
      <c r="LA354" s="2"/>
      <c r="LB354" s="2"/>
      <c r="LC354" s="2"/>
      <c r="LD354" s="2"/>
      <c r="LE354" s="2"/>
      <c r="LF354" s="2"/>
      <c r="LG354" s="2"/>
      <c r="LH354" s="2"/>
      <c r="LI354" s="2"/>
      <c r="LJ354" s="2"/>
      <c r="LK354" s="2"/>
      <c r="LL354" s="2"/>
      <c r="LM354" s="2"/>
      <c r="LN354" s="2"/>
    </row>
    <row r="355" spans="1:326">
      <c r="A355" s="1">
        <v>1718</v>
      </c>
      <c r="BI355" s="4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HW355" s="4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/>
      <c r="KW355" s="2"/>
      <c r="KX355" s="2"/>
      <c r="KY355" s="2"/>
      <c r="KZ355" s="2"/>
      <c r="LA355" s="2"/>
      <c r="LB355" s="2"/>
      <c r="LC355" s="2"/>
      <c r="LD355" s="2"/>
      <c r="LE355" s="2"/>
      <c r="LF355" s="2"/>
      <c r="LG355" s="2"/>
      <c r="LH355" s="2"/>
      <c r="LI355" s="2"/>
      <c r="LJ355" s="2"/>
      <c r="LK355" s="2"/>
      <c r="LL355" s="2"/>
      <c r="LM355" s="2"/>
      <c r="LN355" s="2"/>
    </row>
    <row r="356" spans="1:326">
      <c r="A356" s="1">
        <v>1719</v>
      </c>
      <c r="BI356" s="4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HW356" s="4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/>
      <c r="KJ356" s="2"/>
      <c r="KK356" s="2"/>
      <c r="KL356" s="2"/>
      <c r="KM356" s="2"/>
      <c r="KN356" s="2"/>
      <c r="KO356" s="2"/>
      <c r="KP356" s="2"/>
      <c r="KQ356" s="2"/>
      <c r="KR356" s="2"/>
      <c r="KS356" s="2"/>
      <c r="KT356" s="2"/>
      <c r="KU356" s="2"/>
      <c r="KV356" s="2"/>
      <c r="KW356" s="2"/>
      <c r="KX356" s="2"/>
      <c r="KY356" s="2"/>
      <c r="KZ356" s="2"/>
      <c r="LA356" s="2"/>
      <c r="LB356" s="2"/>
      <c r="LC356" s="2"/>
      <c r="LD356" s="2"/>
      <c r="LE356" s="2"/>
      <c r="LF356" s="2"/>
      <c r="LG356" s="2"/>
      <c r="LH356" s="2"/>
      <c r="LI356" s="2"/>
      <c r="LJ356" s="2"/>
      <c r="LK356" s="2"/>
      <c r="LL356" s="2"/>
      <c r="LM356" s="2"/>
      <c r="LN356" s="2"/>
    </row>
    <row r="357" spans="1:326">
      <c r="A357" s="1">
        <v>1720</v>
      </c>
      <c r="BI357" s="4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HW357" s="4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  <c r="LC357" s="2"/>
      <c r="LD357" s="2"/>
      <c r="LE357" s="2"/>
      <c r="LF357" s="2"/>
      <c r="LG357" s="2"/>
      <c r="LH357" s="2"/>
      <c r="LI357" s="2"/>
      <c r="LJ357" s="2"/>
      <c r="LK357" s="2"/>
      <c r="LL357" s="2"/>
      <c r="LM357" s="2"/>
      <c r="LN357" s="2"/>
    </row>
    <row r="358" spans="1:326">
      <c r="A358" s="1">
        <v>1721</v>
      </c>
      <c r="BI358" s="4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HW358" s="4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/>
      <c r="KZ358" s="2"/>
      <c r="LA358" s="2"/>
      <c r="LB358" s="2"/>
      <c r="LC358" s="2"/>
      <c r="LD358" s="2"/>
      <c r="LE358" s="2"/>
      <c r="LF358" s="2"/>
      <c r="LG358" s="2"/>
      <c r="LH358" s="2"/>
      <c r="LI358" s="2"/>
      <c r="LJ358" s="2"/>
      <c r="LK358" s="2"/>
      <c r="LL358" s="2"/>
      <c r="LM358" s="2"/>
      <c r="LN358" s="2"/>
    </row>
    <row r="359" spans="1:326">
      <c r="A359" s="1">
        <v>1722</v>
      </c>
      <c r="BI359" s="4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HW359" s="4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/>
      <c r="KW359" s="2"/>
      <c r="KX359" s="2"/>
      <c r="KY359" s="2"/>
      <c r="KZ359" s="2"/>
      <c r="LA359" s="2"/>
      <c r="LB359" s="2"/>
      <c r="LC359" s="2"/>
      <c r="LD359" s="2"/>
      <c r="LE359" s="2"/>
      <c r="LF359" s="2"/>
      <c r="LG359" s="2"/>
      <c r="LH359" s="2"/>
      <c r="LI359" s="2"/>
      <c r="LJ359" s="2"/>
      <c r="LK359" s="2"/>
      <c r="LL359" s="2"/>
      <c r="LM359" s="2"/>
      <c r="LN359" s="2"/>
    </row>
    <row r="360" spans="1:326">
      <c r="A360" s="1">
        <v>1723</v>
      </c>
      <c r="BI360" s="4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HW360" s="4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2"/>
      <c r="KZ360" s="2"/>
      <c r="LA360" s="2"/>
      <c r="LB360" s="2"/>
      <c r="LC360" s="2"/>
      <c r="LD360" s="2"/>
      <c r="LE360" s="2"/>
      <c r="LF360" s="2"/>
      <c r="LG360" s="2"/>
      <c r="LH360" s="2"/>
      <c r="LI360" s="2"/>
      <c r="LJ360" s="2"/>
      <c r="LK360" s="2"/>
      <c r="LL360" s="2"/>
      <c r="LM360" s="2"/>
      <c r="LN360" s="2"/>
    </row>
    <row r="361" spans="1:326">
      <c r="A361" s="1">
        <v>1724</v>
      </c>
      <c r="BI361" s="4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HW361" s="4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2"/>
      <c r="KI361" s="2"/>
      <c r="KJ361" s="2"/>
      <c r="KK361" s="2"/>
      <c r="KL361" s="2"/>
      <c r="KM361" s="2"/>
      <c r="KN361" s="2"/>
      <c r="KO361" s="2"/>
      <c r="KP361" s="2"/>
      <c r="KQ361" s="2"/>
      <c r="KR361" s="2"/>
      <c r="KS361" s="2"/>
      <c r="KT361" s="2"/>
      <c r="KU361" s="2"/>
      <c r="KV361" s="2"/>
      <c r="KW361" s="2"/>
      <c r="KX361" s="2"/>
      <c r="KY361" s="2"/>
      <c r="KZ361" s="2"/>
      <c r="LA361" s="2"/>
      <c r="LB361" s="2"/>
      <c r="LC361" s="2"/>
      <c r="LD361" s="2"/>
      <c r="LE361" s="2"/>
      <c r="LF361" s="2"/>
      <c r="LG361" s="2"/>
      <c r="LH361" s="2"/>
      <c r="LI361" s="2"/>
      <c r="LJ361" s="2"/>
      <c r="LK361" s="2"/>
      <c r="LL361" s="2"/>
      <c r="LM361" s="2"/>
      <c r="LN361" s="2"/>
    </row>
    <row r="362" spans="1:326">
      <c r="A362" s="1">
        <v>1725</v>
      </c>
      <c r="BI362" s="4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HW362" s="4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/>
      <c r="KZ362" s="2"/>
      <c r="LA362" s="2"/>
      <c r="LB362" s="2"/>
      <c r="LC362" s="2"/>
      <c r="LD362" s="2"/>
      <c r="LE362" s="2"/>
      <c r="LF362" s="2"/>
      <c r="LG362" s="2"/>
      <c r="LH362" s="2"/>
      <c r="LI362" s="2"/>
      <c r="LJ362" s="2"/>
      <c r="LK362" s="2"/>
      <c r="LL362" s="2"/>
      <c r="LM362" s="2"/>
      <c r="LN362" s="2"/>
    </row>
    <row r="363" spans="1:326">
      <c r="A363" s="1">
        <v>1726</v>
      </c>
      <c r="BI363" s="4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HW363" s="4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  <c r="KT363" s="2"/>
      <c r="KU363" s="2"/>
      <c r="KV363" s="2"/>
      <c r="KW363" s="2"/>
      <c r="KX363" s="2"/>
      <c r="KY363" s="2"/>
      <c r="KZ363" s="2"/>
      <c r="LA363" s="2"/>
      <c r="LB363" s="2"/>
      <c r="LC363" s="2"/>
      <c r="LD363" s="2"/>
      <c r="LE363" s="2"/>
      <c r="LF363" s="2"/>
      <c r="LG363" s="2"/>
      <c r="LH363" s="2"/>
      <c r="LI363" s="2"/>
      <c r="LJ363" s="2"/>
      <c r="LK363" s="2"/>
      <c r="LL363" s="2"/>
      <c r="LM363" s="2"/>
      <c r="LN363" s="2"/>
    </row>
    <row r="364" spans="1:326">
      <c r="A364" s="1">
        <v>1727</v>
      </c>
      <c r="BI364" s="4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HW364" s="4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2"/>
      <c r="LA364" s="2"/>
      <c r="LB364" s="2"/>
      <c r="LC364" s="2"/>
      <c r="LD364" s="2"/>
      <c r="LE364" s="2"/>
      <c r="LF364" s="2"/>
      <c r="LG364" s="2"/>
      <c r="LH364" s="2"/>
      <c r="LI364" s="2"/>
      <c r="LJ364" s="2"/>
      <c r="LK364" s="2"/>
      <c r="LL364" s="2"/>
      <c r="LM364" s="2"/>
      <c r="LN364" s="2"/>
    </row>
    <row r="365" spans="1:326">
      <c r="A365" s="1">
        <v>1728</v>
      </c>
      <c r="BI365" s="4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HW365" s="4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  <c r="KA365" s="2"/>
      <c r="KB365" s="2"/>
      <c r="KC365" s="2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  <c r="KO365" s="2"/>
      <c r="KP365" s="2"/>
      <c r="KQ365" s="2"/>
      <c r="KR365" s="2"/>
      <c r="KS365" s="2"/>
      <c r="KT365" s="2"/>
      <c r="KU365" s="2"/>
      <c r="KV365" s="2"/>
      <c r="KW365" s="2"/>
      <c r="KX365" s="2"/>
      <c r="KY365" s="2"/>
      <c r="KZ365" s="2"/>
      <c r="LA365" s="2"/>
      <c r="LB365" s="2"/>
      <c r="LC365" s="2"/>
      <c r="LD365" s="2"/>
      <c r="LE365" s="2"/>
      <c r="LF365" s="2"/>
      <c r="LG365" s="2"/>
      <c r="LH365" s="2"/>
      <c r="LI365" s="2"/>
      <c r="LJ365" s="2"/>
      <c r="LK365" s="2"/>
      <c r="LL365" s="2"/>
      <c r="LM365" s="2"/>
      <c r="LN365" s="2"/>
    </row>
    <row r="366" spans="1:326">
      <c r="A366" s="1">
        <v>1729</v>
      </c>
      <c r="BI366" s="4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HW366" s="4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  <c r="KO366" s="2"/>
      <c r="KP366" s="2"/>
      <c r="KQ366" s="2"/>
      <c r="KR366" s="2"/>
      <c r="KS366" s="2"/>
      <c r="KT366" s="2"/>
      <c r="KU366" s="2"/>
      <c r="KV366" s="2"/>
      <c r="KW366" s="2"/>
      <c r="KX366" s="2"/>
      <c r="KY366" s="2"/>
      <c r="KZ366" s="2"/>
      <c r="LA366" s="2"/>
      <c r="LB366" s="2"/>
      <c r="LC366" s="2"/>
      <c r="LD366" s="2"/>
      <c r="LE366" s="2"/>
      <c r="LF366" s="2"/>
      <c r="LG366" s="2"/>
      <c r="LH366" s="2"/>
      <c r="LI366" s="2"/>
      <c r="LJ366" s="2"/>
      <c r="LK366" s="2"/>
      <c r="LL366" s="2"/>
      <c r="LM366" s="2"/>
      <c r="LN366" s="2"/>
    </row>
    <row r="367" spans="1:326">
      <c r="A367" s="1">
        <v>1730</v>
      </c>
      <c r="BI367" s="4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HW367" s="4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2"/>
      <c r="KI367" s="2"/>
      <c r="KJ367" s="2"/>
      <c r="KK367" s="2"/>
      <c r="KL367" s="2"/>
      <c r="KM367" s="2"/>
      <c r="KN367" s="2"/>
      <c r="KO367" s="2"/>
      <c r="KP367" s="2"/>
      <c r="KQ367" s="2"/>
      <c r="KR367" s="2"/>
      <c r="KS367" s="2"/>
      <c r="KT367" s="2"/>
      <c r="KU367" s="2"/>
      <c r="KV367" s="2"/>
      <c r="KW367" s="2"/>
      <c r="KX367" s="2"/>
      <c r="KY367" s="2"/>
      <c r="KZ367" s="2"/>
      <c r="LA367" s="2"/>
      <c r="LB367" s="2"/>
      <c r="LC367" s="2"/>
      <c r="LD367" s="2"/>
      <c r="LE367" s="2"/>
      <c r="LF367" s="2"/>
      <c r="LG367" s="2"/>
      <c r="LH367" s="2"/>
      <c r="LI367" s="2"/>
      <c r="LJ367" s="2"/>
      <c r="LK367" s="2"/>
      <c r="LL367" s="2"/>
      <c r="LM367" s="2"/>
      <c r="LN367" s="2"/>
    </row>
    <row r="368" spans="1:326">
      <c r="A368" s="1">
        <v>1731</v>
      </c>
      <c r="BI368" s="4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HW368" s="4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  <c r="KO368" s="2"/>
      <c r="KP368" s="2"/>
      <c r="KQ368" s="2"/>
      <c r="KR368" s="2"/>
      <c r="KS368" s="2"/>
      <c r="KT368" s="2"/>
      <c r="KU368" s="2"/>
      <c r="KV368" s="2"/>
      <c r="KW368" s="2"/>
      <c r="KX368" s="2"/>
      <c r="KY368" s="2"/>
      <c r="KZ368" s="2"/>
      <c r="LA368" s="2"/>
      <c r="LB368" s="2"/>
      <c r="LC368" s="2"/>
      <c r="LD368" s="2"/>
      <c r="LE368" s="2"/>
      <c r="LF368" s="2"/>
      <c r="LG368" s="2"/>
      <c r="LH368" s="2"/>
      <c r="LI368" s="2"/>
      <c r="LJ368" s="2"/>
      <c r="LK368" s="2"/>
      <c r="LL368" s="2"/>
      <c r="LM368" s="2"/>
      <c r="LN368" s="2"/>
    </row>
    <row r="369" spans="1:326">
      <c r="A369" s="1">
        <v>1732</v>
      </c>
      <c r="BI369" s="4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HW369" s="4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JY369" s="2"/>
      <c r="JZ369" s="2"/>
      <c r="KA369" s="2"/>
      <c r="KB369" s="2"/>
      <c r="KC369" s="2"/>
      <c r="KD369" s="2"/>
      <c r="KE369" s="2"/>
      <c r="KF369" s="2"/>
      <c r="KG369" s="2"/>
      <c r="KH369" s="2"/>
      <c r="KI369" s="2"/>
      <c r="KJ369" s="2"/>
      <c r="KK369" s="2"/>
      <c r="KL369" s="2"/>
      <c r="KM369" s="2"/>
      <c r="KN369" s="2"/>
      <c r="KO369" s="2"/>
      <c r="KP369" s="2"/>
      <c r="KQ369" s="2"/>
      <c r="KR369" s="2"/>
      <c r="KS369" s="2"/>
      <c r="KT369" s="2"/>
      <c r="KU369" s="2"/>
      <c r="KV369" s="2"/>
      <c r="KW369" s="2"/>
      <c r="KX369" s="2"/>
      <c r="KY369" s="2"/>
      <c r="KZ369" s="2"/>
      <c r="LA369" s="2"/>
      <c r="LB369" s="2"/>
      <c r="LC369" s="2"/>
      <c r="LD369" s="2"/>
      <c r="LE369" s="2"/>
      <c r="LF369" s="2"/>
      <c r="LG369" s="2"/>
      <c r="LH369" s="2"/>
      <c r="LI369" s="2"/>
      <c r="LJ369" s="2"/>
      <c r="LK369" s="2"/>
      <c r="LL369" s="2"/>
      <c r="LM369" s="2"/>
      <c r="LN369" s="2"/>
    </row>
    <row r="370" spans="1:326">
      <c r="A370" s="1">
        <v>1733</v>
      </c>
      <c r="BI370" s="4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HW370" s="4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  <c r="KT370" s="2"/>
      <c r="KU370" s="2"/>
      <c r="KV370" s="2"/>
      <c r="KW370" s="2"/>
      <c r="KX370" s="2"/>
      <c r="KY370" s="2"/>
      <c r="KZ370" s="2"/>
      <c r="LA370" s="2"/>
      <c r="LB370" s="2"/>
      <c r="LC370" s="2"/>
      <c r="LD370" s="2"/>
      <c r="LE370" s="2"/>
      <c r="LF370" s="2"/>
      <c r="LG370" s="2"/>
      <c r="LH370" s="2"/>
      <c r="LI370" s="2"/>
      <c r="LJ370" s="2"/>
      <c r="LK370" s="2"/>
      <c r="LL370" s="2"/>
      <c r="LM370" s="2"/>
      <c r="LN370" s="2"/>
    </row>
    <row r="371" spans="1:326">
      <c r="A371" s="1">
        <v>1734</v>
      </c>
      <c r="BI371" s="4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HW371" s="4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  <c r="KX371" s="2"/>
      <c r="KY371" s="2"/>
      <c r="KZ371" s="2"/>
      <c r="LA371" s="2"/>
      <c r="LB371" s="2"/>
      <c r="LC371" s="2"/>
      <c r="LD371" s="2"/>
      <c r="LE371" s="2"/>
      <c r="LF371" s="2"/>
      <c r="LG371" s="2"/>
      <c r="LH371" s="2"/>
      <c r="LI371" s="2"/>
      <c r="LJ371" s="2"/>
      <c r="LK371" s="2"/>
      <c r="LL371" s="2"/>
      <c r="LM371" s="2"/>
      <c r="LN371" s="2"/>
    </row>
    <row r="372" spans="1:326">
      <c r="A372" s="1">
        <v>1735</v>
      </c>
      <c r="BI372" s="4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HW372" s="4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  <c r="KA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  <c r="KO372" s="2"/>
      <c r="KP372" s="2"/>
      <c r="KQ372" s="2"/>
      <c r="KR372" s="2"/>
      <c r="KS372" s="2"/>
      <c r="KT372" s="2"/>
      <c r="KU372" s="2"/>
      <c r="KV372" s="2"/>
      <c r="KW372" s="2"/>
      <c r="KX372" s="2"/>
      <c r="KY372" s="2"/>
      <c r="KZ372" s="2"/>
      <c r="LA372" s="2"/>
      <c r="LB372" s="2"/>
      <c r="LC372" s="2"/>
      <c r="LD372" s="2"/>
      <c r="LE372" s="2"/>
      <c r="LF372" s="2"/>
      <c r="LG372" s="2"/>
      <c r="LH372" s="2"/>
      <c r="LI372" s="2"/>
      <c r="LJ372" s="2"/>
      <c r="LK372" s="2"/>
      <c r="LL372" s="2"/>
      <c r="LM372" s="2"/>
      <c r="LN372" s="2"/>
    </row>
    <row r="373" spans="1:326">
      <c r="A373" s="1">
        <v>1736</v>
      </c>
      <c r="BI373" s="4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HW373" s="4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JY373" s="2"/>
      <c r="JZ373" s="2"/>
      <c r="KA373" s="2"/>
      <c r="KB373" s="2"/>
      <c r="KC373" s="2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  <c r="KO373" s="2"/>
      <c r="KP373" s="2"/>
      <c r="KQ373" s="2"/>
      <c r="KR373" s="2"/>
      <c r="KS373" s="2"/>
      <c r="KT373" s="2"/>
      <c r="KU373" s="2"/>
      <c r="KV373" s="2"/>
      <c r="KW373" s="2"/>
      <c r="KX373" s="2"/>
      <c r="KY373" s="2"/>
      <c r="KZ373" s="2"/>
      <c r="LA373" s="2"/>
      <c r="LB373" s="2"/>
      <c r="LC373" s="2"/>
      <c r="LD373" s="2"/>
      <c r="LE373" s="2"/>
      <c r="LF373" s="2"/>
      <c r="LG373" s="2"/>
      <c r="LH373" s="2"/>
      <c r="LI373" s="2"/>
      <c r="LJ373" s="2"/>
      <c r="LK373" s="2"/>
      <c r="LL373" s="2"/>
      <c r="LM373" s="2"/>
      <c r="LN373" s="2"/>
    </row>
    <row r="374" spans="1:326">
      <c r="A374" s="1">
        <v>1737</v>
      </c>
      <c r="BI374" s="4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HW374" s="4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JY374" s="2"/>
      <c r="JZ374" s="2"/>
      <c r="KA374" s="2"/>
      <c r="KB374" s="2"/>
      <c r="KC374" s="2"/>
      <c r="KD374" s="2"/>
      <c r="KE374" s="2"/>
      <c r="KF374" s="2"/>
      <c r="KG374" s="2"/>
      <c r="KH374" s="2"/>
      <c r="KI374" s="2"/>
      <c r="KJ374" s="2"/>
      <c r="KK374" s="2"/>
      <c r="KL374" s="2"/>
      <c r="KM374" s="2"/>
      <c r="KN374" s="2"/>
      <c r="KO374" s="2"/>
      <c r="KP374" s="2"/>
      <c r="KQ374" s="2"/>
      <c r="KR374" s="2"/>
      <c r="KS374" s="2"/>
      <c r="KT374" s="2"/>
      <c r="KU374" s="2"/>
      <c r="KV374" s="2"/>
      <c r="KW374" s="2"/>
      <c r="KX374" s="2"/>
      <c r="KY374" s="2"/>
      <c r="KZ374" s="2"/>
      <c r="LA374" s="2"/>
      <c r="LB374" s="2"/>
      <c r="LC374" s="2"/>
      <c r="LD374" s="2"/>
      <c r="LE374" s="2"/>
      <c r="LF374" s="2"/>
      <c r="LG374" s="2"/>
      <c r="LH374" s="2"/>
      <c r="LI374" s="2"/>
      <c r="LJ374" s="2"/>
      <c r="LK374" s="2"/>
      <c r="LL374" s="2"/>
      <c r="LM374" s="2"/>
      <c r="LN374" s="2"/>
    </row>
    <row r="375" spans="1:326">
      <c r="A375" s="1">
        <v>1738</v>
      </c>
      <c r="BI375" s="4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HW375" s="4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/>
      <c r="KW375" s="2"/>
      <c r="KX375" s="2"/>
      <c r="KY375" s="2"/>
      <c r="KZ375" s="2"/>
      <c r="LA375" s="2"/>
      <c r="LB375" s="2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/>
    </row>
    <row r="376" spans="1:326">
      <c r="A376" s="1">
        <v>1739</v>
      </c>
      <c r="BI376" s="4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HW376" s="4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JY376" s="2"/>
      <c r="JZ376" s="2"/>
      <c r="KA376" s="2"/>
      <c r="KB376" s="2"/>
      <c r="KC376" s="2"/>
      <c r="KD376" s="2"/>
      <c r="KE376" s="2"/>
      <c r="KF376" s="2"/>
      <c r="KG376" s="2"/>
      <c r="KH376" s="2"/>
      <c r="KI376" s="2"/>
      <c r="KJ376" s="2"/>
      <c r="KK376" s="2"/>
      <c r="KL376" s="2"/>
      <c r="KM376" s="2"/>
      <c r="KN376" s="2"/>
      <c r="KO376" s="2"/>
      <c r="KP376" s="2"/>
      <c r="KQ376" s="2"/>
      <c r="KR376" s="2"/>
      <c r="KS376" s="2"/>
      <c r="KT376" s="2"/>
      <c r="KU376" s="2"/>
      <c r="KV376" s="2"/>
      <c r="KW376" s="2"/>
      <c r="KX376" s="2"/>
      <c r="KY376" s="2"/>
      <c r="KZ376" s="2"/>
      <c r="LA376" s="2"/>
      <c r="LB376" s="2"/>
      <c r="LC376" s="2"/>
      <c r="LD376" s="2"/>
      <c r="LE376" s="2"/>
      <c r="LF376" s="2"/>
      <c r="LG376" s="2"/>
      <c r="LH376" s="2"/>
      <c r="LI376" s="2"/>
      <c r="LJ376" s="2"/>
      <c r="LK376" s="2"/>
      <c r="LL376" s="2"/>
      <c r="LM376" s="2"/>
      <c r="LN376" s="2"/>
    </row>
    <row r="377" spans="1:326">
      <c r="A377" s="1">
        <v>1740</v>
      </c>
      <c r="BI377" s="4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HW377" s="4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  <c r="JY377" s="2"/>
      <c r="JZ377" s="2"/>
      <c r="KA377" s="2"/>
      <c r="KB377" s="2"/>
      <c r="KC377" s="2"/>
      <c r="KD377" s="2"/>
      <c r="KE377" s="2"/>
      <c r="KF377" s="2"/>
      <c r="KG377" s="2"/>
      <c r="KH377" s="2"/>
      <c r="KI377" s="2"/>
      <c r="KJ377" s="2"/>
      <c r="KK377" s="2"/>
      <c r="KL377" s="2"/>
      <c r="KM377" s="2"/>
      <c r="KN377" s="2"/>
      <c r="KO377" s="2"/>
      <c r="KP377" s="2"/>
      <c r="KQ377" s="2"/>
      <c r="KR377" s="2"/>
      <c r="KS377" s="2"/>
      <c r="KT377" s="2"/>
      <c r="KU377" s="2"/>
      <c r="KV377" s="2"/>
      <c r="KW377" s="2"/>
      <c r="KX377" s="2"/>
      <c r="KY377" s="2"/>
      <c r="KZ377" s="2"/>
      <c r="LA377" s="2"/>
      <c r="LB377" s="2"/>
      <c r="LC377" s="2"/>
      <c r="LD377" s="2"/>
      <c r="LE377" s="2"/>
      <c r="LF377" s="2"/>
      <c r="LG377" s="2"/>
      <c r="LH377" s="2"/>
      <c r="LI377" s="2"/>
      <c r="LJ377" s="2"/>
      <c r="LK377" s="2"/>
      <c r="LL377" s="2"/>
      <c r="LM377" s="2"/>
      <c r="LN377" s="2"/>
    </row>
    <row r="378" spans="1:326">
      <c r="A378" s="1">
        <v>1741</v>
      </c>
      <c r="BI378" s="4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HW378" s="4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  <c r="KO378" s="2"/>
      <c r="KP378" s="2"/>
      <c r="KQ378" s="2"/>
      <c r="KR378" s="2"/>
      <c r="KS378" s="2"/>
      <c r="KT378" s="2"/>
      <c r="KU378" s="2"/>
      <c r="KV378" s="2"/>
      <c r="KW378" s="2"/>
      <c r="KX378" s="2"/>
      <c r="KY378" s="2"/>
      <c r="KZ378" s="2"/>
      <c r="LA378" s="2"/>
      <c r="LB378" s="2"/>
      <c r="LC378" s="2"/>
      <c r="LD378" s="2"/>
      <c r="LE378" s="2"/>
      <c r="LF378" s="2"/>
      <c r="LG378" s="2"/>
      <c r="LH378" s="2"/>
      <c r="LI378" s="2"/>
      <c r="LJ378" s="2"/>
      <c r="LK378" s="2"/>
      <c r="LL378" s="2"/>
      <c r="LM378" s="2"/>
      <c r="LN378" s="2"/>
    </row>
    <row r="379" spans="1:326">
      <c r="A379" s="1">
        <v>1742</v>
      </c>
      <c r="BI379" s="4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HW379" s="4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  <c r="KA379" s="2"/>
      <c r="KB379" s="2"/>
      <c r="KC379" s="2"/>
      <c r="KD379" s="2"/>
      <c r="KE379" s="2"/>
      <c r="KF379" s="2"/>
      <c r="KG379" s="2"/>
      <c r="KH379" s="2"/>
      <c r="KI379" s="2"/>
      <c r="KJ379" s="2"/>
      <c r="KK379" s="2"/>
      <c r="KL379" s="2"/>
      <c r="KM379" s="2"/>
      <c r="KN379" s="2"/>
      <c r="KO379" s="2"/>
      <c r="KP379" s="2"/>
      <c r="KQ379" s="2"/>
      <c r="KR379" s="2"/>
      <c r="KS379" s="2"/>
      <c r="KT379" s="2"/>
      <c r="KU379" s="2"/>
      <c r="KV379" s="2"/>
      <c r="KW379" s="2"/>
      <c r="KX379" s="2"/>
      <c r="KY379" s="2"/>
      <c r="KZ379" s="2"/>
      <c r="LA379" s="2"/>
      <c r="LB379" s="2"/>
      <c r="LC379" s="2"/>
      <c r="LD379" s="2"/>
      <c r="LE379" s="2"/>
      <c r="LF379" s="2"/>
      <c r="LG379" s="2"/>
      <c r="LH379" s="2"/>
      <c r="LI379" s="2"/>
      <c r="LJ379" s="2"/>
      <c r="LK379" s="2"/>
      <c r="LL379" s="2"/>
      <c r="LM379" s="2"/>
      <c r="LN379" s="2"/>
    </row>
    <row r="380" spans="1:326">
      <c r="A380" s="1">
        <v>1743</v>
      </c>
      <c r="BI380" s="4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HW380" s="4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/>
      <c r="KJ380" s="2"/>
      <c r="KK380" s="2"/>
      <c r="KL380" s="2"/>
      <c r="KM380" s="2"/>
      <c r="KN380" s="2"/>
      <c r="KO380" s="2"/>
      <c r="KP380" s="2"/>
      <c r="KQ380" s="2"/>
      <c r="KR380" s="2"/>
      <c r="KS380" s="2"/>
      <c r="KT380" s="2"/>
      <c r="KU380" s="2"/>
      <c r="KV380" s="2"/>
      <c r="KW380" s="2"/>
      <c r="KX380" s="2"/>
      <c r="KY380" s="2"/>
      <c r="KZ380" s="2"/>
      <c r="LA380" s="2"/>
      <c r="LB380" s="2"/>
      <c r="LC380" s="2"/>
      <c r="LD380" s="2"/>
      <c r="LE380" s="2"/>
      <c r="LF380" s="2"/>
      <c r="LG380" s="2"/>
      <c r="LH380" s="2"/>
      <c r="LI380" s="2"/>
      <c r="LJ380" s="2"/>
      <c r="LK380" s="2"/>
      <c r="LL380" s="2"/>
      <c r="LM380" s="2"/>
      <c r="LN380" s="2"/>
    </row>
    <row r="381" spans="1:326">
      <c r="A381" s="1">
        <v>1744</v>
      </c>
      <c r="BI381" s="4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HW381" s="4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  <c r="JY381" s="2"/>
      <c r="JZ381" s="2"/>
      <c r="KA381" s="2"/>
      <c r="KB381" s="2"/>
      <c r="KC381" s="2"/>
      <c r="KD381" s="2"/>
      <c r="KE381" s="2"/>
      <c r="KF381" s="2"/>
      <c r="KG381" s="2"/>
      <c r="KH381" s="2"/>
      <c r="KI381" s="2"/>
      <c r="KJ381" s="2"/>
      <c r="KK381" s="2"/>
      <c r="KL381" s="2"/>
      <c r="KM381" s="2"/>
      <c r="KN381" s="2"/>
      <c r="KO381" s="2"/>
      <c r="KP381" s="2"/>
      <c r="KQ381" s="2"/>
      <c r="KR381" s="2"/>
      <c r="KS381" s="2"/>
      <c r="KT381" s="2"/>
      <c r="KU381" s="2"/>
      <c r="KV381" s="2"/>
      <c r="KW381" s="2"/>
      <c r="KX381" s="2"/>
      <c r="KY381" s="2"/>
      <c r="KZ381" s="2"/>
      <c r="LA381" s="2"/>
      <c r="LB381" s="2"/>
      <c r="LC381" s="2"/>
      <c r="LD381" s="2"/>
      <c r="LE381" s="2"/>
      <c r="LF381" s="2"/>
      <c r="LG381" s="2"/>
      <c r="LH381" s="2"/>
      <c r="LI381" s="2"/>
      <c r="LJ381" s="2"/>
      <c r="LK381" s="2"/>
      <c r="LL381" s="2"/>
      <c r="LM381" s="2"/>
      <c r="LN381" s="2"/>
    </row>
    <row r="382" spans="1:326">
      <c r="A382" s="1">
        <v>1745</v>
      </c>
      <c r="BI382" s="4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HW382" s="4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JY382" s="2"/>
      <c r="JZ382" s="2"/>
      <c r="KA382" s="2"/>
      <c r="KB382" s="2"/>
      <c r="KC382" s="2"/>
      <c r="KD382" s="2"/>
      <c r="KE382" s="2"/>
      <c r="KF382" s="2"/>
      <c r="KG382" s="2"/>
      <c r="KH382" s="2"/>
      <c r="KI382" s="2"/>
      <c r="KJ382" s="2"/>
      <c r="KK382" s="2"/>
      <c r="KL382" s="2"/>
      <c r="KM382" s="2"/>
      <c r="KN382" s="2"/>
      <c r="KO382" s="2"/>
      <c r="KP382" s="2"/>
      <c r="KQ382" s="2"/>
      <c r="KR382" s="2"/>
      <c r="KS382" s="2"/>
      <c r="KT382" s="2"/>
      <c r="KU382" s="2"/>
      <c r="KV382" s="2"/>
      <c r="KW382" s="2"/>
      <c r="KX382" s="2"/>
      <c r="KY382" s="2"/>
      <c r="KZ382" s="2"/>
      <c r="LA382" s="2"/>
      <c r="LB382" s="2"/>
      <c r="LC382" s="2"/>
      <c r="LD382" s="2"/>
      <c r="LE382" s="2"/>
      <c r="LF382" s="2"/>
      <c r="LG382" s="2"/>
      <c r="LH382" s="2"/>
      <c r="LI382" s="2"/>
      <c r="LJ382" s="2"/>
      <c r="LK382" s="2"/>
      <c r="LL382" s="2"/>
      <c r="LM382" s="2"/>
      <c r="LN382" s="2"/>
    </row>
    <row r="383" spans="1:326">
      <c r="A383" s="1">
        <v>1746</v>
      </c>
      <c r="BI383" s="4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HW383" s="4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JY383" s="2"/>
      <c r="JZ383" s="2"/>
      <c r="KA383" s="2"/>
      <c r="KB383" s="2"/>
      <c r="KC383" s="2"/>
      <c r="KD383" s="2"/>
      <c r="KE383" s="2"/>
      <c r="KF383" s="2"/>
      <c r="KG383" s="2"/>
      <c r="KH383" s="2"/>
      <c r="KI383" s="2"/>
      <c r="KJ383" s="2"/>
      <c r="KK383" s="2"/>
      <c r="KL383" s="2"/>
      <c r="KM383" s="2"/>
      <c r="KN383" s="2"/>
      <c r="KO383" s="2"/>
      <c r="KP383" s="2"/>
      <c r="KQ383" s="2"/>
      <c r="KR383" s="2"/>
      <c r="KS383" s="2"/>
      <c r="KT383" s="2"/>
      <c r="KU383" s="2"/>
      <c r="KV383" s="2"/>
      <c r="KW383" s="2"/>
      <c r="KX383" s="2"/>
      <c r="KY383" s="2"/>
      <c r="KZ383" s="2"/>
      <c r="LA383" s="2"/>
      <c r="LB383" s="2"/>
      <c r="LC383" s="2"/>
      <c r="LD383" s="2"/>
      <c r="LE383" s="2"/>
      <c r="LF383" s="2"/>
      <c r="LG383" s="2"/>
      <c r="LH383" s="2"/>
      <c r="LI383" s="2"/>
      <c r="LJ383" s="2"/>
      <c r="LK383" s="2"/>
      <c r="LL383" s="2"/>
      <c r="LM383" s="2"/>
      <c r="LN383" s="2"/>
    </row>
    <row r="384" spans="1:326">
      <c r="A384" s="1">
        <v>1747</v>
      </c>
      <c r="BI384" s="4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HW384" s="4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/>
      <c r="KH384" s="2"/>
      <c r="KI384" s="2"/>
      <c r="KJ384" s="2"/>
      <c r="KK384" s="2"/>
      <c r="KL384" s="2"/>
      <c r="KM384" s="2"/>
      <c r="KN384" s="2"/>
      <c r="KO384" s="2"/>
      <c r="KP384" s="2"/>
      <c r="KQ384" s="2"/>
      <c r="KR384" s="2"/>
      <c r="KS384" s="2"/>
      <c r="KT384" s="2"/>
      <c r="KU384" s="2"/>
      <c r="KV384" s="2"/>
      <c r="KW384" s="2"/>
      <c r="KX384" s="2"/>
      <c r="KY384" s="2"/>
      <c r="KZ384" s="2"/>
      <c r="LA384" s="2"/>
      <c r="LB384" s="2"/>
      <c r="LC384" s="2"/>
      <c r="LD384" s="2"/>
      <c r="LE384" s="2"/>
      <c r="LF384" s="2"/>
      <c r="LG384" s="2"/>
      <c r="LH384" s="2"/>
      <c r="LI384" s="2"/>
      <c r="LJ384" s="2"/>
      <c r="LK384" s="2"/>
      <c r="LL384" s="2"/>
      <c r="LM384" s="2"/>
      <c r="LN384" s="2"/>
    </row>
    <row r="385" spans="1:326">
      <c r="A385" s="1">
        <v>1748</v>
      </c>
      <c r="BI385" s="4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HW385" s="4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/>
      <c r="KW385" s="2"/>
      <c r="KX385" s="2"/>
      <c r="KY385" s="2"/>
      <c r="KZ385" s="2"/>
      <c r="LA385" s="2"/>
      <c r="LB385" s="2"/>
      <c r="LC385" s="2"/>
      <c r="LD385" s="2"/>
      <c r="LE385" s="2"/>
      <c r="LF385" s="2"/>
      <c r="LG385" s="2"/>
      <c r="LH385" s="2"/>
      <c r="LI385" s="2"/>
      <c r="LJ385" s="2"/>
      <c r="LK385" s="2"/>
      <c r="LL385" s="2"/>
      <c r="LM385" s="2"/>
      <c r="LN385" s="2"/>
    </row>
    <row r="386" spans="1:326">
      <c r="A386" s="1">
        <v>1749</v>
      </c>
      <c r="BI386" s="4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HW386" s="4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  <c r="JY386" s="2"/>
      <c r="JZ386" s="2"/>
      <c r="KA386" s="2"/>
      <c r="KB386" s="2"/>
      <c r="KC386" s="2"/>
      <c r="KD386" s="2"/>
      <c r="KE386" s="2"/>
      <c r="KF386" s="2"/>
      <c r="KG386" s="2"/>
      <c r="KH386" s="2"/>
      <c r="KI386" s="2"/>
      <c r="KJ386" s="2"/>
      <c r="KK386" s="2"/>
      <c r="KL386" s="2"/>
      <c r="KM386" s="2"/>
      <c r="KN386" s="2"/>
      <c r="KO386" s="2"/>
      <c r="KP386" s="2"/>
      <c r="KQ386" s="2"/>
      <c r="KR386" s="2"/>
      <c r="KS386" s="2"/>
      <c r="KT386" s="2"/>
      <c r="KU386" s="2"/>
      <c r="KV386" s="2"/>
      <c r="KW386" s="2"/>
      <c r="KX386" s="2"/>
      <c r="KY386" s="2"/>
      <c r="KZ386" s="2"/>
      <c r="LA386" s="2"/>
      <c r="LB386" s="2"/>
      <c r="LC386" s="2"/>
      <c r="LD386" s="2"/>
      <c r="LE386" s="2"/>
      <c r="LF386" s="2"/>
      <c r="LG386" s="2"/>
      <c r="LH386" s="2"/>
      <c r="LI386" s="2"/>
      <c r="LJ386" s="2"/>
      <c r="LK386" s="2"/>
      <c r="LL386" s="2"/>
      <c r="LM386" s="2"/>
      <c r="LN386" s="2"/>
    </row>
    <row r="387" spans="1:326">
      <c r="A387" s="1">
        <v>1750</v>
      </c>
      <c r="BI387" s="4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HW387" s="4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  <c r="JY387" s="2"/>
      <c r="JZ387" s="2"/>
      <c r="KA387" s="2"/>
      <c r="KB387" s="2"/>
      <c r="KC387" s="2"/>
      <c r="KD387" s="2"/>
      <c r="KE387" s="2"/>
      <c r="KF387" s="2"/>
      <c r="KG387" s="2"/>
      <c r="KH387" s="2"/>
      <c r="KI387" s="2"/>
      <c r="KJ387" s="2"/>
      <c r="KK387" s="2"/>
      <c r="KL387" s="2"/>
      <c r="KM387" s="2"/>
      <c r="KN387" s="2"/>
      <c r="KO387" s="2"/>
      <c r="KP387" s="2"/>
      <c r="KQ387" s="2"/>
      <c r="KR387" s="2"/>
      <c r="KS387" s="2"/>
      <c r="KT387" s="2"/>
      <c r="KU387" s="2"/>
      <c r="KV387" s="2"/>
      <c r="KW387" s="2"/>
      <c r="KX387" s="2"/>
      <c r="KY387" s="2"/>
      <c r="KZ387" s="2"/>
      <c r="LA387" s="2"/>
      <c r="LB387" s="2"/>
      <c r="LC387" s="2"/>
      <c r="LD387" s="2"/>
      <c r="LE387" s="2"/>
      <c r="LF387" s="2"/>
      <c r="LG387" s="2"/>
      <c r="LH387" s="2"/>
      <c r="LI387" s="2"/>
      <c r="LJ387" s="2"/>
      <c r="LK387" s="2"/>
      <c r="LL387" s="2"/>
      <c r="LM387" s="2"/>
      <c r="LN387" s="2"/>
    </row>
    <row r="388" spans="1:326">
      <c r="A388" s="1">
        <v>1751</v>
      </c>
      <c r="BI388" s="4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HW388" s="4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  <c r="JY388" s="2"/>
      <c r="JZ388" s="2"/>
      <c r="KA388" s="2"/>
      <c r="KB388" s="2"/>
      <c r="KC388" s="2"/>
      <c r="KD388" s="2"/>
      <c r="KE388" s="2"/>
      <c r="KF388" s="2"/>
      <c r="KG388" s="2"/>
      <c r="KH388" s="2"/>
      <c r="KI388" s="2"/>
      <c r="KJ388" s="2"/>
      <c r="KK388" s="2"/>
      <c r="KL388" s="2"/>
      <c r="KM388" s="2"/>
      <c r="KN388" s="2"/>
      <c r="KO388" s="2"/>
      <c r="KP388" s="2"/>
      <c r="KQ388" s="2"/>
      <c r="KR388" s="2"/>
      <c r="KS388" s="2"/>
      <c r="KT388" s="2"/>
      <c r="KU388" s="2"/>
      <c r="KV388" s="2"/>
      <c r="KW388" s="2"/>
      <c r="KX388" s="2"/>
      <c r="KY388" s="2"/>
      <c r="KZ388" s="2"/>
      <c r="LA388" s="2"/>
      <c r="LB388" s="2"/>
      <c r="LC388" s="2"/>
      <c r="LD388" s="2"/>
      <c r="LE388" s="2"/>
      <c r="LF388" s="2"/>
      <c r="LG388" s="2"/>
      <c r="LH388" s="2"/>
      <c r="LI388" s="2"/>
      <c r="LJ388" s="2"/>
      <c r="LK388" s="2"/>
      <c r="LL388" s="2"/>
      <c r="LM388" s="2"/>
      <c r="LN388" s="2"/>
    </row>
    <row r="389" spans="1:326">
      <c r="A389" s="1">
        <v>1752</v>
      </c>
      <c r="BI389" s="4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HW389" s="4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  <c r="JY389" s="2"/>
      <c r="JZ389" s="2"/>
      <c r="KA389" s="2"/>
      <c r="KB389" s="2"/>
      <c r="KC389" s="2"/>
      <c r="KD389" s="2"/>
      <c r="KE389" s="2"/>
      <c r="KF389" s="2"/>
      <c r="KG389" s="2"/>
      <c r="KH389" s="2"/>
      <c r="KI389" s="2"/>
      <c r="KJ389" s="2"/>
      <c r="KK389" s="2"/>
      <c r="KL389" s="2"/>
      <c r="KM389" s="2"/>
      <c r="KN389" s="2"/>
      <c r="KO389" s="2"/>
      <c r="KP389" s="2"/>
      <c r="KQ389" s="2"/>
      <c r="KR389" s="2"/>
      <c r="KS389" s="2"/>
      <c r="KT389" s="2"/>
      <c r="KU389" s="2"/>
      <c r="KV389" s="2"/>
      <c r="KW389" s="2"/>
      <c r="KX389" s="2"/>
      <c r="KY389" s="2"/>
      <c r="KZ389" s="2"/>
      <c r="LA389" s="2"/>
      <c r="LB389" s="2"/>
      <c r="LC389" s="2"/>
      <c r="LD389" s="2"/>
      <c r="LE389" s="2"/>
      <c r="LF389" s="2"/>
      <c r="LG389" s="2"/>
      <c r="LH389" s="2"/>
      <c r="LI389" s="2"/>
      <c r="LJ389" s="2"/>
      <c r="LK389" s="2"/>
      <c r="LL389" s="2"/>
      <c r="LM389" s="2"/>
      <c r="LN389" s="2"/>
    </row>
    <row r="390" spans="1:326">
      <c r="A390" s="1">
        <v>1753</v>
      </c>
      <c r="BI390" s="4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HW390" s="4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  <c r="JY390" s="2"/>
      <c r="JZ390" s="2"/>
      <c r="KA390" s="2"/>
      <c r="KB390" s="2"/>
      <c r="KC390" s="2"/>
      <c r="KD390" s="2"/>
      <c r="KE390" s="2"/>
      <c r="KF390" s="2"/>
      <c r="KG390" s="2"/>
      <c r="KH390" s="2"/>
      <c r="KI390" s="2"/>
      <c r="KJ390" s="2"/>
      <c r="KK390" s="2"/>
      <c r="KL390" s="2"/>
      <c r="KM390" s="2"/>
      <c r="KN390" s="2"/>
      <c r="KO390" s="2"/>
      <c r="KP390" s="2"/>
      <c r="KQ390" s="2"/>
      <c r="KR390" s="2"/>
      <c r="KS390" s="2"/>
      <c r="KT390" s="2"/>
      <c r="KU390" s="2"/>
      <c r="KV390" s="2"/>
      <c r="KW390" s="2"/>
      <c r="KX390" s="2"/>
      <c r="KY390" s="2"/>
      <c r="KZ390" s="2"/>
      <c r="LA390" s="2"/>
      <c r="LB390" s="2"/>
      <c r="LC390" s="2"/>
      <c r="LD390" s="2"/>
      <c r="LE390" s="2"/>
      <c r="LF390" s="2"/>
      <c r="LG390" s="2"/>
      <c r="LH390" s="2"/>
      <c r="LI390" s="2"/>
      <c r="LJ390" s="2"/>
      <c r="LK390" s="2"/>
      <c r="LL390" s="2"/>
      <c r="LM390" s="2"/>
      <c r="LN390" s="2"/>
    </row>
    <row r="391" spans="1:326">
      <c r="A391" s="1">
        <v>1754</v>
      </c>
      <c r="BI391" s="4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HW391" s="4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  <c r="JY391" s="2"/>
      <c r="JZ391" s="2"/>
      <c r="KA391" s="2"/>
      <c r="KB391" s="2"/>
      <c r="KC391" s="2"/>
      <c r="KD391" s="2"/>
      <c r="KE391" s="2"/>
      <c r="KF391" s="2"/>
      <c r="KG391" s="2"/>
      <c r="KH391" s="2"/>
      <c r="KI391" s="2"/>
      <c r="KJ391" s="2"/>
      <c r="KK391" s="2"/>
      <c r="KL391" s="2"/>
      <c r="KM391" s="2"/>
      <c r="KN391" s="2"/>
      <c r="KO391" s="2"/>
      <c r="KP391" s="2"/>
      <c r="KQ391" s="2"/>
      <c r="KR391" s="2"/>
      <c r="KS391" s="2"/>
      <c r="KT391" s="2"/>
      <c r="KU391" s="2"/>
      <c r="KV391" s="2"/>
      <c r="KW391" s="2"/>
      <c r="KX391" s="2"/>
      <c r="KY391" s="2"/>
      <c r="KZ391" s="2"/>
      <c r="LA391" s="2"/>
      <c r="LB391" s="2"/>
      <c r="LC391" s="2"/>
      <c r="LD391" s="2"/>
      <c r="LE391" s="2"/>
      <c r="LF391" s="2"/>
      <c r="LG391" s="2"/>
      <c r="LH391" s="2"/>
      <c r="LI391" s="2"/>
      <c r="LJ391" s="2"/>
      <c r="LK391" s="2"/>
      <c r="LL391" s="2"/>
      <c r="LM391" s="2"/>
      <c r="LN391" s="2"/>
    </row>
    <row r="392" spans="1:326">
      <c r="A392" s="1">
        <v>1755</v>
      </c>
      <c r="BI392" s="4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HW392" s="4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  <c r="JY392" s="2"/>
      <c r="JZ392" s="2"/>
      <c r="KA392" s="2"/>
      <c r="KB392" s="2"/>
      <c r="KC392" s="2"/>
      <c r="KD392" s="2"/>
      <c r="KE392" s="2"/>
      <c r="KF392" s="2"/>
      <c r="KG392" s="2"/>
      <c r="KH392" s="2"/>
      <c r="KI392" s="2"/>
      <c r="KJ392" s="2"/>
      <c r="KK392" s="2"/>
      <c r="KL392" s="2"/>
      <c r="KM392" s="2"/>
      <c r="KN392" s="2"/>
      <c r="KO392" s="2"/>
      <c r="KP392" s="2"/>
      <c r="KQ392" s="2"/>
      <c r="KR392" s="2"/>
      <c r="KS392" s="2"/>
      <c r="KT392" s="2"/>
      <c r="KU392" s="2"/>
      <c r="KV392" s="2"/>
      <c r="KW392" s="2"/>
      <c r="KX392" s="2"/>
      <c r="KY392" s="2"/>
      <c r="KZ392" s="2"/>
      <c r="LA392" s="2"/>
      <c r="LB392" s="2"/>
      <c r="LC392" s="2"/>
      <c r="LD392" s="2"/>
      <c r="LE392" s="2"/>
      <c r="LF392" s="2"/>
      <c r="LG392" s="2"/>
      <c r="LH392" s="2"/>
      <c r="LI392" s="2"/>
      <c r="LJ392" s="2"/>
      <c r="LK392" s="2"/>
      <c r="LL392" s="2"/>
      <c r="LM392" s="2"/>
      <c r="LN392" s="2"/>
    </row>
    <row r="393" spans="1:326">
      <c r="A393" s="1">
        <v>1756</v>
      </c>
      <c r="BI393" s="4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HW393" s="4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  <c r="JY393" s="2"/>
      <c r="JZ393" s="2"/>
      <c r="KA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  <c r="KO393" s="2"/>
      <c r="KP393" s="2"/>
      <c r="KQ393" s="2"/>
      <c r="KR393" s="2"/>
      <c r="KS393" s="2"/>
      <c r="KT393" s="2"/>
      <c r="KU393" s="2"/>
      <c r="KV393" s="2"/>
      <c r="KW393" s="2"/>
      <c r="KX393" s="2"/>
      <c r="KY393" s="2"/>
      <c r="KZ393" s="2"/>
      <c r="LA393" s="2"/>
      <c r="LB393" s="2"/>
      <c r="LC393" s="2"/>
      <c r="LD393" s="2"/>
      <c r="LE393" s="2"/>
      <c r="LF393" s="2"/>
      <c r="LG393" s="2"/>
      <c r="LH393" s="2"/>
      <c r="LI393" s="2"/>
      <c r="LJ393" s="2"/>
      <c r="LK393" s="2"/>
      <c r="LL393" s="2"/>
      <c r="LM393" s="2"/>
      <c r="LN393" s="2"/>
    </row>
    <row r="394" spans="1:326">
      <c r="A394" s="1">
        <v>1757</v>
      </c>
      <c r="BI394" s="4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HW394" s="4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/>
      <c r="KJ394" s="2"/>
      <c r="KK394" s="2"/>
      <c r="KL394" s="2"/>
      <c r="KM394" s="2"/>
      <c r="KN394" s="2"/>
      <c r="KO394" s="2"/>
      <c r="KP394" s="2"/>
      <c r="KQ394" s="2"/>
      <c r="KR394" s="2"/>
      <c r="KS394" s="2"/>
      <c r="KT394" s="2"/>
      <c r="KU394" s="2"/>
      <c r="KV394" s="2"/>
      <c r="KW394" s="2"/>
      <c r="KX394" s="2"/>
      <c r="KY394" s="2"/>
      <c r="KZ394" s="2"/>
      <c r="LA394" s="2"/>
      <c r="LB394" s="2"/>
      <c r="LC394" s="2"/>
      <c r="LD394" s="2"/>
      <c r="LE394" s="2"/>
      <c r="LF394" s="2"/>
      <c r="LG394" s="2"/>
      <c r="LH394" s="2"/>
      <c r="LI394" s="2"/>
      <c r="LJ394" s="2"/>
      <c r="LK394" s="2"/>
      <c r="LL394" s="2"/>
      <c r="LM394" s="2"/>
      <c r="LN394" s="2"/>
    </row>
    <row r="395" spans="1:326">
      <c r="A395" s="1">
        <v>1758</v>
      </c>
      <c r="BI395" s="4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HW395" s="4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  <c r="KO395" s="2"/>
      <c r="KP395" s="2"/>
      <c r="KQ395" s="2"/>
      <c r="KR395" s="2"/>
      <c r="KS395" s="2"/>
      <c r="KT395" s="2"/>
      <c r="KU395" s="2"/>
      <c r="KV395" s="2"/>
      <c r="KW395" s="2"/>
      <c r="KX395" s="2"/>
      <c r="KY395" s="2"/>
      <c r="KZ395" s="2"/>
      <c r="LA395" s="2"/>
      <c r="LB395" s="2"/>
      <c r="LC395" s="2"/>
      <c r="LD395" s="2"/>
      <c r="LE395" s="2"/>
      <c r="LF395" s="2"/>
      <c r="LG395" s="2"/>
      <c r="LH395" s="2"/>
      <c r="LI395" s="2"/>
      <c r="LJ395" s="2"/>
      <c r="LK395" s="2"/>
      <c r="LL395" s="2"/>
      <c r="LM395" s="2"/>
      <c r="LN395" s="2"/>
    </row>
    <row r="396" spans="1:326">
      <c r="A396" s="1">
        <v>1759</v>
      </c>
      <c r="BI396" s="4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HW396" s="4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  <c r="JY396" s="2"/>
      <c r="JZ396" s="2"/>
      <c r="KA396" s="2"/>
      <c r="KB396" s="2"/>
      <c r="KC396" s="2"/>
      <c r="KD396" s="2"/>
      <c r="KE396" s="2"/>
      <c r="KF396" s="2"/>
      <c r="KG396" s="2"/>
      <c r="KH396" s="2"/>
      <c r="KI396" s="2"/>
      <c r="KJ396" s="2"/>
      <c r="KK396" s="2"/>
      <c r="KL396" s="2"/>
      <c r="KM396" s="2"/>
      <c r="KN396" s="2"/>
      <c r="KO396" s="2"/>
      <c r="KP396" s="2"/>
      <c r="KQ396" s="2"/>
      <c r="KR396" s="2"/>
      <c r="KS396" s="2"/>
      <c r="KT396" s="2"/>
      <c r="KU396" s="2"/>
      <c r="KV396" s="2"/>
      <c r="KW396" s="2"/>
      <c r="KX396" s="2"/>
      <c r="KY396" s="2"/>
      <c r="KZ396" s="2"/>
      <c r="LA396" s="2"/>
      <c r="LB396" s="2"/>
      <c r="LC396" s="2"/>
      <c r="LD396" s="2"/>
      <c r="LE396" s="2"/>
      <c r="LF396" s="2"/>
      <c r="LG396" s="2"/>
      <c r="LH396" s="2"/>
      <c r="LI396" s="2"/>
      <c r="LJ396" s="2"/>
      <c r="LK396" s="2"/>
      <c r="LL396" s="2"/>
      <c r="LM396" s="2"/>
      <c r="LN396" s="2"/>
    </row>
    <row r="397" spans="1:326">
      <c r="A397" s="1">
        <v>1760</v>
      </c>
      <c r="BI397" s="4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HW397" s="4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  <c r="JY397" s="2"/>
      <c r="JZ397" s="2"/>
      <c r="KA397" s="2"/>
      <c r="KB397" s="2"/>
      <c r="KC397" s="2"/>
      <c r="KD397" s="2"/>
      <c r="KE397" s="2"/>
      <c r="KF397" s="2"/>
      <c r="KG397" s="2"/>
      <c r="KH397" s="2"/>
      <c r="KI397" s="2"/>
      <c r="KJ397" s="2"/>
      <c r="KK397" s="2"/>
      <c r="KL397" s="2"/>
      <c r="KM397" s="2"/>
      <c r="KN397" s="2"/>
      <c r="KO397" s="2"/>
      <c r="KP397" s="2"/>
      <c r="KQ397" s="2"/>
      <c r="KR397" s="2"/>
      <c r="KS397" s="2"/>
      <c r="KT397" s="2"/>
      <c r="KU397" s="2"/>
      <c r="KV397" s="2"/>
      <c r="KW397" s="2"/>
      <c r="KX397" s="2"/>
      <c r="KY397" s="2"/>
      <c r="KZ397" s="2"/>
      <c r="LA397" s="2"/>
      <c r="LB397" s="2"/>
      <c r="LC397" s="2"/>
      <c r="LD397" s="2"/>
      <c r="LE397" s="2"/>
      <c r="LF397" s="2"/>
      <c r="LG397" s="2"/>
      <c r="LH397" s="2"/>
      <c r="LI397" s="2"/>
      <c r="LJ397" s="2"/>
      <c r="LK397" s="2"/>
      <c r="LL397" s="2"/>
      <c r="LM397" s="2"/>
      <c r="LN397" s="2"/>
    </row>
    <row r="398" spans="1:326">
      <c r="A398" s="1">
        <v>1761</v>
      </c>
      <c r="BI398" s="4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HW398" s="4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  <c r="JY398" s="2"/>
      <c r="JZ398" s="2"/>
      <c r="KA398" s="2"/>
      <c r="KB398" s="2"/>
      <c r="KC398" s="2"/>
      <c r="KD398" s="2"/>
      <c r="KE398" s="2"/>
      <c r="KF398" s="2"/>
      <c r="KG398" s="2"/>
      <c r="KH398" s="2"/>
      <c r="KI398" s="2"/>
      <c r="KJ398" s="2"/>
      <c r="KK398" s="2"/>
      <c r="KL398" s="2"/>
      <c r="KM398" s="2"/>
      <c r="KN398" s="2"/>
      <c r="KO398" s="2"/>
      <c r="KP398" s="2"/>
      <c r="KQ398" s="2"/>
      <c r="KR398" s="2"/>
      <c r="KS398" s="2"/>
      <c r="KT398" s="2"/>
      <c r="KU398" s="2"/>
      <c r="KV398" s="2"/>
      <c r="KW398" s="2"/>
      <c r="KX398" s="2"/>
      <c r="KY398" s="2"/>
      <c r="KZ398" s="2"/>
      <c r="LA398" s="2"/>
      <c r="LB398" s="2"/>
      <c r="LC398" s="2"/>
      <c r="LD398" s="2"/>
      <c r="LE398" s="2"/>
      <c r="LF398" s="2"/>
      <c r="LG398" s="2"/>
      <c r="LH398" s="2"/>
      <c r="LI398" s="2"/>
      <c r="LJ398" s="2"/>
      <c r="LK398" s="2"/>
      <c r="LL398" s="2"/>
      <c r="LM398" s="2"/>
      <c r="LN398" s="2"/>
    </row>
    <row r="399" spans="1:326">
      <c r="A399" s="1">
        <v>1762</v>
      </c>
      <c r="BI399" s="4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HW399" s="4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  <c r="JY399" s="2"/>
      <c r="JZ399" s="2"/>
      <c r="KA399" s="2"/>
      <c r="KB399" s="2"/>
      <c r="KC399" s="2"/>
      <c r="KD399" s="2"/>
      <c r="KE399" s="2"/>
      <c r="KF399" s="2"/>
      <c r="KG399" s="2"/>
      <c r="KH399" s="2"/>
      <c r="KI399" s="2"/>
      <c r="KJ399" s="2"/>
      <c r="KK399" s="2"/>
      <c r="KL399" s="2"/>
      <c r="KM399" s="2"/>
      <c r="KN399" s="2"/>
      <c r="KO399" s="2"/>
      <c r="KP399" s="2"/>
      <c r="KQ399" s="2"/>
      <c r="KR399" s="2"/>
      <c r="KS399" s="2"/>
      <c r="KT399" s="2"/>
      <c r="KU399" s="2"/>
      <c r="KV399" s="2"/>
      <c r="KW399" s="2"/>
      <c r="KX399" s="2"/>
      <c r="KY399" s="2"/>
      <c r="KZ399" s="2"/>
      <c r="LA399" s="2"/>
      <c r="LB399" s="2"/>
      <c r="LC399" s="2"/>
      <c r="LD399" s="2"/>
      <c r="LE399" s="2"/>
      <c r="LF399" s="2"/>
      <c r="LG399" s="2"/>
      <c r="LH399" s="2"/>
      <c r="LI399" s="2"/>
      <c r="LJ399" s="2"/>
      <c r="LK399" s="2"/>
      <c r="LL399" s="2"/>
      <c r="LM399" s="2"/>
      <c r="LN399" s="2"/>
    </row>
    <row r="400" spans="1:326">
      <c r="A400" s="1">
        <v>1763</v>
      </c>
      <c r="BI400" s="4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HW400" s="4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  <c r="JY400" s="2"/>
      <c r="JZ400" s="2"/>
      <c r="KA400" s="2"/>
      <c r="KB400" s="2"/>
      <c r="KC400" s="2"/>
      <c r="KD400" s="2"/>
      <c r="KE400" s="2"/>
      <c r="KF400" s="2"/>
      <c r="KG400" s="2"/>
      <c r="KH400" s="2"/>
      <c r="KI400" s="2"/>
      <c r="KJ400" s="2"/>
      <c r="KK400" s="2"/>
      <c r="KL400" s="2"/>
      <c r="KM400" s="2"/>
      <c r="KN400" s="2"/>
      <c r="KO400" s="2"/>
      <c r="KP400" s="2"/>
      <c r="KQ400" s="2"/>
      <c r="KR400" s="2"/>
      <c r="KS400" s="2"/>
      <c r="KT400" s="2"/>
      <c r="KU400" s="2"/>
      <c r="KV400" s="2"/>
      <c r="KW400" s="2"/>
      <c r="KX400" s="2"/>
      <c r="KY400" s="2"/>
      <c r="KZ400" s="2"/>
      <c r="LA400" s="2"/>
      <c r="LB400" s="2"/>
      <c r="LC400" s="2"/>
      <c r="LD400" s="2"/>
      <c r="LE400" s="2"/>
      <c r="LF400" s="2"/>
      <c r="LG400" s="2"/>
      <c r="LH400" s="2"/>
      <c r="LI400" s="2"/>
      <c r="LJ400" s="2"/>
      <c r="LK400" s="2"/>
      <c r="LL400" s="2"/>
      <c r="LM400" s="2"/>
      <c r="LN400" s="2"/>
    </row>
    <row r="401" spans="1:333">
      <c r="A401" s="1">
        <v>1764</v>
      </c>
      <c r="BI401" s="4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HW401" s="4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  <c r="JY401" s="2"/>
      <c r="JZ401" s="2"/>
      <c r="KA401" s="2"/>
      <c r="KB401" s="2"/>
      <c r="KC401" s="2"/>
      <c r="KD401" s="2"/>
      <c r="KE401" s="2"/>
      <c r="KF401" s="2"/>
      <c r="KG401" s="2"/>
      <c r="KH401" s="2"/>
      <c r="KI401" s="2"/>
      <c r="KJ401" s="2"/>
      <c r="KK401" s="2"/>
      <c r="KL401" s="2"/>
      <c r="KM401" s="2"/>
      <c r="KN401" s="2"/>
      <c r="KO401" s="2"/>
      <c r="KP401" s="2"/>
      <c r="KQ401" s="2"/>
      <c r="KR401" s="2"/>
      <c r="KS401" s="2"/>
      <c r="KT401" s="2"/>
      <c r="KU401" s="2"/>
      <c r="KV401" s="2"/>
      <c r="KW401" s="2"/>
      <c r="KX401" s="2"/>
      <c r="KY401" s="2"/>
      <c r="KZ401" s="2"/>
      <c r="LA401" s="2"/>
      <c r="LB401" s="2"/>
      <c r="LC401" s="2"/>
      <c r="LD401" s="2"/>
      <c r="LE401" s="2"/>
      <c r="LF401" s="2"/>
      <c r="LG401" s="2"/>
      <c r="LH401" s="2"/>
      <c r="LI401" s="2"/>
      <c r="LJ401" s="2"/>
      <c r="LK401" s="2"/>
      <c r="LL401" s="2"/>
      <c r="LM401" s="2"/>
      <c r="LN401" s="2"/>
    </row>
    <row r="402" spans="1:333">
      <c r="A402" s="1">
        <v>1765</v>
      </c>
      <c r="BI402" s="4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HW402" s="4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  <c r="JY402" s="2"/>
      <c r="JZ402" s="2"/>
      <c r="KA402" s="2"/>
      <c r="KB402" s="2"/>
      <c r="KC402" s="2"/>
      <c r="KD402" s="2"/>
      <c r="KE402" s="2"/>
      <c r="KF402" s="2"/>
      <c r="KG402" s="2"/>
      <c r="KH402" s="2"/>
      <c r="KI402" s="2"/>
      <c r="KJ402" s="2"/>
      <c r="KK402" s="2"/>
      <c r="KL402" s="2"/>
      <c r="KM402" s="2"/>
      <c r="KN402" s="2"/>
      <c r="KO402" s="2"/>
      <c r="KP402" s="2"/>
      <c r="KQ402" s="2"/>
      <c r="KR402" s="2"/>
      <c r="KS402" s="2"/>
      <c r="KT402" s="2"/>
      <c r="KU402" s="2"/>
      <c r="KV402" s="2"/>
      <c r="KW402" s="2"/>
      <c r="KX402" s="2"/>
      <c r="KY402" s="2"/>
      <c r="KZ402" s="2"/>
      <c r="LA402" s="2"/>
      <c r="LB402" s="2"/>
      <c r="LC402" s="2"/>
      <c r="LD402" s="2"/>
      <c r="LE402" s="2"/>
      <c r="LF402" s="2"/>
      <c r="LG402" s="2"/>
      <c r="LH402" s="2"/>
      <c r="LI402" s="2"/>
      <c r="LJ402" s="2"/>
      <c r="LK402" s="2"/>
      <c r="LL402" s="2"/>
      <c r="LM402" s="2"/>
      <c r="LN402" s="2"/>
    </row>
    <row r="403" spans="1:333">
      <c r="A403" s="1">
        <v>1766</v>
      </c>
      <c r="BI403" s="4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HW403" s="4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  <c r="JY403" s="2"/>
      <c r="JZ403" s="2"/>
      <c r="KA403" s="2"/>
      <c r="KB403" s="2"/>
      <c r="KC403" s="2"/>
      <c r="KD403" s="2"/>
      <c r="KE403" s="2"/>
      <c r="KF403" s="2"/>
      <c r="KG403" s="2"/>
      <c r="KH403" s="2"/>
      <c r="KI403" s="2"/>
      <c r="KJ403" s="2"/>
      <c r="KK403" s="2"/>
      <c r="KL403" s="2"/>
      <c r="KM403" s="2"/>
      <c r="KN403" s="2"/>
      <c r="KO403" s="2"/>
      <c r="KP403" s="2"/>
      <c r="KQ403" s="2"/>
      <c r="KR403" s="2"/>
      <c r="KS403" s="2"/>
      <c r="KT403" s="2"/>
      <c r="KU403" s="2"/>
      <c r="KV403" s="2"/>
      <c r="KW403" s="2"/>
      <c r="KX403" s="2"/>
      <c r="KY403" s="2"/>
      <c r="KZ403" s="2"/>
      <c r="LA403" s="2"/>
      <c r="LB403" s="2"/>
      <c r="LC403" s="2"/>
      <c r="LD403" s="2"/>
      <c r="LE403" s="2"/>
      <c r="LF403" s="2"/>
      <c r="LG403" s="2"/>
      <c r="LH403" s="2"/>
      <c r="LI403" s="2"/>
      <c r="LJ403" s="2"/>
      <c r="LK403" s="2"/>
      <c r="LL403" s="2"/>
      <c r="LM403" s="2"/>
      <c r="LN403" s="2"/>
    </row>
    <row r="404" spans="1:333">
      <c r="A404" s="1">
        <v>1767</v>
      </c>
      <c r="BI404" s="4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HW404" s="4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  <c r="JY404" s="2"/>
      <c r="JZ404" s="2"/>
      <c r="KA404" s="2"/>
      <c r="KB404" s="2"/>
      <c r="KC404" s="2"/>
      <c r="KD404" s="2"/>
      <c r="KE404" s="2"/>
      <c r="KF404" s="2"/>
      <c r="KG404" s="2"/>
      <c r="KH404" s="2"/>
      <c r="KI404" s="2"/>
      <c r="KJ404" s="2"/>
      <c r="KK404" s="2"/>
      <c r="KL404" s="2"/>
      <c r="KM404" s="2"/>
      <c r="KN404" s="2"/>
      <c r="KO404" s="2"/>
      <c r="KP404" s="2"/>
      <c r="KQ404" s="2"/>
      <c r="KR404" s="2"/>
      <c r="KS404" s="2"/>
      <c r="KT404" s="2"/>
      <c r="KU404" s="2"/>
      <c r="KV404" s="2"/>
      <c r="KW404" s="2"/>
      <c r="KX404" s="2"/>
      <c r="KY404" s="2"/>
      <c r="KZ404" s="2"/>
      <c r="LA404" s="2"/>
      <c r="LB404" s="2"/>
      <c r="LC404" s="2"/>
      <c r="LD404" s="2"/>
      <c r="LE404" s="2"/>
      <c r="LF404" s="2"/>
      <c r="LG404" s="2"/>
      <c r="LH404" s="2"/>
      <c r="LI404" s="2"/>
      <c r="LJ404" s="2"/>
      <c r="LK404" s="2"/>
      <c r="LL404" s="2"/>
      <c r="LM404" s="2"/>
      <c r="LN404" s="2"/>
    </row>
    <row r="405" spans="1:333">
      <c r="A405" s="1">
        <v>1768</v>
      </c>
      <c r="BI405" s="4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HW405" s="4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  <c r="JY405" s="2"/>
      <c r="JZ405" s="2"/>
      <c r="KA405" s="2"/>
      <c r="KB405" s="2"/>
      <c r="KC405" s="2"/>
      <c r="KD405" s="2"/>
      <c r="KE405" s="2"/>
      <c r="KF405" s="2"/>
      <c r="KG405" s="2"/>
      <c r="KH405" s="2"/>
      <c r="KI405" s="2"/>
      <c r="KJ405" s="2"/>
      <c r="KK405" s="2"/>
      <c r="KL405" s="2"/>
      <c r="KM405" s="2"/>
      <c r="KN405" s="2"/>
      <c r="KO405" s="2"/>
      <c r="KP405" s="2"/>
      <c r="KQ405" s="2"/>
      <c r="KR405" s="2"/>
      <c r="KS405" s="2"/>
      <c r="KT405" s="2"/>
      <c r="KU405" s="2"/>
      <c r="KV405" s="2"/>
      <c r="KW405" s="2"/>
      <c r="KX405" s="2"/>
      <c r="KY405" s="2"/>
      <c r="KZ405" s="2"/>
      <c r="LA405" s="2"/>
      <c r="LB405" s="2"/>
      <c r="LC405" s="2"/>
      <c r="LD405" s="2"/>
      <c r="LE405" s="2"/>
      <c r="LF405" s="2"/>
      <c r="LG405" s="2"/>
      <c r="LH405" s="2"/>
      <c r="LI405" s="2"/>
      <c r="LJ405" s="2"/>
      <c r="LK405" s="2"/>
      <c r="LL405" s="2"/>
      <c r="LM405" s="2"/>
      <c r="LN405" s="2"/>
    </row>
    <row r="406" spans="1:333">
      <c r="A406" s="1">
        <v>1769</v>
      </c>
      <c r="BI406" s="4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HW406" s="4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  <c r="JY406" s="2"/>
      <c r="JZ406" s="2"/>
      <c r="KA406" s="2"/>
      <c r="KB406" s="2"/>
      <c r="KC406" s="2"/>
      <c r="KD406" s="2"/>
      <c r="KE406" s="2"/>
      <c r="KF406" s="2"/>
      <c r="KG406" s="2"/>
      <c r="KH406" s="2"/>
      <c r="KI406" s="2"/>
      <c r="KJ406" s="2"/>
      <c r="KK406" s="2"/>
      <c r="KL406" s="2"/>
      <c r="KM406" s="2"/>
      <c r="KN406" s="2"/>
      <c r="KO406" s="2"/>
      <c r="KP406" s="2"/>
      <c r="KQ406" s="2"/>
      <c r="KR406" s="2"/>
      <c r="KS406" s="2"/>
      <c r="KT406" s="2"/>
      <c r="KU406" s="2"/>
      <c r="KV406" s="2"/>
      <c r="KW406" s="2"/>
      <c r="KX406" s="2"/>
      <c r="KY406" s="2"/>
      <c r="KZ406" s="2"/>
      <c r="LA406" s="2"/>
      <c r="LB406" s="2"/>
      <c r="LC406" s="2"/>
      <c r="LD406" s="2"/>
      <c r="LE406" s="2"/>
      <c r="LF406" s="2"/>
      <c r="LG406" s="2"/>
      <c r="LH406" s="2"/>
      <c r="LI406" s="2"/>
      <c r="LJ406" s="2"/>
      <c r="LK406" s="2"/>
      <c r="LL406" s="2"/>
      <c r="LM406" s="2"/>
      <c r="LN406" s="2"/>
    </row>
    <row r="407" spans="1:333">
      <c r="A407" s="1">
        <v>1770</v>
      </c>
      <c r="BI407" s="4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HW407" s="4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  <c r="JY407" s="2"/>
      <c r="JZ407" s="2"/>
      <c r="KA407" s="2"/>
      <c r="KB407" s="2"/>
      <c r="KC407" s="2"/>
      <c r="KD407" s="2"/>
      <c r="KE407" s="2"/>
      <c r="KF407" s="2"/>
      <c r="KG407" s="2"/>
      <c r="KH407" s="2"/>
      <c r="KI407" s="2"/>
      <c r="KJ407" s="2"/>
      <c r="KK407" s="2"/>
      <c r="KL407" s="2"/>
      <c r="KM407" s="2"/>
      <c r="KN407" s="2"/>
      <c r="KO407" s="2"/>
      <c r="KP407" s="2"/>
      <c r="KQ407" s="2"/>
      <c r="KR407" s="2"/>
      <c r="KS407" s="2"/>
      <c r="KT407" s="2"/>
      <c r="KU407" s="2"/>
      <c r="KV407" s="2"/>
      <c r="KW407" s="2"/>
      <c r="KX407" s="2"/>
      <c r="KY407" s="2"/>
      <c r="KZ407" s="2"/>
      <c r="LA407" s="2"/>
      <c r="LB407" s="2"/>
      <c r="LC407" s="2"/>
      <c r="LD407" s="2"/>
      <c r="LE407" s="2"/>
      <c r="LF407" s="2"/>
      <c r="LG407" s="2"/>
      <c r="LH407" s="2"/>
      <c r="LI407" s="2"/>
      <c r="LJ407" s="2"/>
      <c r="LK407" s="2"/>
      <c r="LL407" s="2"/>
      <c r="LM407" s="2"/>
      <c r="LN407" s="2"/>
    </row>
    <row r="408" spans="1:333">
      <c r="A408" s="1">
        <v>1771</v>
      </c>
      <c r="BI408" s="4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HW408" s="4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  <c r="JY408" s="2"/>
      <c r="JZ408" s="2"/>
      <c r="KA408" s="2"/>
      <c r="KB408" s="2"/>
      <c r="KC408" s="2"/>
      <c r="KD408" s="2"/>
      <c r="KE408" s="2"/>
      <c r="KF408" s="2"/>
      <c r="KG408" s="2"/>
      <c r="KH408" s="2"/>
      <c r="KI408" s="2"/>
      <c r="KJ408" s="2"/>
      <c r="KK408" s="2"/>
      <c r="KL408" s="2"/>
      <c r="KM408" s="2"/>
      <c r="KN408" s="2"/>
      <c r="KO408" s="2"/>
      <c r="KP408" s="2"/>
      <c r="KQ408" s="2"/>
      <c r="KR408" s="2"/>
      <c r="KS408" s="2"/>
      <c r="KT408" s="2"/>
      <c r="KU408" s="2"/>
      <c r="KV408" s="2"/>
      <c r="KW408" s="2"/>
      <c r="KX408" s="2"/>
      <c r="KY408" s="2"/>
      <c r="KZ408" s="2"/>
      <c r="LA408" s="2"/>
      <c r="LB408" s="2"/>
      <c r="LC408" s="2"/>
      <c r="LD408" s="2"/>
      <c r="LE408" s="2"/>
      <c r="LF408" s="2"/>
      <c r="LG408" s="2"/>
      <c r="LH408" s="2"/>
      <c r="LI408" s="2"/>
      <c r="LJ408" s="2"/>
      <c r="LK408" s="2"/>
      <c r="LL408" s="2"/>
      <c r="LM408" s="2"/>
      <c r="LN408" s="2"/>
    </row>
    <row r="409" spans="1:333">
      <c r="A409" s="1">
        <v>1772</v>
      </c>
      <c r="BI409" s="4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HW409" s="4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  <c r="JY409" s="2"/>
      <c r="JZ409" s="2"/>
      <c r="KA409" s="2"/>
      <c r="KB409" s="2"/>
      <c r="KC409" s="2"/>
      <c r="KD409" s="2"/>
      <c r="KE409" s="2"/>
      <c r="KF409" s="2"/>
      <c r="KG409" s="2"/>
      <c r="KH409" s="2"/>
      <c r="KI409" s="2"/>
      <c r="KJ409" s="2"/>
      <c r="KK409" s="2"/>
      <c r="KL409" s="2"/>
      <c r="KM409" s="2"/>
      <c r="KN409" s="2"/>
      <c r="KO409" s="2"/>
      <c r="KP409" s="2"/>
      <c r="KQ409" s="2"/>
      <c r="KR409" s="2"/>
      <c r="KS409" s="2"/>
      <c r="KT409" s="2"/>
      <c r="KU409" s="2"/>
      <c r="KV409" s="2"/>
      <c r="KW409" s="2"/>
      <c r="KX409" s="2"/>
      <c r="KY409" s="2"/>
      <c r="KZ409" s="2"/>
      <c r="LA409" s="2"/>
      <c r="LB409" s="2"/>
      <c r="LC409" s="2"/>
      <c r="LD409" s="2"/>
      <c r="LE409" s="2"/>
      <c r="LF409" s="2"/>
      <c r="LG409" s="2"/>
      <c r="LH409" s="2"/>
      <c r="LI409" s="2"/>
      <c r="LJ409" s="2"/>
      <c r="LK409" s="2"/>
      <c r="LL409" s="2"/>
      <c r="LM409" s="2"/>
      <c r="LN409" s="2"/>
    </row>
    <row r="410" spans="1:333">
      <c r="A410" s="1">
        <v>1773</v>
      </c>
      <c r="BI410" s="4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HW410" s="4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  <c r="JY410" s="2"/>
      <c r="JZ410" s="2"/>
      <c r="KA410" s="2"/>
      <c r="KB410" s="2"/>
      <c r="KC410" s="2"/>
      <c r="KD410" s="2"/>
      <c r="KE410" s="2"/>
      <c r="KF410" s="2"/>
      <c r="KG410" s="2"/>
      <c r="KH410" s="2"/>
      <c r="KI410" s="2"/>
      <c r="KJ410" s="2"/>
      <c r="KK410" s="2"/>
      <c r="KL410" s="2"/>
      <c r="KM410" s="2"/>
      <c r="KN410" s="2"/>
      <c r="KO410" s="2"/>
      <c r="KP410" s="2"/>
      <c r="KQ410" s="2"/>
      <c r="KR410" s="2"/>
      <c r="KS410" s="2"/>
      <c r="KT410" s="2"/>
      <c r="KU410" s="2"/>
      <c r="KV410" s="2"/>
      <c r="KW410" s="2"/>
      <c r="KX410" s="2"/>
      <c r="KY410" s="2"/>
      <c r="KZ410" s="2"/>
      <c r="LA410" s="2"/>
      <c r="LB410" s="2"/>
      <c r="LC410" s="2"/>
      <c r="LD410" s="2"/>
      <c r="LE410" s="2"/>
      <c r="LF410" s="2"/>
      <c r="LG410" s="2"/>
      <c r="LH410" s="2"/>
      <c r="LI410" s="2"/>
      <c r="LJ410" s="2"/>
      <c r="LK410" s="2"/>
      <c r="LL410" s="2"/>
      <c r="LM410" s="2"/>
      <c r="LN410" s="2"/>
    </row>
    <row r="411" spans="1:333">
      <c r="A411" s="1">
        <v>1774</v>
      </c>
      <c r="BI411" s="4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HW411" s="4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  <c r="JY411" s="2"/>
      <c r="JZ411" s="2"/>
      <c r="KA411" s="2"/>
      <c r="KB411" s="2"/>
      <c r="KC411" s="2"/>
      <c r="KD411" s="2"/>
      <c r="KE411" s="2"/>
      <c r="KF411" s="2"/>
      <c r="KG411" s="2"/>
      <c r="KH411" s="2"/>
      <c r="KI411" s="2"/>
      <c r="KJ411" s="2"/>
      <c r="KK411" s="2"/>
      <c r="KL411" s="2"/>
      <c r="KM411" s="2"/>
      <c r="KN411" s="2"/>
      <c r="KO411" s="2"/>
      <c r="KP411" s="2"/>
      <c r="KQ411" s="2"/>
      <c r="KR411" s="2"/>
      <c r="KS411" s="2"/>
      <c r="KT411" s="2"/>
      <c r="KU411" s="2"/>
      <c r="KV411" s="2"/>
      <c r="KW411" s="2"/>
      <c r="KX411" s="2"/>
      <c r="KY411" s="2"/>
      <c r="KZ411" s="2"/>
      <c r="LA411" s="2"/>
      <c r="LB411" s="2"/>
      <c r="LC411" s="2"/>
      <c r="LD411" s="2"/>
      <c r="LE411" s="2"/>
      <c r="LF411" s="2"/>
      <c r="LG411" s="2"/>
      <c r="LH411" s="2"/>
      <c r="LI411" s="2"/>
      <c r="LJ411" s="2"/>
      <c r="LK411" s="2"/>
      <c r="LL411" s="2"/>
      <c r="LM411" s="2"/>
      <c r="LN411" s="2"/>
    </row>
    <row r="412" spans="1:333">
      <c r="A412" s="1">
        <v>1775</v>
      </c>
      <c r="U412" s="1">
        <v>5157000</v>
      </c>
      <c r="V412" s="1">
        <f>U412*0.178</f>
        <v>917946</v>
      </c>
      <c r="W412" s="1">
        <f>U412*0.16</f>
        <v>825120</v>
      </c>
      <c r="X412" s="1">
        <f>U412*0.124</f>
        <v>639468</v>
      </c>
      <c r="Y412" s="1">
        <f>U412*0.094</f>
        <v>484758</v>
      </c>
      <c r="Z412" s="1">
        <f>U412*0.106</f>
        <v>546642</v>
      </c>
      <c r="AA412" s="1">
        <f>U412*0.103</f>
        <v>531171</v>
      </c>
      <c r="AB412" s="1">
        <f>U412*0.084</f>
        <v>433188</v>
      </c>
      <c r="AC412" s="1">
        <f>U412*0.151</f>
        <v>778707</v>
      </c>
      <c r="BI412" s="4"/>
      <c r="HW412" s="4"/>
    </row>
    <row r="413" spans="1:333">
      <c r="A413" s="1">
        <v>1776</v>
      </c>
      <c r="B413" s="1">
        <f t="shared" ref="B413" si="84">C413+K413+U413+AD413+AH413+AG413+AT413+BC413+R413</f>
        <v>25781276.800000001</v>
      </c>
      <c r="C413" s="1">
        <f>506.5*C$1</f>
        <v>3941076.5</v>
      </c>
      <c r="D413" s="1">
        <f>C413*0.232</f>
        <v>914329.74800000002</v>
      </c>
      <c r="E413" s="1">
        <f>C413*0.294</f>
        <v>1158676.4909999999</v>
      </c>
      <c r="F413" s="1">
        <f>C413*0.129</f>
        <v>508398.86850000004</v>
      </c>
      <c r="G413" s="1">
        <f>C413*0.068</f>
        <v>267993.20199999999</v>
      </c>
      <c r="H413" s="1">
        <f>C413*0.086</f>
        <v>338932.57899999997</v>
      </c>
      <c r="I413" s="1">
        <f>C413*0.048</f>
        <v>189171.67199999999</v>
      </c>
      <c r="J413" s="1">
        <f>C413*0.143</f>
        <v>563573.93949999998</v>
      </c>
      <c r="K413" s="1">
        <f>138*K1</f>
        <v>2630280</v>
      </c>
      <c r="R413" s="1">
        <f>98.8*R1</f>
        <v>1031472</v>
      </c>
      <c r="U413" s="1">
        <f>330.2*U1</f>
        <v>5157724</v>
      </c>
      <c r="AD413" s="1">
        <f>357.7*AD1</f>
        <v>2454895.1</v>
      </c>
      <c r="AG413" s="1">
        <f>448.8*AG1</f>
        <v>569976</v>
      </c>
      <c r="AH413" s="1">
        <f>755.8*AH1</f>
        <v>5110719.5999999996</v>
      </c>
      <c r="AT413" s="1">
        <f>425.1*AT1</f>
        <v>3115132.8000000003</v>
      </c>
      <c r="BC413" s="1">
        <f>383.2*BC1</f>
        <v>1770000.8</v>
      </c>
      <c r="BI413" s="4">
        <f t="shared" ref="BI413:BI457" si="85">BJ413+BQ413+BW413+BZ413+CH413+CL413+CT413+CX413+DE413+DL413+DS413+EB413+EE413+EG413</f>
        <v>28810496</v>
      </c>
      <c r="BJ413" s="2">
        <f>301.2*BJ1</f>
        <v>4457760</v>
      </c>
      <c r="BK413" s="2"/>
      <c r="BL413" s="2"/>
      <c r="BM413" s="2"/>
      <c r="BN413" s="2"/>
      <c r="BO413" s="2"/>
      <c r="BP413" s="2"/>
      <c r="BQ413" s="2">
        <f>190.1*BQ1</f>
        <v>2849599</v>
      </c>
      <c r="BR413" s="2"/>
      <c r="BS413" s="2"/>
      <c r="BT413" s="2"/>
      <c r="BU413" s="2"/>
      <c r="BV413" s="2"/>
      <c r="BW413" s="2">
        <f>121.4*BW1</f>
        <v>1150750.6000000001</v>
      </c>
      <c r="BX413" s="2"/>
      <c r="BY413" s="2"/>
      <c r="BZ413" s="2">
        <f>147.2*BZ1</f>
        <v>3497471.9999999995</v>
      </c>
      <c r="CA413" s="2"/>
      <c r="CB413" s="2"/>
      <c r="CC413" s="2"/>
      <c r="CD413" s="2"/>
      <c r="CE413" s="2"/>
      <c r="CF413" s="2"/>
      <c r="CG413" s="2"/>
      <c r="CH413" s="2">
        <f>117.9*CH1</f>
        <v>1307511</v>
      </c>
      <c r="CI413" s="2"/>
      <c r="CJ413" s="2"/>
      <c r="CK413" s="2"/>
      <c r="CL413" s="2">
        <f>141.6*CL1</f>
        <v>3193080</v>
      </c>
      <c r="CM413" s="2"/>
      <c r="CN413" s="2"/>
      <c r="CO413" s="2"/>
      <c r="CP413" s="2"/>
      <c r="CQ413" s="2"/>
      <c r="CR413" s="2"/>
      <c r="CS413" s="2"/>
      <c r="CT413" s="2">
        <f>370.5*CT1</f>
        <v>1181154</v>
      </c>
      <c r="CU413" s="2"/>
      <c r="CV413" s="2"/>
      <c r="CW413" s="2"/>
      <c r="CX413" s="2">
        <f>219.6*CX1</f>
        <v>2144833.1999999997</v>
      </c>
      <c r="CY413" s="2">
        <v>547252</v>
      </c>
      <c r="CZ413" s="2">
        <v>432049</v>
      </c>
      <c r="DA413" s="2">
        <v>315083</v>
      </c>
      <c r="DB413" s="2">
        <v>332190</v>
      </c>
      <c r="DC413" s="2">
        <v>274886</v>
      </c>
      <c r="DD413" s="2">
        <v>303793</v>
      </c>
      <c r="DE413" s="2">
        <f>231.2*DE1</f>
        <v>2656488</v>
      </c>
      <c r="DF413" s="2"/>
      <c r="DG413" s="2"/>
      <c r="DH413" s="2"/>
      <c r="DI413" s="2"/>
      <c r="DJ413" s="2"/>
      <c r="DK413" s="2"/>
      <c r="DL413" s="2">
        <f>187.6*DL1</f>
        <v>2168656</v>
      </c>
      <c r="DM413" s="2"/>
      <c r="DN413" s="2"/>
      <c r="DO413" s="2"/>
      <c r="DP413" s="2"/>
      <c r="DQ413" s="2"/>
      <c r="DR413" s="2"/>
      <c r="DS413" s="2">
        <f>177*DS1</f>
        <v>2954130</v>
      </c>
      <c r="DT413" s="2"/>
      <c r="DU413" s="2"/>
      <c r="DV413" s="2"/>
      <c r="DW413" s="2"/>
      <c r="DX413" s="2"/>
      <c r="DY413" s="2"/>
      <c r="DZ413" s="2"/>
      <c r="EA413" s="2"/>
      <c r="EB413" s="2">
        <f>98.2*EB1</f>
        <v>481081.8</v>
      </c>
      <c r="EC413" s="2"/>
      <c r="ED413" s="2"/>
      <c r="EE413" s="2">
        <f>126.5*EE1</f>
        <v>336869.5</v>
      </c>
      <c r="EF413" s="2"/>
      <c r="EG413" s="2">
        <f>133.1*EG1</f>
        <v>431110.89999999997</v>
      </c>
      <c r="EH413" s="2"/>
      <c r="EI413" s="1">
        <f t="shared" ref="EI413:EI457" si="86">EJ413+ET413+FA413+FI413+FQ413+FZ413+GH413+GO413+GX413+HD413+HO413+HV413</f>
        <v>22365605.300000001</v>
      </c>
      <c r="EJ413" s="1">
        <f>366.5*EJ1</f>
        <v>2682047</v>
      </c>
      <c r="ET413" s="1">
        <f>151*8435</f>
        <v>1273685</v>
      </c>
      <c r="FA413" s="1">
        <f>733.3*FA1</f>
        <v>2353159.6999999997</v>
      </c>
      <c r="FI413" s="1">
        <f>347.6*FI1</f>
        <v>2153034.4000000004</v>
      </c>
      <c r="FQ413" s="1">
        <f>446.9*FQ1</f>
        <v>4265213.5999999996</v>
      </c>
      <c r="FZ413" s="1">
        <f>313.5*FZ1</f>
        <v>1861249.5</v>
      </c>
      <c r="GH413" s="1">
        <f>199.6*GH1</f>
        <v>2227536</v>
      </c>
      <c r="GO413" s="1">
        <f>206.2*GO1</f>
        <v>2048390.7999999998</v>
      </c>
      <c r="GX413" s="1">
        <f>111.6*GX$1</f>
        <v>1019800.7999999999</v>
      </c>
      <c r="HC413" s="1">
        <f>25412*4.5</f>
        <v>114354</v>
      </c>
      <c r="HD413" s="1">
        <f>46.9*HD$1</f>
        <v>861084</v>
      </c>
      <c r="HF413" s="1">
        <v>89667</v>
      </c>
      <c r="HN413" s="1">
        <v>39287</v>
      </c>
      <c r="HO413" s="1">
        <f>144.1*HO$1</f>
        <v>1620404.5</v>
      </c>
      <c r="HW413" s="4">
        <f t="shared" ref="HW413:HW457" si="87">HX413+IH413+IL413+IR413+IW413+JE413+JM413+JS413+JZ413+KK413+KP413+KV413+LG413+LJ413</f>
        <v>18711719.600000001</v>
      </c>
      <c r="HX413" s="1">
        <f>144.1*HX$1</f>
        <v>3137057</v>
      </c>
      <c r="HY413" s="2"/>
      <c r="HZ413" s="2"/>
      <c r="IA413" s="2"/>
      <c r="IB413" s="2"/>
      <c r="IC413" s="2"/>
      <c r="ID413" s="2"/>
      <c r="IE413" s="2"/>
      <c r="IF413" s="2"/>
      <c r="IG413" s="2"/>
      <c r="IH413" s="1">
        <f>153.9*IH$1</f>
        <v>807359.4</v>
      </c>
      <c r="II413" s="2"/>
      <c r="IJ413" s="2"/>
      <c r="IK413" s="2"/>
      <c r="IL413" s="1">
        <f>151.9*IL$1</f>
        <v>998742.5</v>
      </c>
      <c r="IM413" s="2"/>
      <c r="IN413" s="2"/>
      <c r="IO413" s="2"/>
      <c r="IP413" s="2"/>
      <c r="IQ413" s="2"/>
      <c r="IR413" s="1">
        <f>139.5*IR$1</f>
        <v>731817</v>
      </c>
      <c r="IS413" s="2"/>
      <c r="IT413" s="2"/>
      <c r="IU413" s="2"/>
      <c r="IV413" s="2"/>
      <c r="IW413" s="1">
        <f>91.4*IW$1</f>
        <v>1431324</v>
      </c>
      <c r="IX413" s="2"/>
      <c r="IY413" s="2"/>
      <c r="IZ413" s="2"/>
      <c r="JA413" s="2"/>
      <c r="JB413" s="2"/>
      <c r="JC413" s="2"/>
      <c r="JD413" s="2"/>
      <c r="JE413" s="1">
        <f>81.3*JE$1</f>
        <v>1141452</v>
      </c>
      <c r="JF413" s="2"/>
      <c r="JG413" s="2"/>
      <c r="JH413" s="2"/>
      <c r="JI413" s="2"/>
      <c r="JJ413" s="2"/>
      <c r="JK413" s="2"/>
      <c r="JL413" s="2"/>
      <c r="JM413" s="1">
        <f>141.3*JM$1</f>
        <v>1156823.1000000001</v>
      </c>
      <c r="JN413" s="2"/>
      <c r="JO413" s="2"/>
      <c r="JP413" s="2"/>
      <c r="JQ413" s="2"/>
      <c r="JR413" s="2"/>
      <c r="JS413" s="1">
        <f>138.6*JS$1</f>
        <v>1476090</v>
      </c>
      <c r="JT413" s="2"/>
      <c r="JU413" s="2"/>
      <c r="JV413" s="2"/>
      <c r="JW413" s="2"/>
      <c r="JX413" s="2"/>
      <c r="JY413" s="2"/>
      <c r="JZ413" s="1">
        <f>109.3*JZ$1</f>
        <v>2683315</v>
      </c>
      <c r="KA413" s="2"/>
      <c r="KB413" s="2"/>
      <c r="KC413" s="2"/>
      <c r="KD413" s="2"/>
      <c r="KE413" s="2"/>
      <c r="KF413" s="2"/>
      <c r="KG413" s="2"/>
      <c r="KH413" s="2"/>
      <c r="KI413" s="2"/>
      <c r="KJ413" s="2"/>
      <c r="KK413" s="1">
        <f>205.9*KK$1</f>
        <v>1107742</v>
      </c>
      <c r="KL413" s="2"/>
      <c r="KM413" s="2"/>
      <c r="KN413" s="2"/>
      <c r="KO413" s="2"/>
      <c r="KP413" s="1">
        <f>66.1*KP$1</f>
        <v>582076.6</v>
      </c>
      <c r="KQ413" s="2"/>
      <c r="KR413" s="2"/>
      <c r="KS413" s="2"/>
      <c r="KT413" s="2"/>
      <c r="KU413" s="2"/>
      <c r="KV413" s="1">
        <f>89.3*KV$1</f>
        <v>2070867</v>
      </c>
      <c r="KW413" s="2"/>
      <c r="KX413" s="2"/>
      <c r="KY413" s="2"/>
      <c r="KZ413" s="2"/>
      <c r="LA413" s="2"/>
      <c r="LB413" s="2"/>
      <c r="LC413" s="2"/>
      <c r="LD413" s="2"/>
      <c r="LE413" s="2"/>
      <c r="LF413" s="2"/>
      <c r="LG413" s="1">
        <f>94.1*LG$1</f>
        <v>817917.2</v>
      </c>
      <c r="LH413" s="2"/>
      <c r="LI413" s="2"/>
      <c r="LJ413" s="1">
        <f>82.4*LJ$1</f>
        <v>569136.80000000005</v>
      </c>
      <c r="LK413" s="2"/>
      <c r="LL413" s="2"/>
      <c r="LM413" s="2"/>
      <c r="LN413" s="2"/>
      <c r="LO413" s="1">
        <f t="shared" ref="LO413:LO457" si="88">LU413+LP413</f>
        <v>3700306</v>
      </c>
      <c r="LP413" s="1">
        <f>614.2*LP$1</f>
        <v>1423101.4000000001</v>
      </c>
      <c r="LQ413" s="19">
        <f>LU413/LO413</f>
        <v>0.61540980664842304</v>
      </c>
      <c r="LU413" s="1">
        <f>547.8*LU$1</f>
        <v>2277204.5999999996</v>
      </c>
    </row>
    <row r="414" spans="1:333">
      <c r="A414" s="1">
        <v>1777</v>
      </c>
      <c r="K414" s="1">
        <f>K413*1.003</f>
        <v>2638170.84</v>
      </c>
      <c r="U414" s="1">
        <f t="shared" ref="U414:U456" si="89">U413*1.0058</f>
        <v>5187638.7992000002</v>
      </c>
      <c r="AG414" s="1">
        <f t="shared" ref="AG414:AG455" si="90">AG415/1.004</f>
        <v>606401.86339880212</v>
      </c>
      <c r="AT414" s="1">
        <f t="shared" ref="AT414:AT455" si="91">AT415/1.0051</f>
        <v>3130785.9955355027</v>
      </c>
      <c r="BC414" s="1">
        <f>BC413*1.0049</f>
        <v>1778673.8039199999</v>
      </c>
      <c r="BI414" s="4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>
        <f>CT413*1.0051</f>
        <v>1187177.8854</v>
      </c>
      <c r="CU414" s="2"/>
      <c r="CV414" s="2"/>
      <c r="CW414" s="2"/>
      <c r="CX414" s="2">
        <f>CX413*1.0051</f>
        <v>2155771.84932</v>
      </c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>
        <f>DS413*1.003</f>
        <v>2962992.3899999997</v>
      </c>
      <c r="DT414" s="2"/>
      <c r="DU414" s="2"/>
      <c r="DV414" s="2"/>
      <c r="DW414" s="2"/>
      <c r="DX414" s="2"/>
      <c r="DY414" s="2"/>
      <c r="DZ414" s="2"/>
      <c r="EA414" s="2"/>
      <c r="EB414" s="2">
        <f>EB413*1.005</f>
        <v>483487.20899999992</v>
      </c>
      <c r="EC414" s="2"/>
      <c r="ED414" s="2"/>
      <c r="EE414" s="2">
        <f>EE413*1.0054</f>
        <v>338688.59530000004</v>
      </c>
      <c r="EF414" s="2"/>
      <c r="EG414" s="2">
        <f t="shared" ref="EG414:EG425" si="92">EG415/1.0056</f>
        <v>433368.63476464961</v>
      </c>
      <c r="EH414" s="2"/>
      <c r="HF414" s="1">
        <f>HF413*1.005</f>
        <v>90115.334999999992</v>
      </c>
      <c r="HN414" s="1">
        <f>HN413*1.005</f>
        <v>39483.434999999998</v>
      </c>
      <c r="HW414" s="4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  <c r="JY414" s="2"/>
      <c r="JZ414" s="2"/>
      <c r="KA414" s="2"/>
      <c r="KB414" s="2"/>
      <c r="KC414" s="2"/>
      <c r="KD414" s="2"/>
      <c r="KE414" s="2"/>
      <c r="KF414" s="2"/>
      <c r="KG414" s="2"/>
      <c r="KH414" s="2"/>
      <c r="KI414" s="2"/>
      <c r="KJ414" s="2"/>
      <c r="KK414" s="2"/>
      <c r="KL414" s="2"/>
      <c r="KM414" s="2"/>
      <c r="KN414" s="2"/>
      <c r="KO414" s="2"/>
      <c r="KP414" s="2"/>
      <c r="KQ414" s="2"/>
      <c r="KR414" s="2"/>
      <c r="KS414" s="2"/>
      <c r="KT414" s="2"/>
      <c r="KU414" s="2"/>
      <c r="KV414" s="2"/>
      <c r="KW414" s="2"/>
      <c r="KX414" s="2"/>
      <c r="KY414" s="2"/>
      <c r="KZ414" s="2"/>
      <c r="LA414" s="2"/>
      <c r="LB414" s="2"/>
      <c r="LC414" s="2"/>
      <c r="LD414" s="2"/>
      <c r="LE414" s="2"/>
      <c r="LF414" s="2"/>
      <c r="LG414" s="2"/>
      <c r="LH414" s="2"/>
      <c r="LI414" s="2"/>
      <c r="LJ414" s="2"/>
      <c r="LK414" s="2"/>
      <c r="LL414" s="2"/>
      <c r="LM414" s="2"/>
      <c r="LN414" s="2"/>
    </row>
    <row r="415" spans="1:333">
      <c r="A415" s="1">
        <v>1778</v>
      </c>
      <c r="K415" s="1">
        <f t="shared" ref="K415:K456" si="93">K414*1.003</f>
        <v>2646085.3525199997</v>
      </c>
      <c r="U415" s="1">
        <f t="shared" si="89"/>
        <v>5217727.1042353604</v>
      </c>
      <c r="AG415" s="1">
        <f t="shared" si="90"/>
        <v>608827.47085239738</v>
      </c>
      <c r="AT415" s="1">
        <f t="shared" si="91"/>
        <v>3146753.004112734</v>
      </c>
      <c r="BC415" s="1">
        <f t="shared" ref="BC415:BC456" si="94">BC414*1.0049</f>
        <v>1787389.3055592077</v>
      </c>
      <c r="BI415" s="4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>
        <f t="shared" ref="CT415:CT456" si="95">CT414*1.0051</f>
        <v>1193232.49261554</v>
      </c>
      <c r="CU415" s="2"/>
      <c r="CV415" s="2"/>
      <c r="CW415" s="2"/>
      <c r="CX415" s="2">
        <f t="shared" ref="CX415:CX456" si="96">CX414*1.0051</f>
        <v>2166766.2857515323</v>
      </c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>
        <f t="shared" ref="DS415:DS456" si="97">DS414*1.003</f>
        <v>2971881.3671699995</v>
      </c>
      <c r="DT415" s="2"/>
      <c r="DU415" s="2"/>
      <c r="DV415" s="2"/>
      <c r="DW415" s="2"/>
      <c r="DX415" s="2"/>
      <c r="DY415" s="2"/>
      <c r="DZ415" s="2"/>
      <c r="EA415" s="2"/>
      <c r="EB415" s="2">
        <f t="shared" ref="EB415:EB456" si="98">EB414*1.005</f>
        <v>485904.64504499984</v>
      </c>
      <c r="EC415" s="2"/>
      <c r="ED415" s="2"/>
      <c r="EE415" s="2">
        <f t="shared" ref="EE415:EE456" si="99">EE414*1.0054</f>
        <v>340517.51371462009</v>
      </c>
      <c r="EF415" s="2"/>
      <c r="EG415" s="2">
        <f t="shared" si="92"/>
        <v>435795.49911933165</v>
      </c>
      <c r="EH415" s="2"/>
      <c r="HF415" s="1">
        <f t="shared" ref="HF415:HF432" si="100">HF414*1.005</f>
        <v>90565.911674999981</v>
      </c>
      <c r="HN415" s="1">
        <f t="shared" ref="HN415:HN432" si="101">HN414*1.005</f>
        <v>39680.852174999993</v>
      </c>
      <c r="HW415" s="4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  <c r="JY415" s="2"/>
      <c r="JZ415" s="2"/>
      <c r="KA415" s="2"/>
      <c r="KB415" s="2"/>
      <c r="KC415" s="2"/>
      <c r="KD415" s="2"/>
      <c r="KE415" s="2"/>
      <c r="KF415" s="2"/>
      <c r="KG415" s="2"/>
      <c r="KH415" s="2"/>
      <c r="KI415" s="2"/>
      <c r="KJ415" s="2"/>
      <c r="KK415" s="2"/>
      <c r="KL415" s="2"/>
      <c r="KM415" s="2"/>
      <c r="KN415" s="2"/>
      <c r="KO415" s="2"/>
      <c r="KP415" s="2"/>
      <c r="KQ415" s="2"/>
      <c r="KR415" s="2"/>
      <c r="KS415" s="2"/>
      <c r="KT415" s="2"/>
      <c r="KU415" s="2"/>
      <c r="KV415" s="2"/>
      <c r="KW415" s="2"/>
      <c r="KX415" s="2"/>
      <c r="KY415" s="2"/>
      <c r="KZ415" s="2"/>
      <c r="LA415" s="2"/>
      <c r="LB415" s="2"/>
      <c r="LC415" s="2"/>
      <c r="LD415" s="2"/>
      <c r="LE415" s="2"/>
      <c r="LF415" s="2"/>
      <c r="LG415" s="2"/>
      <c r="LH415" s="2"/>
      <c r="LI415" s="2"/>
      <c r="LJ415" s="2"/>
      <c r="LK415" s="2"/>
      <c r="LL415" s="2"/>
      <c r="LM415" s="2"/>
      <c r="LN415" s="2"/>
    </row>
    <row r="416" spans="1:333">
      <c r="A416" s="1">
        <v>1779</v>
      </c>
      <c r="K416" s="1">
        <f t="shared" si="93"/>
        <v>2654023.6085775592</v>
      </c>
      <c r="U416" s="1">
        <f t="shared" si="89"/>
        <v>5247989.9214399252</v>
      </c>
      <c r="AG416" s="1">
        <f t="shared" si="90"/>
        <v>611262.78073580703</v>
      </c>
      <c r="AT416" s="1">
        <f t="shared" si="91"/>
        <v>3162801.4444337091</v>
      </c>
      <c r="BC416" s="1">
        <f t="shared" si="94"/>
        <v>1796147.5131564476</v>
      </c>
      <c r="BI416" s="4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>
        <f t="shared" si="95"/>
        <v>1199317.9783278794</v>
      </c>
      <c r="CU416" s="2"/>
      <c r="CV416" s="2"/>
      <c r="CW416" s="2"/>
      <c r="CX416" s="2">
        <f t="shared" si="96"/>
        <v>2177816.7938088654</v>
      </c>
      <c r="CY416" s="2"/>
      <c r="CZ416" s="2"/>
      <c r="DA416" s="2"/>
      <c r="DB416" s="2"/>
      <c r="DC416" s="2"/>
      <c r="DD416" s="2"/>
      <c r="DE416" s="2">
        <v>2656289</v>
      </c>
      <c r="DF416" s="2">
        <v>960000</v>
      </c>
      <c r="DG416" s="2">
        <v>490000</v>
      </c>
      <c r="DH416" s="2">
        <v>417309</v>
      </c>
      <c r="DI416" s="2">
        <v>290754</v>
      </c>
      <c r="DJ416" s="2">
        <v>243459</v>
      </c>
      <c r="DK416" s="2">
        <v>250219</v>
      </c>
      <c r="DL416" s="2"/>
      <c r="DM416" s="2"/>
      <c r="DN416" s="2"/>
      <c r="DO416" s="2"/>
      <c r="DP416" s="2"/>
      <c r="DQ416" s="2"/>
      <c r="DR416" s="2"/>
      <c r="DS416" s="2">
        <f t="shared" si="97"/>
        <v>2980797.0112715093</v>
      </c>
      <c r="DT416" s="2"/>
      <c r="DU416" s="2"/>
      <c r="DV416" s="2"/>
      <c r="DW416" s="2"/>
      <c r="DX416" s="2"/>
      <c r="DY416" s="2"/>
      <c r="DZ416" s="2"/>
      <c r="EA416" s="2"/>
      <c r="EB416" s="2">
        <f t="shared" si="98"/>
        <v>488334.16827022476</v>
      </c>
      <c r="EC416" s="2"/>
      <c r="ED416" s="2"/>
      <c r="EE416" s="2">
        <f t="shared" si="99"/>
        <v>342356.30828867905</v>
      </c>
      <c r="EF416" s="2"/>
      <c r="EG416" s="2">
        <f t="shared" si="92"/>
        <v>438235.95391439996</v>
      </c>
      <c r="EH416" s="2"/>
      <c r="HF416" s="1">
        <f t="shared" si="100"/>
        <v>91018.741233374967</v>
      </c>
      <c r="HN416" s="1">
        <f t="shared" si="101"/>
        <v>39879.256435874988</v>
      </c>
      <c r="HW416" s="4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  <c r="JY416" s="2"/>
      <c r="JZ416" s="2"/>
      <c r="KA416" s="2"/>
      <c r="KB416" s="2"/>
      <c r="KC416" s="2"/>
      <c r="KD416" s="2"/>
      <c r="KE416" s="2"/>
      <c r="KF416" s="2"/>
      <c r="KG416" s="2"/>
      <c r="KH416" s="2"/>
      <c r="KI416" s="2"/>
      <c r="KJ416" s="2"/>
      <c r="KK416" s="2"/>
      <c r="KL416" s="2"/>
      <c r="KM416" s="2"/>
      <c r="KN416" s="2"/>
      <c r="KO416" s="2"/>
      <c r="KP416" s="2"/>
      <c r="KQ416" s="2"/>
      <c r="KR416" s="2"/>
      <c r="KS416" s="2"/>
      <c r="KT416" s="2"/>
      <c r="KU416" s="2"/>
      <c r="KV416" s="2"/>
      <c r="KW416" s="2"/>
      <c r="KX416" s="2"/>
      <c r="KY416" s="2"/>
      <c r="KZ416" s="2"/>
      <c r="LA416" s="2"/>
      <c r="LB416" s="2"/>
      <c r="LC416" s="2"/>
      <c r="LD416" s="2"/>
      <c r="LE416" s="2"/>
      <c r="LF416" s="2"/>
      <c r="LG416" s="2"/>
      <c r="LH416" s="2"/>
      <c r="LI416" s="2"/>
      <c r="LJ416" s="2"/>
      <c r="LK416" s="2"/>
      <c r="LL416" s="2"/>
      <c r="LM416" s="2"/>
      <c r="LN416" s="2"/>
    </row>
    <row r="417" spans="1:330">
      <c r="A417" s="1">
        <v>1780</v>
      </c>
      <c r="K417" s="1">
        <f t="shared" si="93"/>
        <v>2661985.6794032915</v>
      </c>
      <c r="U417" s="1">
        <f t="shared" si="89"/>
        <v>5278428.2629842767</v>
      </c>
      <c r="AG417" s="1">
        <f t="shared" si="90"/>
        <v>613707.83185875032</v>
      </c>
      <c r="AT417" s="1">
        <f t="shared" si="91"/>
        <v>3178931.7318003215</v>
      </c>
      <c r="BC417" s="1">
        <f t="shared" si="94"/>
        <v>1804948.635970914</v>
      </c>
      <c r="BI417" s="4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>
        <f t="shared" si="95"/>
        <v>1205434.5000173517</v>
      </c>
      <c r="CU417" s="2"/>
      <c r="CV417" s="2"/>
      <c r="CW417" s="2"/>
      <c r="CX417" s="2">
        <f t="shared" si="96"/>
        <v>2188923.659457291</v>
      </c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>
        <f t="shared" si="97"/>
        <v>2989739.4023053236</v>
      </c>
      <c r="DT417" s="2"/>
      <c r="DU417" s="2"/>
      <c r="DV417" s="2"/>
      <c r="DW417" s="2"/>
      <c r="DX417" s="2"/>
      <c r="DY417" s="2"/>
      <c r="DZ417" s="2"/>
      <c r="EA417" s="2"/>
      <c r="EB417" s="2">
        <f t="shared" si="98"/>
        <v>490775.83911157586</v>
      </c>
      <c r="EC417" s="2"/>
      <c r="ED417" s="2"/>
      <c r="EE417" s="2">
        <f t="shared" si="99"/>
        <v>344205.03235343791</v>
      </c>
      <c r="EF417" s="2"/>
      <c r="EG417" s="2">
        <f t="shared" si="92"/>
        <v>440690.07525632059</v>
      </c>
      <c r="EH417" s="2"/>
      <c r="HF417" s="1">
        <f t="shared" si="100"/>
        <v>91473.834939541834</v>
      </c>
      <c r="HN417" s="1">
        <f t="shared" si="101"/>
        <v>40078.652718054356</v>
      </c>
      <c r="HW417" s="4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  <c r="JY417" s="2"/>
      <c r="JZ417" s="2"/>
      <c r="KA417" s="2"/>
      <c r="KB417" s="2"/>
      <c r="KC417" s="2"/>
      <c r="KD417" s="2"/>
      <c r="KE417" s="2"/>
      <c r="KF417" s="2"/>
      <c r="KG417" s="2"/>
      <c r="KH417" s="2"/>
      <c r="KI417" s="2"/>
      <c r="KJ417" s="2"/>
      <c r="KK417" s="2"/>
      <c r="KL417" s="2"/>
      <c r="KM417" s="2"/>
      <c r="KN417" s="2"/>
      <c r="KO417" s="2"/>
      <c r="KP417" s="2"/>
      <c r="KQ417" s="2"/>
      <c r="KR417" s="2"/>
      <c r="KS417" s="2"/>
      <c r="KT417" s="2"/>
      <c r="KU417" s="2"/>
      <c r="KV417" s="2"/>
      <c r="KW417" s="2"/>
      <c r="KX417" s="2"/>
      <c r="KY417" s="2"/>
      <c r="KZ417" s="2"/>
      <c r="LA417" s="2"/>
      <c r="LB417" s="2"/>
      <c r="LC417" s="2"/>
      <c r="LD417" s="2"/>
      <c r="LE417" s="2"/>
      <c r="LF417" s="2"/>
      <c r="LG417" s="2"/>
      <c r="LH417" s="2"/>
      <c r="LI417" s="2"/>
      <c r="LJ417" s="2"/>
      <c r="LK417" s="2"/>
      <c r="LL417" s="2"/>
      <c r="LM417" s="2"/>
      <c r="LN417" s="2"/>
    </row>
    <row r="418" spans="1:330">
      <c r="A418" s="1">
        <v>1781</v>
      </c>
      <c r="K418" s="1">
        <f t="shared" si="93"/>
        <v>2669971.6364415013</v>
      </c>
      <c r="U418" s="1">
        <f t="shared" si="89"/>
        <v>5309043.1469095862</v>
      </c>
      <c r="AG418" s="1">
        <f t="shared" si="90"/>
        <v>616162.66318618529</v>
      </c>
      <c r="AT418" s="1">
        <f t="shared" si="91"/>
        <v>3195144.2836325034</v>
      </c>
      <c r="BC418" s="1">
        <f t="shared" si="94"/>
        <v>1813792.8842871713</v>
      </c>
      <c r="BI418" s="4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>
        <f t="shared" si="95"/>
        <v>1211582.2159674403</v>
      </c>
      <c r="CU418" s="2"/>
      <c r="CV418" s="2"/>
      <c r="CW418" s="2"/>
      <c r="CX418" s="2">
        <f t="shared" si="96"/>
        <v>2200087.1701205233</v>
      </c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>
        <f t="shared" si="97"/>
        <v>2998708.6205122392</v>
      </c>
      <c r="DT418" s="2"/>
      <c r="DU418" s="2"/>
      <c r="DV418" s="2"/>
      <c r="DW418" s="2"/>
      <c r="DX418" s="2"/>
      <c r="DY418" s="2"/>
      <c r="DZ418" s="2"/>
      <c r="EA418" s="2"/>
      <c r="EB418" s="2">
        <f t="shared" si="98"/>
        <v>493229.71830713371</v>
      </c>
      <c r="EC418" s="2"/>
      <c r="ED418" s="2"/>
      <c r="EE418" s="2">
        <f t="shared" si="99"/>
        <v>346063.73952814651</v>
      </c>
      <c r="EF418" s="2"/>
      <c r="EG418" s="2">
        <f t="shared" si="92"/>
        <v>443157.93967775599</v>
      </c>
      <c r="EH418" s="2"/>
      <c r="HF418" s="1">
        <f t="shared" si="100"/>
        <v>91931.204114239532</v>
      </c>
      <c r="HN418" s="1">
        <f t="shared" si="101"/>
        <v>40279.045981644624</v>
      </c>
      <c r="HW418" s="4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  <c r="JY418" s="2"/>
      <c r="JZ418" s="2"/>
      <c r="KA418" s="2"/>
      <c r="KB418" s="2"/>
      <c r="KC418" s="2"/>
      <c r="KD418" s="2"/>
      <c r="KE418" s="2"/>
      <c r="KF418" s="2"/>
      <c r="KG418" s="2"/>
      <c r="KH418" s="2"/>
      <c r="KI418" s="2"/>
      <c r="KJ418" s="2"/>
      <c r="KK418" s="2"/>
      <c r="KL418" s="2"/>
      <c r="KM418" s="2"/>
      <c r="KN418" s="2"/>
      <c r="KO418" s="2"/>
      <c r="KP418" s="2"/>
      <c r="KQ418" s="2"/>
      <c r="KR418" s="2"/>
      <c r="KS418" s="2"/>
      <c r="KT418" s="2"/>
      <c r="KU418" s="2"/>
      <c r="KV418" s="2"/>
      <c r="KW418" s="2"/>
      <c r="KX418" s="2"/>
      <c r="KY418" s="2"/>
      <c r="KZ418" s="2"/>
      <c r="LA418" s="2"/>
      <c r="LB418" s="2"/>
      <c r="LC418" s="2"/>
      <c r="LD418" s="2"/>
      <c r="LE418" s="2"/>
      <c r="LF418" s="2"/>
      <c r="LG418" s="2"/>
      <c r="LH418" s="2"/>
      <c r="LI418" s="2"/>
      <c r="LJ418" s="2"/>
      <c r="LK418" s="2"/>
      <c r="LL418" s="2"/>
      <c r="LM418" s="2"/>
      <c r="LN418" s="2"/>
    </row>
    <row r="419" spans="1:330">
      <c r="A419" s="1">
        <v>1782</v>
      </c>
      <c r="K419" s="1">
        <f t="shared" si="93"/>
        <v>2677981.5513508255</v>
      </c>
      <c r="U419" s="1">
        <f t="shared" si="89"/>
        <v>5339835.5971616618</v>
      </c>
      <c r="AG419" s="1">
        <f t="shared" si="90"/>
        <v>618627.31383892999</v>
      </c>
      <c r="AT419" s="1">
        <f t="shared" si="91"/>
        <v>3211439.5194790293</v>
      </c>
      <c r="BC419" s="1">
        <f t="shared" si="94"/>
        <v>1822680.4694201783</v>
      </c>
      <c r="BI419" s="4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>
        <f t="shared" si="95"/>
        <v>1217761.2852688744</v>
      </c>
      <c r="CU419" s="2"/>
      <c r="CV419" s="2"/>
      <c r="CW419" s="2"/>
      <c r="CX419" s="2">
        <f t="shared" si="96"/>
        <v>2211307.614688138</v>
      </c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>
        <f t="shared" si="97"/>
        <v>3007704.7463737754</v>
      </c>
      <c r="DT419" s="2"/>
      <c r="DU419" s="2"/>
      <c r="DV419" s="2"/>
      <c r="DW419" s="2"/>
      <c r="DX419" s="2"/>
      <c r="DY419" s="2"/>
      <c r="DZ419" s="2"/>
      <c r="EA419" s="2"/>
      <c r="EB419" s="2">
        <f t="shared" si="98"/>
        <v>495695.86689866934</v>
      </c>
      <c r="EC419" s="2"/>
      <c r="ED419" s="2"/>
      <c r="EE419" s="2">
        <f t="shared" si="99"/>
        <v>347932.48372159852</v>
      </c>
      <c r="EF419" s="2"/>
      <c r="EG419" s="2">
        <f t="shared" si="92"/>
        <v>445639.62413995143</v>
      </c>
      <c r="EH419" s="2"/>
      <c r="HF419" s="1">
        <f t="shared" si="100"/>
        <v>92390.860134810719</v>
      </c>
      <c r="HN419" s="1">
        <f t="shared" si="101"/>
        <v>40480.441211552839</v>
      </c>
      <c r="HW419" s="4"/>
      <c r="HX419" s="2"/>
      <c r="HY419" s="2">
        <v>518019</v>
      </c>
      <c r="HZ419" s="2">
        <v>515652</v>
      </c>
      <c r="IA419" s="2">
        <v>437102</v>
      </c>
      <c r="IB419" s="2">
        <v>204400</v>
      </c>
      <c r="IC419" s="2">
        <v>194286</v>
      </c>
      <c r="ID419" s="2">
        <v>59836</v>
      </c>
      <c r="IE419" s="2">
        <v>187030</v>
      </c>
      <c r="IF419" s="2">
        <v>300000</v>
      </c>
      <c r="IG419" s="2"/>
      <c r="IH419" s="2">
        <f>SUM(II419:IK419)</f>
        <v>884643.03388020361</v>
      </c>
      <c r="II419" s="2">
        <v>448459</v>
      </c>
      <c r="IJ419" s="2">
        <f>IK419*IJ439/IK439</f>
        <v>209385.03388020361</v>
      </c>
      <c r="IK419" s="2">
        <v>226799</v>
      </c>
      <c r="IL419" s="2"/>
      <c r="IM419" s="2">
        <v>205999</v>
      </c>
      <c r="IN419" s="2">
        <v>149076</v>
      </c>
      <c r="IO419" s="2">
        <v>146428</v>
      </c>
      <c r="IP419" s="2">
        <v>232888</v>
      </c>
      <c r="IQ419" s="2">
        <v>164141</v>
      </c>
      <c r="IR419" s="2">
        <v>747656</v>
      </c>
      <c r="IS419" s="2">
        <v>99544</v>
      </c>
      <c r="IT419" s="2">
        <v>301919</v>
      </c>
      <c r="IU419" s="2">
        <v>264885</v>
      </c>
      <c r="IV419" s="2">
        <v>81308</v>
      </c>
      <c r="IW419" s="2">
        <v>1440494</v>
      </c>
      <c r="IX419" s="2">
        <v>322130</v>
      </c>
      <c r="IY419" s="2">
        <v>249790</v>
      </c>
      <c r="IZ419" s="2">
        <v>168199</v>
      </c>
      <c r="JA419" s="2">
        <v>250290</v>
      </c>
      <c r="JB419" s="2">
        <v>185016</v>
      </c>
      <c r="JC419" s="2">
        <v>114734</v>
      </c>
      <c r="JD419" s="2">
        <v>150335</v>
      </c>
      <c r="JE419" s="2">
        <v>1180000</v>
      </c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  <c r="JY419" s="2"/>
      <c r="JZ419" s="2"/>
      <c r="KA419" s="2"/>
      <c r="KB419" s="2"/>
      <c r="KC419" s="2"/>
      <c r="KD419" s="2"/>
      <c r="KE419" s="2"/>
      <c r="KF419" s="2"/>
      <c r="KG419" s="2"/>
      <c r="KH419" s="2"/>
      <c r="KI419" s="2"/>
      <c r="KJ419" s="2"/>
      <c r="KK419" s="2"/>
      <c r="KL419" s="2"/>
      <c r="KM419" s="2"/>
      <c r="KN419" s="2"/>
      <c r="KO419" s="2"/>
      <c r="KP419" s="2"/>
      <c r="KQ419" s="2"/>
      <c r="KR419" s="2"/>
      <c r="KS419" s="2"/>
      <c r="KT419" s="2"/>
      <c r="KU419" s="2"/>
      <c r="KV419" s="2"/>
      <c r="KW419" s="2"/>
      <c r="KX419" s="2"/>
      <c r="KY419" s="2"/>
      <c r="KZ419" s="2"/>
      <c r="LA419" s="2"/>
      <c r="LB419" s="2"/>
      <c r="LC419" s="2"/>
      <c r="LD419" s="2"/>
      <c r="LE419" s="2"/>
      <c r="LF419" s="2"/>
      <c r="LG419" s="2"/>
      <c r="LH419" s="2"/>
      <c r="LI419" s="2"/>
      <c r="LJ419" s="2"/>
      <c r="LK419" s="2"/>
      <c r="LL419" s="2"/>
      <c r="LM419" s="2"/>
      <c r="LN419" s="2"/>
    </row>
    <row r="420" spans="1:330">
      <c r="A420" s="1">
        <v>1783</v>
      </c>
      <c r="K420" s="1">
        <f t="shared" si="93"/>
        <v>2686015.4960048776</v>
      </c>
      <c r="U420" s="1">
        <f t="shared" si="89"/>
        <v>5370806.6436251998</v>
      </c>
      <c r="AG420" s="1">
        <f t="shared" si="90"/>
        <v>621101.82309428568</v>
      </c>
      <c r="AT420" s="1">
        <f t="shared" si="91"/>
        <v>3227817.8610283728</v>
      </c>
      <c r="BC420" s="1">
        <f t="shared" si="94"/>
        <v>1831611.6037203369</v>
      </c>
      <c r="BI420" s="4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>
        <f t="shared" si="95"/>
        <v>1223971.8678237458</v>
      </c>
      <c r="CU420" s="2"/>
      <c r="CV420" s="2"/>
      <c r="CW420" s="2"/>
      <c r="CX420" s="2">
        <f t="shared" si="96"/>
        <v>2222585.2835230478</v>
      </c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>
        <f t="shared" si="97"/>
        <v>3016727.8606128963</v>
      </c>
      <c r="DT420" s="2"/>
      <c r="DU420" s="2"/>
      <c r="DV420" s="2"/>
      <c r="DW420" s="2"/>
      <c r="DX420" s="2"/>
      <c r="DY420" s="2"/>
      <c r="DZ420" s="2"/>
      <c r="EA420" s="2"/>
      <c r="EB420" s="2">
        <f t="shared" si="98"/>
        <v>498174.34623316262</v>
      </c>
      <c r="EC420" s="2"/>
      <c r="ED420" s="2"/>
      <c r="EE420" s="2">
        <f t="shared" si="99"/>
        <v>349811.31913369516</v>
      </c>
      <c r="EF420" s="2"/>
      <c r="EG420" s="2">
        <f t="shared" si="92"/>
        <v>448135.2060351352</v>
      </c>
      <c r="EH420" s="2"/>
      <c r="HF420" s="1">
        <f t="shared" si="100"/>
        <v>92852.814435484761</v>
      </c>
      <c r="HN420" s="1">
        <f t="shared" si="101"/>
        <v>40682.843417610602</v>
      </c>
      <c r="HW420" s="4"/>
      <c r="HX420" s="2"/>
      <c r="HY420" s="2"/>
      <c r="HZ420" s="2"/>
      <c r="IA420" s="2">
        <f>IA419*1.0056</f>
        <v>439549.77120000002</v>
      </c>
      <c r="IB420" s="2">
        <f t="shared" ref="IB420:IF420" si="102">IB419*1.0056</f>
        <v>205544.64</v>
      </c>
      <c r="IC420" s="2">
        <f t="shared" si="102"/>
        <v>195374.00160000002</v>
      </c>
      <c r="ID420" s="2">
        <f t="shared" si="102"/>
        <v>60171.081600000005</v>
      </c>
      <c r="IE420" s="2">
        <f t="shared" si="102"/>
        <v>188077.36800000002</v>
      </c>
      <c r="IF420" s="2">
        <f t="shared" si="102"/>
        <v>301680</v>
      </c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  <c r="JY420" s="2"/>
      <c r="JZ420" s="2"/>
      <c r="KA420" s="2"/>
      <c r="KB420" s="2"/>
      <c r="KC420" s="2"/>
      <c r="KD420" s="2"/>
      <c r="KE420" s="2"/>
      <c r="KF420" s="2"/>
      <c r="KG420" s="2"/>
      <c r="KH420" s="2"/>
      <c r="KI420" s="2"/>
      <c r="KJ420" s="2"/>
      <c r="KK420" s="2">
        <v>1202000</v>
      </c>
      <c r="KL420" s="2"/>
      <c r="KM420" s="2"/>
      <c r="KN420" s="2"/>
      <c r="KO420" s="2"/>
      <c r="KP420" s="2"/>
      <c r="KQ420" s="2"/>
      <c r="KR420" s="2"/>
      <c r="KS420" s="2"/>
      <c r="KT420" s="2"/>
      <c r="KU420" s="2"/>
      <c r="KV420" s="2"/>
      <c r="KW420" s="2"/>
      <c r="KX420" s="2"/>
      <c r="KY420" s="2"/>
      <c r="KZ420" s="2"/>
      <c r="LA420" s="2"/>
      <c r="LB420" s="2"/>
      <c r="LC420" s="2"/>
      <c r="LD420" s="2"/>
      <c r="LE420" s="2"/>
      <c r="LF420" s="2"/>
      <c r="LG420" s="2"/>
      <c r="LH420" s="2"/>
      <c r="LI420" s="2"/>
      <c r="LJ420" s="2"/>
      <c r="LK420" s="2"/>
      <c r="LL420" s="2"/>
      <c r="LM420" s="2"/>
      <c r="LN420" s="2"/>
    </row>
    <row r="421" spans="1:330">
      <c r="A421" s="1">
        <v>1784</v>
      </c>
      <c r="K421" s="1">
        <f t="shared" si="93"/>
        <v>2694073.5424928921</v>
      </c>
      <c r="U421" s="1">
        <f t="shared" si="89"/>
        <v>5401957.3221582258</v>
      </c>
      <c r="AG421" s="1">
        <f t="shared" si="90"/>
        <v>623586.23038666276</v>
      </c>
      <c r="AT421" s="1">
        <f t="shared" si="91"/>
        <v>3244279.732119618</v>
      </c>
      <c r="BC421" s="1">
        <f t="shared" si="94"/>
        <v>1840586.5005785665</v>
      </c>
      <c r="BI421" s="4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>
        <f t="shared" si="95"/>
        <v>1230214.124349647</v>
      </c>
      <c r="CU421" s="2"/>
      <c r="CV421" s="2"/>
      <c r="CW421" s="2"/>
      <c r="CX421" s="2">
        <f t="shared" si="96"/>
        <v>2233920.4684690158</v>
      </c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>
        <f t="shared" si="97"/>
        <v>3025778.0441947347</v>
      </c>
      <c r="DT421" s="2"/>
      <c r="DU421" s="2"/>
      <c r="DV421" s="2"/>
      <c r="DW421" s="2"/>
      <c r="DX421" s="2"/>
      <c r="DY421" s="2"/>
      <c r="DZ421" s="2"/>
      <c r="EA421" s="2"/>
      <c r="EB421" s="2">
        <f t="shared" si="98"/>
        <v>500665.21796432836</v>
      </c>
      <c r="EC421" s="2"/>
      <c r="ED421" s="2"/>
      <c r="EE421" s="2">
        <f t="shared" si="99"/>
        <v>351700.30025701714</v>
      </c>
      <c r="EF421" s="2"/>
      <c r="EG421" s="2">
        <f t="shared" si="92"/>
        <v>450644.76318893197</v>
      </c>
      <c r="EH421" s="2"/>
      <c r="HF421" s="1">
        <f t="shared" si="100"/>
        <v>93317.078507662169</v>
      </c>
      <c r="HN421" s="1">
        <f t="shared" si="101"/>
        <v>40886.257634698653</v>
      </c>
      <c r="HW421" s="4"/>
      <c r="HX421" s="2"/>
      <c r="HY421" s="2"/>
      <c r="HZ421" s="2"/>
      <c r="IA421" s="2">
        <f t="shared" ref="IA421:IA439" si="103">IA420*1.0056</f>
        <v>442011.24991872004</v>
      </c>
      <c r="IB421" s="2">
        <f t="shared" ref="IB421:IB439" si="104">IB420*1.0056</f>
        <v>206695.68998400003</v>
      </c>
      <c r="IC421" s="2">
        <f t="shared" ref="IC421:IC439" si="105">IC420*1.0056</f>
        <v>196468.09600896004</v>
      </c>
      <c r="ID421" s="2">
        <f t="shared" ref="ID421:ID439" si="106">ID420*1.0056</f>
        <v>60508.039656960005</v>
      </c>
      <c r="IE421" s="2">
        <f t="shared" ref="IE421:IE439" si="107">IE420*1.0056</f>
        <v>189130.60126080003</v>
      </c>
      <c r="IF421" s="2">
        <f t="shared" ref="IF421:IF439" si="108">IF420*1.0056</f>
        <v>303369.408</v>
      </c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  <c r="JY421" s="2"/>
      <c r="JZ421" s="2"/>
      <c r="KA421" s="2"/>
      <c r="KB421" s="2"/>
      <c r="KC421" s="2"/>
      <c r="KD421" s="2"/>
      <c r="KE421" s="2"/>
      <c r="KF421" s="2"/>
      <c r="KG421" s="2"/>
      <c r="KH421" s="2"/>
      <c r="KI421" s="2"/>
      <c r="KJ421" s="2"/>
      <c r="KK421" s="2"/>
      <c r="KL421" s="2"/>
      <c r="KM421" s="2"/>
      <c r="KN421" s="2"/>
      <c r="KO421" s="2"/>
      <c r="KP421" s="2"/>
      <c r="KQ421" s="2"/>
      <c r="KR421" s="2"/>
      <c r="KS421" s="2"/>
      <c r="KT421" s="2"/>
      <c r="KU421" s="2"/>
      <c r="KV421" s="2"/>
      <c r="KW421" s="2"/>
      <c r="KX421" s="2"/>
      <c r="KY421" s="2"/>
      <c r="KZ421" s="2"/>
      <c r="LA421" s="2"/>
      <c r="LB421" s="2"/>
      <c r="LC421" s="2"/>
      <c r="LD421" s="2"/>
      <c r="LE421" s="2"/>
      <c r="LF421" s="2"/>
      <c r="LG421" s="2"/>
      <c r="LH421" s="2"/>
      <c r="LI421" s="2"/>
      <c r="LJ421" s="2"/>
      <c r="LK421" s="2"/>
      <c r="LL421" s="2"/>
      <c r="LM421" s="2"/>
      <c r="LN421" s="2"/>
    </row>
    <row r="422" spans="1:330">
      <c r="A422" s="1">
        <v>1785</v>
      </c>
      <c r="K422" s="1">
        <f t="shared" si="93"/>
        <v>2702155.7631203705</v>
      </c>
      <c r="U422" s="1">
        <f t="shared" si="89"/>
        <v>5433288.6746267434</v>
      </c>
      <c r="AG422" s="1">
        <f t="shared" si="90"/>
        <v>626080.5753082094</v>
      </c>
      <c r="AT422" s="1">
        <f t="shared" si="91"/>
        <v>3260825.5587534285</v>
      </c>
      <c r="BC422" s="1">
        <f t="shared" si="94"/>
        <v>1849605.3744314013</v>
      </c>
      <c r="BI422" s="4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>
        <f t="shared" si="95"/>
        <v>1236488.2163838304</v>
      </c>
      <c r="CU422" s="2"/>
      <c r="CV422" s="2"/>
      <c r="CW422" s="2"/>
      <c r="CX422" s="2">
        <f t="shared" si="96"/>
        <v>2245313.462858208</v>
      </c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>
        <f t="shared" si="97"/>
        <v>3034855.3783273185</v>
      </c>
      <c r="DT422" s="2"/>
      <c r="DU422" s="2"/>
      <c r="DV422" s="2"/>
      <c r="DW422" s="2"/>
      <c r="DX422" s="2"/>
      <c r="DY422" s="2"/>
      <c r="DZ422" s="2"/>
      <c r="EA422" s="2"/>
      <c r="EB422" s="2">
        <f t="shared" si="98"/>
        <v>503168.54405414994</v>
      </c>
      <c r="EC422" s="2"/>
      <c r="ED422" s="2"/>
      <c r="EE422" s="2">
        <f t="shared" si="99"/>
        <v>353599.48187840503</v>
      </c>
      <c r="EF422" s="2"/>
      <c r="EG422" s="2">
        <f t="shared" si="92"/>
        <v>453168.37386279</v>
      </c>
      <c r="EH422" s="2"/>
      <c r="HF422" s="1">
        <f t="shared" si="100"/>
        <v>93783.663900200467</v>
      </c>
      <c r="HN422" s="1">
        <f t="shared" si="101"/>
        <v>41090.688922872141</v>
      </c>
      <c r="HW422" s="4"/>
      <c r="HX422" s="2"/>
      <c r="HY422" s="2"/>
      <c r="HZ422" s="2"/>
      <c r="IA422" s="2">
        <f t="shared" si="103"/>
        <v>444486.5129182649</v>
      </c>
      <c r="IB422" s="2">
        <f t="shared" si="104"/>
        <v>207853.18584791044</v>
      </c>
      <c r="IC422" s="2">
        <f t="shared" si="105"/>
        <v>197568.31734661022</v>
      </c>
      <c r="ID422" s="2">
        <f t="shared" si="106"/>
        <v>60846.884679038987</v>
      </c>
      <c r="IE422" s="2">
        <f t="shared" si="107"/>
        <v>190189.73262786053</v>
      </c>
      <c r="IF422" s="2">
        <f t="shared" si="108"/>
        <v>305068.27668479999</v>
      </c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  <c r="JY422" s="2"/>
      <c r="JZ422" s="2"/>
      <c r="KA422" s="2"/>
      <c r="KB422" s="2"/>
      <c r="KC422" s="2"/>
      <c r="KD422" s="2"/>
      <c r="KE422" s="2"/>
      <c r="KF422" s="2"/>
      <c r="KG422" s="2"/>
      <c r="KH422" s="2"/>
      <c r="KI422" s="2"/>
      <c r="KJ422" s="2"/>
      <c r="KK422" s="2"/>
      <c r="KL422" s="2"/>
      <c r="KM422" s="2"/>
      <c r="KN422" s="2"/>
      <c r="KO422" s="2"/>
      <c r="KP422" s="2"/>
      <c r="KQ422" s="2"/>
      <c r="KR422" s="2"/>
      <c r="KS422" s="2"/>
      <c r="KT422" s="2"/>
      <c r="KU422" s="2"/>
      <c r="KV422" s="2"/>
      <c r="KW422" s="2"/>
      <c r="KX422" s="2"/>
      <c r="KY422" s="2"/>
      <c r="KZ422" s="2"/>
      <c r="LA422" s="2"/>
      <c r="LB422" s="2"/>
      <c r="LC422" s="2"/>
      <c r="LD422" s="2"/>
      <c r="LE422" s="2"/>
      <c r="LF422" s="2"/>
      <c r="LG422" s="2"/>
      <c r="LH422" s="2"/>
      <c r="LI422" s="2"/>
      <c r="LJ422" s="2"/>
      <c r="LK422" s="2"/>
      <c r="LL422" s="2"/>
      <c r="LM422" s="2"/>
      <c r="LN422" s="2"/>
    </row>
    <row r="423" spans="1:330">
      <c r="A423" s="1">
        <v>1786</v>
      </c>
      <c r="K423" s="1">
        <f t="shared" si="93"/>
        <v>2710262.2304097312</v>
      </c>
      <c r="U423" s="1">
        <f t="shared" si="89"/>
        <v>5464801.7489395784</v>
      </c>
      <c r="AG423" s="1">
        <f t="shared" si="90"/>
        <v>628584.89760944224</v>
      </c>
      <c r="AT423" s="1">
        <f t="shared" si="91"/>
        <v>3277455.7691030712</v>
      </c>
      <c r="BC423" s="1">
        <f t="shared" si="94"/>
        <v>1858668.440766115</v>
      </c>
      <c r="BI423" s="4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>
        <f t="shared" si="95"/>
        <v>1242794.3062873881</v>
      </c>
      <c r="CU423" s="2"/>
      <c r="CV423" s="2"/>
      <c r="CW423" s="2"/>
      <c r="CX423" s="2">
        <f t="shared" si="96"/>
        <v>2256764.5615187851</v>
      </c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>
        <f t="shared" si="97"/>
        <v>3043959.9444623003</v>
      </c>
      <c r="DT423" s="2"/>
      <c r="DU423" s="2"/>
      <c r="DV423" s="2"/>
      <c r="DW423" s="2"/>
      <c r="DX423" s="2"/>
      <c r="DY423" s="2"/>
      <c r="DZ423" s="2"/>
      <c r="EA423" s="2"/>
      <c r="EB423" s="2">
        <f t="shared" si="98"/>
        <v>505684.38677442062</v>
      </c>
      <c r="EC423" s="2"/>
      <c r="ED423" s="2"/>
      <c r="EE423" s="2">
        <f t="shared" si="99"/>
        <v>355508.91908054845</v>
      </c>
      <c r="EF423" s="2"/>
      <c r="EG423" s="2">
        <f t="shared" si="92"/>
        <v>455706.11675642163</v>
      </c>
      <c r="EH423" s="2"/>
      <c r="FZ423" s="1">
        <v>1963000</v>
      </c>
      <c r="GA423" s="1">
        <v>607749</v>
      </c>
      <c r="HF423" s="1">
        <f t="shared" si="100"/>
        <v>94252.582219701464</v>
      </c>
      <c r="HN423" s="1">
        <f t="shared" si="101"/>
        <v>41296.1423674865</v>
      </c>
      <c r="HW423" s="4"/>
      <c r="HX423" s="2"/>
      <c r="HY423" s="2"/>
      <c r="HZ423" s="2"/>
      <c r="IA423" s="2">
        <f t="shared" si="103"/>
        <v>446975.63739060721</v>
      </c>
      <c r="IB423" s="2">
        <f t="shared" si="104"/>
        <v>209017.16368865874</v>
      </c>
      <c r="IC423" s="2">
        <f t="shared" si="105"/>
        <v>198674.69992375124</v>
      </c>
      <c r="ID423" s="2">
        <f t="shared" si="106"/>
        <v>61187.627233241612</v>
      </c>
      <c r="IE423" s="2">
        <f t="shared" si="107"/>
        <v>191254.79513057656</v>
      </c>
      <c r="IF423" s="2">
        <f t="shared" si="108"/>
        <v>306776.65903423488</v>
      </c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  <c r="JY423" s="2"/>
      <c r="JZ423" s="2"/>
      <c r="KA423" s="2"/>
      <c r="KB423" s="2"/>
      <c r="KC423" s="2"/>
      <c r="KD423" s="2"/>
      <c r="KE423" s="2"/>
      <c r="KF423" s="2"/>
      <c r="KG423" s="2"/>
      <c r="KH423" s="2"/>
      <c r="KI423" s="2"/>
      <c r="KJ423" s="2"/>
      <c r="KK423" s="2"/>
      <c r="KL423" s="2"/>
      <c r="KM423" s="2"/>
      <c r="KN423" s="2"/>
      <c r="KO423" s="2"/>
      <c r="KP423" s="2"/>
      <c r="KQ423" s="2"/>
      <c r="KR423" s="2"/>
      <c r="KS423" s="2"/>
      <c r="KT423" s="2"/>
      <c r="KU423" s="2"/>
      <c r="KV423" s="2"/>
      <c r="KW423" s="2"/>
      <c r="KX423" s="2"/>
      <c r="KY423" s="2"/>
      <c r="KZ423" s="2"/>
      <c r="LA423" s="2"/>
      <c r="LB423" s="2"/>
      <c r="LC423" s="2"/>
      <c r="LD423" s="2"/>
      <c r="LE423" s="2"/>
      <c r="LF423" s="2"/>
      <c r="LG423" s="2"/>
      <c r="LH423" s="2"/>
      <c r="LI423" s="2"/>
      <c r="LJ423" s="2"/>
      <c r="LK423" s="2"/>
      <c r="LL423" s="2"/>
      <c r="LM423" s="2"/>
      <c r="LN423" s="2"/>
    </row>
    <row r="424" spans="1:330">
      <c r="A424" s="1">
        <v>1787</v>
      </c>
      <c r="K424" s="1">
        <f t="shared" si="93"/>
        <v>2718393.01710096</v>
      </c>
      <c r="U424" s="1">
        <f t="shared" si="89"/>
        <v>5496497.5990834283</v>
      </c>
      <c r="AG424" s="1">
        <f t="shared" si="90"/>
        <v>631099.23719988007</v>
      </c>
      <c r="AT424" s="1">
        <f t="shared" si="91"/>
        <v>3294170.793525497</v>
      </c>
      <c r="BC424" s="1">
        <f t="shared" si="94"/>
        <v>1867775.9161258687</v>
      </c>
      <c r="BI424" s="4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>
        <f t="shared" si="95"/>
        <v>1249132.5572494539</v>
      </c>
      <c r="CU424" s="2"/>
      <c r="CV424" s="2"/>
      <c r="CW424" s="2"/>
      <c r="CX424" s="2">
        <f t="shared" si="96"/>
        <v>2268274.0607825313</v>
      </c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>
        <f t="shared" si="97"/>
        <v>3053091.824295687</v>
      </c>
      <c r="DT424" s="2"/>
      <c r="DU424" s="2"/>
      <c r="DV424" s="2"/>
      <c r="DW424" s="2"/>
      <c r="DX424" s="2"/>
      <c r="DY424" s="2"/>
      <c r="DZ424" s="2"/>
      <c r="EA424" s="2"/>
      <c r="EB424" s="2">
        <f t="shared" si="98"/>
        <v>508212.80870829266</v>
      </c>
      <c r="EC424" s="2"/>
      <c r="ED424" s="2"/>
      <c r="EE424" s="2">
        <f t="shared" si="99"/>
        <v>357428.66724358342</v>
      </c>
      <c r="EF424" s="2"/>
      <c r="EG424" s="2">
        <f t="shared" si="92"/>
        <v>458258.07101025764</v>
      </c>
      <c r="EH424" s="2"/>
      <c r="HF424" s="1">
        <f t="shared" si="100"/>
        <v>94723.845130799964</v>
      </c>
      <c r="HN424" s="1">
        <f t="shared" si="101"/>
        <v>41502.62307932393</v>
      </c>
      <c r="HW424" s="4"/>
      <c r="HX424" s="2"/>
      <c r="HY424" s="2"/>
      <c r="HZ424" s="2"/>
      <c r="IA424" s="2">
        <f t="shared" si="103"/>
        <v>449478.70095999463</v>
      </c>
      <c r="IB424" s="2">
        <f t="shared" si="104"/>
        <v>210187.65980531523</v>
      </c>
      <c r="IC424" s="2">
        <f t="shared" si="105"/>
        <v>199787.27824332425</v>
      </c>
      <c r="ID424" s="2">
        <f t="shared" si="106"/>
        <v>61530.277945747766</v>
      </c>
      <c r="IE424" s="2">
        <f t="shared" si="107"/>
        <v>192325.8219833078</v>
      </c>
      <c r="IF424" s="2">
        <f t="shared" si="108"/>
        <v>308494.60832482664</v>
      </c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  <c r="JY424" s="2"/>
      <c r="JZ424" s="2"/>
      <c r="KA424" s="2"/>
      <c r="KB424" s="2"/>
      <c r="KC424" s="2"/>
      <c r="KD424" s="2"/>
      <c r="KE424" s="2"/>
      <c r="KF424" s="2"/>
      <c r="KG424" s="2"/>
      <c r="KH424" s="2"/>
      <c r="KI424" s="2"/>
      <c r="KJ424" s="2"/>
      <c r="KK424" s="2"/>
      <c r="KL424" s="2"/>
      <c r="KM424" s="2"/>
      <c r="KN424" s="2"/>
      <c r="KO424" s="2"/>
      <c r="KP424" s="2"/>
      <c r="KQ424" s="2"/>
      <c r="KR424" s="2"/>
      <c r="KS424" s="2"/>
      <c r="KT424" s="2"/>
      <c r="KU424" s="2"/>
      <c r="KV424" s="2"/>
      <c r="KW424" s="2"/>
      <c r="KX424" s="2"/>
      <c r="KY424" s="2"/>
      <c r="KZ424" s="2"/>
      <c r="LA424" s="2"/>
      <c r="LB424" s="2"/>
      <c r="LC424" s="2"/>
      <c r="LD424" s="2"/>
      <c r="LE424" s="2"/>
      <c r="LF424" s="2"/>
      <c r="LG424" s="2"/>
      <c r="LH424" s="2"/>
      <c r="LI424" s="2"/>
      <c r="LJ424" s="2"/>
      <c r="LK424" s="2"/>
      <c r="LL424" s="2"/>
      <c r="LM424" s="2"/>
      <c r="LN424" s="2"/>
    </row>
    <row r="425" spans="1:330">
      <c r="A425" s="1">
        <v>1788</v>
      </c>
      <c r="K425" s="1">
        <f t="shared" si="93"/>
        <v>2726548.1961522624</v>
      </c>
      <c r="U425" s="1">
        <f t="shared" si="89"/>
        <v>5528377.2851581126</v>
      </c>
      <c r="AG425" s="1">
        <f t="shared" si="90"/>
        <v>633623.63414867956</v>
      </c>
      <c r="AT425" s="1">
        <f t="shared" si="91"/>
        <v>3310971.0645724772</v>
      </c>
      <c r="BC425" s="1">
        <f t="shared" si="94"/>
        <v>1876928.0181148853</v>
      </c>
      <c r="BI425" s="4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>
        <f t="shared" si="95"/>
        <v>1255503.1332914261</v>
      </c>
      <c r="CU425" s="2"/>
      <c r="CV425" s="2"/>
      <c r="CW425" s="2"/>
      <c r="CX425" s="2">
        <f t="shared" si="96"/>
        <v>2279842.2584925224</v>
      </c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>
        <f t="shared" si="97"/>
        <v>3062251.0997685739</v>
      </c>
      <c r="DT425" s="2"/>
      <c r="DU425" s="2"/>
      <c r="DV425" s="2"/>
      <c r="DW425" s="2"/>
      <c r="DX425" s="2"/>
      <c r="DY425" s="2"/>
      <c r="DZ425" s="2"/>
      <c r="EA425" s="2"/>
      <c r="EB425" s="2">
        <f t="shared" si="98"/>
        <v>510753.87275183405</v>
      </c>
      <c r="EC425" s="2"/>
      <c r="ED425" s="2"/>
      <c r="EE425" s="2">
        <f t="shared" si="99"/>
        <v>359358.78204669879</v>
      </c>
      <c r="EF425" s="2"/>
      <c r="EG425" s="2">
        <f t="shared" si="92"/>
        <v>460824.31620791508</v>
      </c>
      <c r="EH425" s="2"/>
      <c r="HF425" s="1">
        <f t="shared" si="100"/>
        <v>95197.464356453958</v>
      </c>
      <c r="HN425" s="1">
        <f t="shared" si="101"/>
        <v>41710.136194720544</v>
      </c>
      <c r="HW425" s="4"/>
      <c r="HX425" s="2"/>
      <c r="HY425" s="2"/>
      <c r="HZ425" s="2"/>
      <c r="IA425" s="2">
        <f t="shared" si="103"/>
        <v>451995.7816853706</v>
      </c>
      <c r="IB425" s="2">
        <f t="shared" si="104"/>
        <v>211364.710700225</v>
      </c>
      <c r="IC425" s="2">
        <f t="shared" si="105"/>
        <v>200906.08700148689</v>
      </c>
      <c r="ID425" s="2">
        <f t="shared" si="106"/>
        <v>61874.84750224396</v>
      </c>
      <c r="IE425" s="2">
        <f t="shared" si="107"/>
        <v>193402.84658641435</v>
      </c>
      <c r="IF425" s="2">
        <f t="shared" si="108"/>
        <v>310222.17813144566</v>
      </c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  <c r="JY425" s="2"/>
      <c r="JZ425" s="2"/>
      <c r="KA425" s="2"/>
      <c r="KB425" s="2"/>
      <c r="KC425" s="2"/>
      <c r="KD425" s="2"/>
      <c r="KE425" s="2"/>
      <c r="KF425" s="2"/>
      <c r="KG425" s="2"/>
      <c r="KH425" s="2"/>
      <c r="KI425" s="2"/>
      <c r="KJ425" s="2"/>
      <c r="KK425" s="2"/>
      <c r="KL425" s="2"/>
      <c r="KM425" s="2"/>
      <c r="KN425" s="2"/>
      <c r="KO425" s="2"/>
      <c r="KP425" s="2"/>
      <c r="KQ425" s="2"/>
      <c r="KR425" s="2"/>
      <c r="KS425" s="2"/>
      <c r="KT425" s="2"/>
      <c r="KU425" s="2"/>
      <c r="KV425" s="2"/>
      <c r="KW425" s="2"/>
      <c r="KX425" s="2"/>
      <c r="KY425" s="2"/>
      <c r="KZ425" s="2"/>
      <c r="LA425" s="2"/>
      <c r="LB425" s="2"/>
      <c r="LC425" s="2"/>
      <c r="LD425" s="2"/>
      <c r="LE425" s="2"/>
      <c r="LF425" s="2"/>
      <c r="LG425" s="2"/>
      <c r="LH425" s="2"/>
      <c r="LI425" s="2"/>
      <c r="LJ425" s="2"/>
      <c r="LK425" s="2"/>
      <c r="LL425" s="2"/>
      <c r="LM425" s="2"/>
      <c r="LN425" s="2"/>
    </row>
    <row r="426" spans="1:330">
      <c r="A426" s="1">
        <v>1789</v>
      </c>
      <c r="K426" s="1">
        <f t="shared" si="93"/>
        <v>2734727.8407407189</v>
      </c>
      <c r="U426" s="1">
        <f t="shared" si="89"/>
        <v>5560441.8734120298</v>
      </c>
      <c r="AG426" s="1">
        <f t="shared" si="90"/>
        <v>636158.12868527428</v>
      </c>
      <c r="AT426" s="1">
        <f t="shared" si="91"/>
        <v>3327857.0170017974</v>
      </c>
      <c r="BC426" s="1">
        <f t="shared" si="94"/>
        <v>1886124.9654036481</v>
      </c>
      <c r="BI426" s="4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>
        <f t="shared" si="95"/>
        <v>1261906.1992712126</v>
      </c>
      <c r="CU426" s="2"/>
      <c r="CV426" s="2"/>
      <c r="CW426" s="2"/>
      <c r="CX426" s="2">
        <f t="shared" si="96"/>
        <v>2291469.4540108345</v>
      </c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>
        <f t="shared" si="97"/>
        <v>3071437.8530678791</v>
      </c>
      <c r="DT426" s="2"/>
      <c r="DU426" s="2"/>
      <c r="DV426" s="2"/>
      <c r="DW426" s="2"/>
      <c r="DX426" s="2"/>
      <c r="DY426" s="2"/>
      <c r="DZ426" s="2"/>
      <c r="EA426" s="2"/>
      <c r="EB426" s="2">
        <f t="shared" si="98"/>
        <v>513307.64211559319</v>
      </c>
      <c r="EC426" s="2"/>
      <c r="ED426" s="2"/>
      <c r="EE426" s="2">
        <f t="shared" si="99"/>
        <v>361299.31946975098</v>
      </c>
      <c r="EF426" s="2"/>
      <c r="EG426" s="2">
        <f>EG427/1.0056</f>
        <v>463404.9323786794</v>
      </c>
      <c r="EH426" s="2"/>
      <c r="FA426" s="1">
        <v>2416105</v>
      </c>
      <c r="FB426" s="1">
        <v>491980</v>
      </c>
      <c r="FC426" s="1">
        <v>327552</v>
      </c>
      <c r="FD426" s="1">
        <v>326521</v>
      </c>
      <c r="FE426" s="1">
        <v>358911</v>
      </c>
      <c r="FF426" s="1">
        <v>263769</v>
      </c>
      <c r="FG426" s="1">
        <v>271317</v>
      </c>
      <c r="FH426" s="1">
        <v>393909</v>
      </c>
      <c r="HF426" s="1">
        <f t="shared" si="100"/>
        <v>95673.451678236219</v>
      </c>
      <c r="HN426" s="1">
        <f t="shared" si="101"/>
        <v>41918.68687569414</v>
      </c>
      <c r="HW426" s="4"/>
      <c r="HX426" s="2"/>
      <c r="HY426" s="2"/>
      <c r="HZ426" s="2"/>
      <c r="IA426" s="2">
        <f t="shared" si="103"/>
        <v>454526.95806280873</v>
      </c>
      <c r="IB426" s="2">
        <f t="shared" si="104"/>
        <v>212548.35308014628</v>
      </c>
      <c r="IC426" s="2">
        <f t="shared" si="105"/>
        <v>202031.16108869523</v>
      </c>
      <c r="ID426" s="2">
        <f t="shared" si="106"/>
        <v>62221.346648256527</v>
      </c>
      <c r="IE426" s="2">
        <f t="shared" si="107"/>
        <v>194485.90252729828</v>
      </c>
      <c r="IF426" s="2">
        <f t="shared" si="108"/>
        <v>311959.42232898175</v>
      </c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  <c r="JY426" s="2"/>
      <c r="JZ426" s="2"/>
      <c r="KA426" s="2"/>
      <c r="KB426" s="2"/>
      <c r="KC426" s="2"/>
      <c r="KD426" s="2"/>
      <c r="KE426" s="2"/>
      <c r="KF426" s="2"/>
      <c r="KG426" s="2"/>
      <c r="KH426" s="2"/>
      <c r="KI426" s="2"/>
      <c r="KJ426" s="2"/>
      <c r="KK426" s="2"/>
      <c r="KL426" s="2"/>
      <c r="KM426" s="2"/>
      <c r="KN426" s="2"/>
      <c r="KO426" s="2"/>
      <c r="KP426" s="2"/>
      <c r="KQ426" s="2"/>
      <c r="KR426" s="2"/>
      <c r="KS426" s="2"/>
      <c r="KT426" s="2"/>
      <c r="KU426" s="2"/>
      <c r="KV426" s="2"/>
      <c r="KW426" s="2"/>
      <c r="KX426" s="2"/>
      <c r="KY426" s="2"/>
      <c r="KZ426" s="2"/>
      <c r="LA426" s="2"/>
      <c r="LB426" s="2"/>
      <c r="LC426" s="2"/>
      <c r="LD426" s="2"/>
      <c r="LE426" s="2"/>
      <c r="LF426" s="2"/>
      <c r="LG426" s="2"/>
      <c r="LH426" s="2"/>
      <c r="LI426" s="2"/>
      <c r="LJ426" s="2"/>
      <c r="LK426" s="2"/>
      <c r="LL426" s="2"/>
      <c r="LM426" s="2"/>
      <c r="LN426" s="2"/>
    </row>
    <row r="427" spans="1:330">
      <c r="A427" s="1">
        <v>1790</v>
      </c>
      <c r="K427" s="1">
        <f t="shared" si="93"/>
        <v>2742932.0242629405</v>
      </c>
      <c r="U427" s="1">
        <f t="shared" si="89"/>
        <v>5592692.4362778198</v>
      </c>
      <c r="AG427" s="1">
        <f t="shared" si="90"/>
        <v>638702.76120001543</v>
      </c>
      <c r="AT427" s="1">
        <f t="shared" si="91"/>
        <v>3344829.0877885069</v>
      </c>
      <c r="BC427" s="1">
        <f t="shared" si="94"/>
        <v>1895366.9777341257</v>
      </c>
      <c r="BI427" s="4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>
        <f t="shared" si="95"/>
        <v>1268341.9208874959</v>
      </c>
      <c r="CU427" s="2"/>
      <c r="CV427" s="2"/>
      <c r="CW427" s="2"/>
      <c r="CX427" s="2">
        <f t="shared" si="96"/>
        <v>2303155.9482262898</v>
      </c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>
        <f t="shared" si="97"/>
        <v>3080652.1666270825</v>
      </c>
      <c r="DT427" s="2"/>
      <c r="DU427" s="2"/>
      <c r="DV427" s="2"/>
      <c r="DW427" s="2"/>
      <c r="DX427" s="2"/>
      <c r="DY427" s="2"/>
      <c r="DZ427" s="2"/>
      <c r="EA427" s="2"/>
      <c r="EB427" s="2">
        <f t="shared" si="98"/>
        <v>515874.1803261711</v>
      </c>
      <c r="EC427" s="2"/>
      <c r="ED427" s="2"/>
      <c r="EE427" s="2">
        <f t="shared" si="99"/>
        <v>363250.33579488768</v>
      </c>
      <c r="EF427" s="2"/>
      <c r="EG427" s="2">
        <v>466000</v>
      </c>
      <c r="EH427" s="2">
        <f>EG427*0.39</f>
        <v>181740</v>
      </c>
      <c r="HF427" s="1">
        <f t="shared" si="100"/>
        <v>96151.818936627387</v>
      </c>
      <c r="HN427" s="1">
        <f t="shared" si="101"/>
        <v>42128.280310072609</v>
      </c>
      <c r="HW427" s="4"/>
      <c r="HX427" s="2"/>
      <c r="HY427" s="2"/>
      <c r="HZ427" s="2"/>
      <c r="IA427" s="2">
        <f t="shared" si="103"/>
        <v>457072.30902796047</v>
      </c>
      <c r="IB427" s="2">
        <f t="shared" si="104"/>
        <v>213738.62385739511</v>
      </c>
      <c r="IC427" s="2">
        <f t="shared" si="105"/>
        <v>203162.53559079193</v>
      </c>
      <c r="ID427" s="2">
        <f t="shared" si="106"/>
        <v>62569.786189486767</v>
      </c>
      <c r="IE427" s="2">
        <f t="shared" si="107"/>
        <v>195575.02358145115</v>
      </c>
      <c r="IF427" s="2">
        <f t="shared" si="108"/>
        <v>313706.39509402408</v>
      </c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  <c r="JY427" s="2"/>
      <c r="JZ427" s="2"/>
      <c r="KA427" s="2"/>
      <c r="KB427" s="2"/>
      <c r="KC427" s="2"/>
      <c r="KD427" s="2"/>
      <c r="KE427" s="2"/>
      <c r="KF427" s="2"/>
      <c r="KG427" s="2"/>
      <c r="KH427" s="2"/>
      <c r="KI427" s="2"/>
      <c r="KJ427" s="2"/>
      <c r="KK427" s="2"/>
      <c r="KL427" s="2"/>
      <c r="KM427" s="2"/>
      <c r="KN427" s="2"/>
      <c r="KO427" s="2"/>
      <c r="KP427" s="2"/>
      <c r="KQ427" s="2"/>
      <c r="KR427" s="2"/>
      <c r="KS427" s="2"/>
      <c r="KT427" s="2"/>
      <c r="KU427" s="2"/>
      <c r="KV427" s="2"/>
      <c r="KW427" s="2"/>
      <c r="KX427" s="2"/>
      <c r="KY427" s="2"/>
      <c r="KZ427" s="2"/>
      <c r="LA427" s="2"/>
      <c r="LB427" s="2"/>
      <c r="LC427" s="2"/>
      <c r="LD427" s="2"/>
      <c r="LE427" s="2"/>
      <c r="LF427" s="2"/>
      <c r="LG427" s="2"/>
      <c r="LH427" s="2"/>
      <c r="LI427" s="2"/>
      <c r="LJ427" s="2"/>
      <c r="LK427" s="2"/>
      <c r="LL427" s="2"/>
      <c r="LM427" s="2"/>
      <c r="LN427" s="2"/>
    </row>
    <row r="428" spans="1:330">
      <c r="A428" s="1">
        <v>1791</v>
      </c>
      <c r="K428" s="1">
        <f t="shared" si="93"/>
        <v>2751160.820335729</v>
      </c>
      <c r="U428" s="1">
        <f t="shared" si="89"/>
        <v>5625130.0524082314</v>
      </c>
      <c r="AG428" s="1">
        <f t="shared" si="90"/>
        <v>641257.57224481553</v>
      </c>
      <c r="AT428" s="1">
        <f t="shared" si="91"/>
        <v>3361887.7161362288</v>
      </c>
      <c r="BC428" s="1">
        <f t="shared" si="94"/>
        <v>1904654.2759250228</v>
      </c>
      <c r="BI428" s="4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>
        <f t="shared" si="95"/>
        <v>1274810.4646840221</v>
      </c>
      <c r="CU428" s="2"/>
      <c r="CV428" s="2"/>
      <c r="CW428" s="2"/>
      <c r="CX428" s="2">
        <f t="shared" si="96"/>
        <v>2314902.0435622442</v>
      </c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>
        <f t="shared" si="97"/>
        <v>3089894.1231269636</v>
      </c>
      <c r="DT428" s="2"/>
      <c r="DU428" s="2"/>
      <c r="DV428" s="2"/>
      <c r="DW428" s="2"/>
      <c r="DX428" s="2"/>
      <c r="DY428" s="2"/>
      <c r="DZ428" s="2"/>
      <c r="EA428" s="2"/>
      <c r="EB428" s="2">
        <f t="shared" si="98"/>
        <v>518453.55122780189</v>
      </c>
      <c r="EC428" s="2"/>
      <c r="ED428" s="2"/>
      <c r="EE428" s="2">
        <f t="shared" si="99"/>
        <v>365211.88760818011</v>
      </c>
      <c r="EF428" s="2"/>
      <c r="EG428" s="2">
        <f>EG427*1.0056</f>
        <v>468609.60000000003</v>
      </c>
      <c r="EH428" s="2"/>
      <c r="FQ428" s="1">
        <f>SUM(FR428:FY428)</f>
        <v>4583173.03</v>
      </c>
      <c r="FR428" s="1">
        <v>1002582</v>
      </c>
      <c r="FS428" s="1">
        <f>61949*8.47</f>
        <v>524708.03</v>
      </c>
      <c r="FT428" s="1">
        <v>686520</v>
      </c>
      <c r="FU428" s="1">
        <v>956556</v>
      </c>
      <c r="FV428" s="1">
        <v>608304</v>
      </c>
      <c r="FW428" s="1">
        <v>342210</v>
      </c>
      <c r="FX428" s="1">
        <v>334787</v>
      </c>
      <c r="FY428" s="1">
        <v>127506</v>
      </c>
      <c r="HF428" s="1">
        <f t="shared" si="100"/>
        <v>96632.578031310521</v>
      </c>
      <c r="HN428" s="1">
        <f t="shared" si="101"/>
        <v>42338.92171162297</v>
      </c>
      <c r="HW428" s="4"/>
      <c r="HX428" s="2"/>
      <c r="HY428" s="2"/>
      <c r="HZ428" s="2"/>
      <c r="IA428" s="2">
        <f t="shared" si="103"/>
        <v>459631.91395851708</v>
      </c>
      <c r="IB428" s="2">
        <f t="shared" si="104"/>
        <v>214935.56015099655</v>
      </c>
      <c r="IC428" s="2">
        <f t="shared" si="105"/>
        <v>204300.24579010037</v>
      </c>
      <c r="ID428" s="2">
        <f t="shared" si="106"/>
        <v>62920.176992147899</v>
      </c>
      <c r="IE428" s="2">
        <f t="shared" si="107"/>
        <v>196670.24371350728</v>
      </c>
      <c r="IF428" s="2">
        <f t="shared" si="108"/>
        <v>315463.15090655064</v>
      </c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  <c r="JY428" s="2"/>
      <c r="JZ428" s="2"/>
      <c r="KA428" s="2"/>
      <c r="KB428" s="2"/>
      <c r="KC428" s="2"/>
      <c r="KD428" s="2"/>
      <c r="KE428" s="2"/>
      <c r="KF428" s="2"/>
      <c r="KG428" s="2"/>
      <c r="KH428" s="2"/>
      <c r="KI428" s="2"/>
      <c r="KJ428" s="2"/>
      <c r="KK428" s="2"/>
      <c r="KL428" s="2"/>
      <c r="KM428" s="2"/>
      <c r="KN428" s="2"/>
      <c r="KO428" s="2"/>
      <c r="KP428" s="2"/>
      <c r="KQ428" s="2"/>
      <c r="KR428" s="2"/>
      <c r="KS428" s="2"/>
      <c r="KT428" s="2"/>
      <c r="KU428" s="2"/>
      <c r="KV428" s="2"/>
      <c r="KW428" s="2"/>
      <c r="KX428" s="2"/>
      <c r="KY428" s="2"/>
      <c r="KZ428" s="2"/>
      <c r="LA428" s="2"/>
      <c r="LB428" s="2"/>
      <c r="LC428" s="2"/>
      <c r="LD428" s="2"/>
      <c r="LE428" s="2"/>
      <c r="LF428" s="2"/>
      <c r="LG428" s="2"/>
      <c r="LH428" s="2"/>
      <c r="LI428" s="2"/>
      <c r="LJ428" s="2"/>
      <c r="LK428" s="2"/>
      <c r="LL428" s="2"/>
      <c r="LM428" s="2"/>
      <c r="LN428" s="2"/>
    </row>
    <row r="429" spans="1:330">
      <c r="A429" s="1">
        <v>1792</v>
      </c>
      <c r="K429" s="1">
        <f t="shared" si="93"/>
        <v>2759414.3027967359</v>
      </c>
      <c r="U429" s="1">
        <f t="shared" si="89"/>
        <v>5657755.806712199</v>
      </c>
      <c r="AG429" s="1">
        <f t="shared" si="90"/>
        <v>643822.60253379482</v>
      </c>
      <c r="AT429" s="1">
        <f t="shared" si="91"/>
        <v>3379033.3434885237</v>
      </c>
      <c r="BC429" s="1">
        <f t="shared" si="94"/>
        <v>1913987.0818770551</v>
      </c>
      <c r="BI429" s="4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>
        <f t="shared" si="95"/>
        <v>1281311.9980539107</v>
      </c>
      <c r="CU429" s="2"/>
      <c r="CV429" s="2"/>
      <c r="CW429" s="2"/>
      <c r="CX429" s="2">
        <f t="shared" si="96"/>
        <v>2326708.0439844117</v>
      </c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>
        <f t="shared" si="97"/>
        <v>3099163.8054963443</v>
      </c>
      <c r="DT429" s="2"/>
      <c r="DU429" s="2"/>
      <c r="DV429" s="2"/>
      <c r="DW429" s="2"/>
      <c r="DX429" s="2"/>
      <c r="DY429" s="2"/>
      <c r="DZ429" s="2"/>
      <c r="EA429" s="2"/>
      <c r="EB429" s="2">
        <f t="shared" si="98"/>
        <v>521045.81898394082</v>
      </c>
      <c r="EC429" s="2"/>
      <c r="ED429" s="2"/>
      <c r="EE429" s="2">
        <f t="shared" si="99"/>
        <v>367184.03180126433</v>
      </c>
      <c r="EF429" s="2"/>
      <c r="EG429" s="2">
        <f t="shared" ref="EG429:EG456" si="109">EG428*1.0056</f>
        <v>471233.81376000005</v>
      </c>
      <c r="EH429" s="2"/>
      <c r="HF429" s="1">
        <f t="shared" si="100"/>
        <v>97115.740921467062</v>
      </c>
      <c r="HN429" s="1">
        <f t="shared" si="101"/>
        <v>42550.616320181078</v>
      </c>
      <c r="HW429" s="4"/>
      <c r="HX429" s="2"/>
      <c r="HY429" s="2"/>
      <c r="HZ429" s="2"/>
      <c r="IA429" s="2">
        <f t="shared" si="103"/>
        <v>462205.85267668479</v>
      </c>
      <c r="IB429" s="2">
        <f t="shared" si="104"/>
        <v>216139.19928784214</v>
      </c>
      <c r="IC429" s="2">
        <f t="shared" si="105"/>
        <v>205444.32716652495</v>
      </c>
      <c r="ID429" s="2">
        <f t="shared" si="106"/>
        <v>63272.529983303932</v>
      </c>
      <c r="IE429" s="2">
        <f t="shared" si="107"/>
        <v>197771.59707830293</v>
      </c>
      <c r="IF429" s="2">
        <f t="shared" si="108"/>
        <v>317229.74455162731</v>
      </c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  <c r="JY429" s="2"/>
      <c r="JZ429" s="2"/>
      <c r="KA429" s="2"/>
      <c r="KB429" s="2"/>
      <c r="KC429" s="2"/>
      <c r="KD429" s="2"/>
      <c r="KE429" s="2"/>
      <c r="KF429" s="2"/>
      <c r="KG429" s="2"/>
      <c r="KH429" s="2"/>
      <c r="KI429" s="2"/>
      <c r="KJ429" s="2"/>
      <c r="KK429" s="2"/>
      <c r="KL429" s="2"/>
      <c r="KM429" s="2"/>
      <c r="KN429" s="2"/>
      <c r="KO429" s="2"/>
      <c r="KP429" s="2"/>
      <c r="KQ429" s="2"/>
      <c r="KR429" s="2"/>
      <c r="KS429" s="2"/>
      <c r="KT429" s="2"/>
      <c r="KU429" s="2"/>
      <c r="KV429" s="2"/>
      <c r="KW429" s="2"/>
      <c r="KX429" s="2"/>
      <c r="KY429" s="2"/>
      <c r="KZ429" s="2"/>
      <c r="LA429" s="2"/>
      <c r="LB429" s="2"/>
      <c r="LC429" s="2"/>
      <c r="LD429" s="2"/>
      <c r="LE429" s="2"/>
      <c r="LF429" s="2"/>
      <c r="LG429" s="2"/>
      <c r="LH429" s="2"/>
      <c r="LI429" s="2"/>
      <c r="LJ429" s="2"/>
      <c r="LK429" s="2"/>
      <c r="LL429" s="2"/>
      <c r="LM429" s="2"/>
      <c r="LN429" s="2"/>
    </row>
    <row r="430" spans="1:330">
      <c r="A430" s="1">
        <v>1793</v>
      </c>
      <c r="K430" s="1">
        <f t="shared" si="93"/>
        <v>2767692.5457051257</v>
      </c>
      <c r="U430" s="1">
        <f t="shared" si="89"/>
        <v>5690570.7903911304</v>
      </c>
      <c r="AG430" s="1">
        <f t="shared" si="90"/>
        <v>646397.89294393</v>
      </c>
      <c r="AT430" s="1">
        <f t="shared" si="91"/>
        <v>3396266.4135403153</v>
      </c>
      <c r="BC430" s="1">
        <f t="shared" si="94"/>
        <v>1923365.6185782526</v>
      </c>
      <c r="BI430" s="4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>
        <f t="shared" si="95"/>
        <v>1287846.6892439858</v>
      </c>
      <c r="CU430" s="2"/>
      <c r="CV430" s="2"/>
      <c r="CW430" s="2"/>
      <c r="CX430" s="2">
        <f t="shared" si="96"/>
        <v>2338574.2550087324</v>
      </c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>
        <f t="shared" si="97"/>
        <v>3108461.2969128331</v>
      </c>
      <c r="DT430" s="2"/>
      <c r="DU430" s="2"/>
      <c r="DV430" s="2"/>
      <c r="DW430" s="2"/>
      <c r="DX430" s="2"/>
      <c r="DY430" s="2"/>
      <c r="DZ430" s="2"/>
      <c r="EA430" s="2"/>
      <c r="EB430" s="2">
        <f t="shared" si="98"/>
        <v>523651.04807886045</v>
      </c>
      <c r="EC430" s="2"/>
      <c r="ED430" s="2"/>
      <c r="EE430" s="2">
        <f t="shared" si="99"/>
        <v>369166.82557299116</v>
      </c>
      <c r="EF430" s="2"/>
      <c r="EG430" s="2">
        <f t="shared" si="109"/>
        <v>473872.72311705607</v>
      </c>
      <c r="EH430" s="2"/>
      <c r="HF430" s="1">
        <f t="shared" si="100"/>
        <v>97601.319626074386</v>
      </c>
      <c r="HN430" s="1">
        <f t="shared" si="101"/>
        <v>42763.36940178198</v>
      </c>
      <c r="HW430" s="4"/>
      <c r="HX430" s="2"/>
      <c r="HY430" s="2"/>
      <c r="HZ430" s="2"/>
      <c r="IA430" s="2">
        <f t="shared" si="103"/>
        <v>464794.20545167424</v>
      </c>
      <c r="IB430" s="2">
        <f t="shared" si="104"/>
        <v>217349.57880385406</v>
      </c>
      <c r="IC430" s="2">
        <f t="shared" si="105"/>
        <v>206594.81539865749</v>
      </c>
      <c r="ID430" s="2">
        <f t="shared" si="106"/>
        <v>63626.856151210435</v>
      </c>
      <c r="IE430" s="2">
        <f t="shared" si="107"/>
        <v>198879.11802194145</v>
      </c>
      <c r="IF430" s="2">
        <f t="shared" si="108"/>
        <v>319006.23112111643</v>
      </c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  <c r="JY430" s="2"/>
      <c r="JZ430" s="2"/>
      <c r="KA430" s="2"/>
      <c r="KB430" s="2"/>
      <c r="KC430" s="2"/>
      <c r="KD430" s="2"/>
      <c r="KE430" s="2"/>
      <c r="KF430" s="2"/>
      <c r="KG430" s="2"/>
      <c r="KH430" s="2"/>
      <c r="KI430" s="2"/>
      <c r="KJ430" s="2"/>
      <c r="KK430" s="2"/>
      <c r="KL430" s="2"/>
      <c r="KM430" s="2"/>
      <c r="KN430" s="2"/>
      <c r="KO430" s="2"/>
      <c r="KP430" s="2"/>
      <c r="KQ430" s="2"/>
      <c r="KR430" s="2"/>
      <c r="KS430" s="2"/>
      <c r="KT430" s="2"/>
      <c r="KU430" s="2"/>
      <c r="KV430" s="2"/>
      <c r="KW430" s="2"/>
      <c r="KX430" s="2"/>
      <c r="KY430" s="2"/>
      <c r="KZ430" s="2"/>
      <c r="LA430" s="2"/>
      <c r="LB430" s="2"/>
      <c r="LC430" s="2"/>
      <c r="LD430" s="2"/>
      <c r="LE430" s="2"/>
      <c r="LF430" s="2"/>
      <c r="LG430" s="2"/>
      <c r="LH430" s="2"/>
      <c r="LI430" s="2"/>
      <c r="LJ430" s="2"/>
      <c r="LK430" s="2"/>
      <c r="LL430" s="2"/>
      <c r="LM430" s="2"/>
      <c r="LN430" s="2"/>
    </row>
    <row r="431" spans="1:330">
      <c r="A431" s="1">
        <v>1794</v>
      </c>
      <c r="K431" s="1">
        <f t="shared" si="93"/>
        <v>2775995.6233422407</v>
      </c>
      <c r="U431" s="1">
        <f t="shared" si="89"/>
        <v>5723576.1009753989</v>
      </c>
      <c r="AG431" s="1">
        <f t="shared" si="90"/>
        <v>648983.48451570573</v>
      </c>
      <c r="AT431" s="1">
        <f t="shared" si="91"/>
        <v>3413587.3722493714</v>
      </c>
      <c r="BC431" s="1">
        <f t="shared" si="94"/>
        <v>1932790.1101092859</v>
      </c>
      <c r="BI431" s="4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>
        <f t="shared" si="95"/>
        <v>1294414.7073591303</v>
      </c>
      <c r="CU431" s="2"/>
      <c r="CV431" s="2"/>
      <c r="CW431" s="2"/>
      <c r="CX431" s="2">
        <f t="shared" si="96"/>
        <v>2350500.9837092771</v>
      </c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>
        <f t="shared" si="97"/>
        <v>3117786.6808035714</v>
      </c>
      <c r="DT431" s="2"/>
      <c r="DU431" s="2"/>
      <c r="DV431" s="2"/>
      <c r="DW431" s="2"/>
      <c r="DX431" s="2"/>
      <c r="DY431" s="2"/>
      <c r="DZ431" s="2"/>
      <c r="EA431" s="2"/>
      <c r="EB431" s="2">
        <f t="shared" si="98"/>
        <v>526269.30331925466</v>
      </c>
      <c r="EC431" s="2"/>
      <c r="ED431" s="2"/>
      <c r="EE431" s="2">
        <f t="shared" si="99"/>
        <v>371160.32643108536</v>
      </c>
      <c r="EF431" s="2"/>
      <c r="EG431" s="2">
        <f t="shared" si="109"/>
        <v>476526.41036651161</v>
      </c>
      <c r="EH431" s="2"/>
      <c r="HF431" s="1">
        <f t="shared" si="100"/>
        <v>98089.326224204749</v>
      </c>
      <c r="HN431" s="1">
        <f>HN430*1.005</f>
        <v>42977.186248790887</v>
      </c>
      <c r="HW431" s="4"/>
      <c r="HX431" s="2"/>
      <c r="HY431" s="2"/>
      <c r="HZ431" s="2"/>
      <c r="IA431" s="2">
        <f t="shared" si="103"/>
        <v>467397.05300220364</v>
      </c>
      <c r="IB431" s="2">
        <f t="shared" si="104"/>
        <v>218566.73644515566</v>
      </c>
      <c r="IC431" s="2">
        <f t="shared" si="105"/>
        <v>207751.74636488999</v>
      </c>
      <c r="ID431" s="2">
        <f t="shared" si="106"/>
        <v>63983.166545657215</v>
      </c>
      <c r="IE431" s="2">
        <f t="shared" si="107"/>
        <v>199992.84108286432</v>
      </c>
      <c r="IF431" s="2">
        <f t="shared" si="108"/>
        <v>320792.66601539473</v>
      </c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  <c r="JY431" s="2"/>
      <c r="JZ431" s="2"/>
      <c r="KA431" s="2"/>
      <c r="KB431" s="2"/>
      <c r="KC431" s="2"/>
      <c r="KD431" s="2"/>
      <c r="KE431" s="2"/>
      <c r="KF431" s="2"/>
      <c r="KG431" s="2"/>
      <c r="KH431" s="2"/>
      <c r="KI431" s="2"/>
      <c r="KJ431" s="2"/>
      <c r="KK431" s="2"/>
      <c r="KL431" s="2"/>
      <c r="KM431" s="2"/>
      <c r="KN431" s="2"/>
      <c r="KO431" s="2"/>
      <c r="KP431" s="2"/>
      <c r="KQ431" s="2"/>
      <c r="KR431" s="2"/>
      <c r="KS431" s="2"/>
      <c r="KT431" s="2"/>
      <c r="KU431" s="2"/>
      <c r="KV431" s="2"/>
      <c r="KW431" s="2"/>
      <c r="KX431" s="2"/>
      <c r="KY431" s="2"/>
      <c r="KZ431" s="2"/>
      <c r="LA431" s="2"/>
      <c r="LB431" s="2"/>
      <c r="LC431" s="2"/>
      <c r="LD431" s="2"/>
      <c r="LE431" s="2"/>
      <c r="LF431" s="2"/>
      <c r="LG431" s="2"/>
      <c r="LH431" s="2"/>
      <c r="LI431" s="2"/>
      <c r="LJ431" s="2"/>
      <c r="LK431" s="2"/>
      <c r="LL431" s="2"/>
      <c r="LM431" s="2"/>
      <c r="LN431" s="2"/>
    </row>
    <row r="432" spans="1:330">
      <c r="A432" s="1">
        <v>1795</v>
      </c>
      <c r="K432" s="1">
        <f t="shared" si="93"/>
        <v>2784323.6102122669</v>
      </c>
      <c r="U432" s="1">
        <f t="shared" si="89"/>
        <v>5756772.8423610562</v>
      </c>
      <c r="AG432" s="1">
        <f t="shared" si="90"/>
        <v>651579.41845376859</v>
      </c>
      <c r="AT432" s="1">
        <f t="shared" si="91"/>
        <v>3430996.6678478434</v>
      </c>
      <c r="BC432" s="1">
        <f t="shared" si="94"/>
        <v>1942260.7816488212</v>
      </c>
      <c r="BI432" s="4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>
        <f>CW432/0.233</f>
        <v>1298459.2274678112</v>
      </c>
      <c r="CU432" s="2"/>
      <c r="CV432" s="2"/>
      <c r="CW432" s="2">
        <v>302541</v>
      </c>
      <c r="CX432" s="2">
        <f t="shared" si="96"/>
        <v>2362488.5387261948</v>
      </c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>
        <f t="shared" si="97"/>
        <v>3127140.0408459818</v>
      </c>
      <c r="DT432" s="2"/>
      <c r="DU432" s="2"/>
      <c r="DV432" s="2"/>
      <c r="DW432" s="2"/>
      <c r="DX432" s="2"/>
      <c r="DY432" s="2"/>
      <c r="DZ432" s="2"/>
      <c r="EA432" s="2"/>
      <c r="EB432" s="2">
        <f t="shared" si="98"/>
        <v>528900.64983585093</v>
      </c>
      <c r="EC432" s="2"/>
      <c r="ED432" s="2"/>
      <c r="EE432" s="2">
        <f t="shared" si="99"/>
        <v>373164.59219381324</v>
      </c>
      <c r="EF432" s="2"/>
      <c r="EG432" s="2">
        <f t="shared" si="109"/>
        <v>479194.95826456411</v>
      </c>
      <c r="EH432" s="2"/>
      <c r="HD432" s="1">
        <f>SUM(HE432,HF432,HL432,HN432)/0.4</f>
        <v>946469.61258840142</v>
      </c>
      <c r="HE432" s="1">
        <v>174216</v>
      </c>
      <c r="HF432" s="1">
        <f t="shared" si="100"/>
        <v>98579.772855325762</v>
      </c>
      <c r="HL432" s="1">
        <v>62600</v>
      </c>
      <c r="HN432" s="1">
        <f t="shared" si="101"/>
        <v>43192.07218003484</v>
      </c>
      <c r="HW432" s="4"/>
      <c r="HX432" s="2"/>
      <c r="HY432" s="2"/>
      <c r="HZ432" s="2"/>
      <c r="IA432" s="2">
        <f t="shared" si="103"/>
        <v>470014.47649901599</v>
      </c>
      <c r="IB432" s="2">
        <f t="shared" si="104"/>
        <v>219790.71016924854</v>
      </c>
      <c r="IC432" s="2">
        <f t="shared" si="105"/>
        <v>208915.15614453339</v>
      </c>
      <c r="ID432" s="2">
        <f t="shared" si="106"/>
        <v>64341.472278312896</v>
      </c>
      <c r="IE432" s="2">
        <f t="shared" si="107"/>
        <v>201112.80099292839</v>
      </c>
      <c r="IF432" s="2">
        <f t="shared" si="108"/>
        <v>322589.10494508094</v>
      </c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  <c r="JY432" s="2"/>
      <c r="JZ432" s="2"/>
      <c r="KA432" s="2"/>
      <c r="KB432" s="2"/>
      <c r="KC432" s="2"/>
      <c r="KD432" s="2"/>
      <c r="KE432" s="2"/>
      <c r="KF432" s="2"/>
      <c r="KG432" s="2"/>
      <c r="KH432" s="2"/>
      <c r="KI432" s="2"/>
      <c r="KJ432" s="2"/>
      <c r="KK432" s="2"/>
      <c r="KL432" s="2"/>
      <c r="KM432" s="2"/>
      <c r="KN432" s="2"/>
      <c r="KO432" s="2"/>
      <c r="KP432" s="2"/>
      <c r="KQ432" s="2"/>
      <c r="KR432" s="2"/>
      <c r="KS432" s="2"/>
      <c r="KT432" s="2"/>
      <c r="KU432" s="2"/>
      <c r="KV432" s="2"/>
      <c r="KW432" s="2"/>
      <c r="KX432" s="2"/>
      <c r="KY432" s="2"/>
      <c r="KZ432" s="2"/>
      <c r="LA432" s="2"/>
      <c r="LB432" s="2"/>
      <c r="LC432" s="2"/>
      <c r="LD432" s="2"/>
      <c r="LE432" s="2"/>
      <c r="LF432" s="2"/>
      <c r="LG432" s="2"/>
      <c r="LH432" s="2"/>
      <c r="LI432" s="2"/>
      <c r="LJ432" s="2"/>
      <c r="LK432" s="2"/>
      <c r="LL432" s="2"/>
      <c r="LM432" s="2"/>
      <c r="LN432" s="2"/>
      <c r="LR432" s="1">
        <v>744749</v>
      </c>
    </row>
    <row r="433" spans="1:333">
      <c r="A433" s="1">
        <v>1796</v>
      </c>
      <c r="K433" s="1">
        <f t="shared" si="93"/>
        <v>2792676.5810429035</v>
      </c>
      <c r="U433" s="1">
        <f t="shared" si="89"/>
        <v>5790162.1248467509</v>
      </c>
      <c r="AG433" s="1">
        <f t="shared" si="90"/>
        <v>654185.73612758366</v>
      </c>
      <c r="AT433" s="1">
        <f t="shared" si="91"/>
        <v>3448494.7508538677</v>
      </c>
      <c r="BC433" s="1">
        <f t="shared" si="94"/>
        <v>1951777.8594789002</v>
      </c>
      <c r="BI433" s="4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>
        <f t="shared" si="95"/>
        <v>1305081.3695278971</v>
      </c>
      <c r="CU433" s="2"/>
      <c r="CV433" s="2"/>
      <c r="CW433" s="2"/>
      <c r="CX433" s="2">
        <f t="shared" si="96"/>
        <v>2374537.2302736985</v>
      </c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>
        <f t="shared" si="97"/>
        <v>3136521.4609685196</v>
      </c>
      <c r="DT433" s="2"/>
      <c r="DU433" s="2"/>
      <c r="DV433" s="2"/>
      <c r="DW433" s="2"/>
      <c r="DX433" s="2"/>
      <c r="DY433" s="2"/>
      <c r="DZ433" s="2"/>
      <c r="EA433" s="2"/>
      <c r="EB433" s="2">
        <f t="shared" si="98"/>
        <v>531545.15308503015</v>
      </c>
      <c r="EC433" s="2"/>
      <c r="ED433" s="2"/>
      <c r="EE433" s="2">
        <f t="shared" si="99"/>
        <v>375179.68099165987</v>
      </c>
      <c r="EF433" s="2"/>
      <c r="EG433" s="2">
        <f t="shared" si="109"/>
        <v>481878.45003084571</v>
      </c>
      <c r="EH433" s="2"/>
      <c r="HW433" s="4"/>
      <c r="HX433" s="2"/>
      <c r="HY433" s="2"/>
      <c r="HZ433" s="2"/>
      <c r="IA433" s="2">
        <f t="shared" si="103"/>
        <v>472646.55756741052</v>
      </c>
      <c r="IB433" s="2">
        <f t="shared" si="104"/>
        <v>221021.53814619634</v>
      </c>
      <c r="IC433" s="2">
        <f t="shared" si="105"/>
        <v>210085.08101894279</v>
      </c>
      <c r="ID433" s="2">
        <f t="shared" si="106"/>
        <v>64701.784523071452</v>
      </c>
      <c r="IE433" s="2">
        <f t="shared" si="107"/>
        <v>202239.03267848879</v>
      </c>
      <c r="IF433" s="2">
        <f t="shared" si="108"/>
        <v>324395.6039327734</v>
      </c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  <c r="JY433" s="2"/>
      <c r="JZ433" s="2"/>
      <c r="KA433" s="2"/>
      <c r="KB433" s="2"/>
      <c r="KC433" s="2"/>
      <c r="KD433" s="2"/>
      <c r="KE433" s="2"/>
      <c r="KF433" s="2"/>
      <c r="KG433" s="2"/>
      <c r="KH433" s="2"/>
      <c r="KI433" s="2"/>
      <c r="KJ433" s="2"/>
      <c r="KK433" s="2"/>
      <c r="KL433" s="2"/>
      <c r="KM433" s="2"/>
      <c r="KN433" s="2"/>
      <c r="KO433" s="2"/>
      <c r="KP433" s="2"/>
      <c r="KQ433" s="2"/>
      <c r="KR433" s="2"/>
      <c r="KS433" s="2"/>
      <c r="KT433" s="2"/>
      <c r="KU433" s="2"/>
      <c r="KV433" s="2"/>
      <c r="KW433" s="2"/>
      <c r="KX433" s="2"/>
      <c r="KY433" s="2"/>
      <c r="KZ433" s="2"/>
      <c r="LA433" s="2"/>
      <c r="LB433" s="2"/>
      <c r="LC433" s="2"/>
      <c r="LD433" s="2"/>
      <c r="LE433" s="2"/>
      <c r="LF433" s="2"/>
      <c r="LG433" s="2"/>
      <c r="LH433" s="2"/>
      <c r="LI433" s="2"/>
      <c r="LJ433" s="2"/>
      <c r="LK433" s="2"/>
      <c r="LL433" s="2"/>
      <c r="LM433" s="2"/>
      <c r="LN433" s="2"/>
    </row>
    <row r="434" spans="1:333">
      <c r="A434" s="1">
        <v>1797</v>
      </c>
      <c r="K434" s="1">
        <f t="shared" si="93"/>
        <v>2801054.6107860319</v>
      </c>
      <c r="U434" s="1">
        <f t="shared" si="89"/>
        <v>5823745.0651708618</v>
      </c>
      <c r="AG434" s="1">
        <f t="shared" si="90"/>
        <v>656802.47907209396</v>
      </c>
      <c r="AT434" s="1">
        <f t="shared" si="91"/>
        <v>3466082.074083223</v>
      </c>
      <c r="BC434" s="1">
        <f t="shared" si="94"/>
        <v>1961341.5709903466</v>
      </c>
      <c r="BI434" s="4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>
        <f t="shared" si="95"/>
        <v>1311737.2845124896</v>
      </c>
      <c r="CU434" s="2"/>
      <c r="CV434" s="2"/>
      <c r="CW434" s="2"/>
      <c r="CX434" s="2">
        <f t="shared" si="96"/>
        <v>2386647.3701480944</v>
      </c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>
        <f t="shared" si="97"/>
        <v>3145931.0253514247</v>
      </c>
      <c r="DT434" s="2"/>
      <c r="DU434" s="2"/>
      <c r="DV434" s="2"/>
      <c r="DW434" s="2"/>
      <c r="DX434" s="2"/>
      <c r="DY434" s="2"/>
      <c r="DZ434" s="2"/>
      <c r="EA434" s="2"/>
      <c r="EB434" s="2">
        <f t="shared" si="98"/>
        <v>534202.87885045528</v>
      </c>
      <c r="EC434" s="2"/>
      <c r="ED434" s="2"/>
      <c r="EE434" s="2">
        <f t="shared" si="99"/>
        <v>377205.65126901487</v>
      </c>
      <c r="EF434" s="2"/>
      <c r="EG434" s="2">
        <f t="shared" si="109"/>
        <v>484576.96935101849</v>
      </c>
      <c r="EH434" s="2"/>
      <c r="HW434" s="4"/>
      <c r="HX434" s="2"/>
      <c r="HY434" s="2"/>
      <c r="HZ434" s="2"/>
      <c r="IA434" s="2">
        <f t="shared" si="103"/>
        <v>475293.37828978803</v>
      </c>
      <c r="IB434" s="2">
        <f t="shared" si="104"/>
        <v>222259.25875981504</v>
      </c>
      <c r="IC434" s="2">
        <f t="shared" si="105"/>
        <v>211261.55747264888</v>
      </c>
      <c r="ID434" s="2">
        <f t="shared" si="106"/>
        <v>65064.114516400652</v>
      </c>
      <c r="IE434" s="2">
        <f t="shared" si="107"/>
        <v>203371.57126148834</v>
      </c>
      <c r="IF434" s="2">
        <f t="shared" si="108"/>
        <v>326212.21931479697</v>
      </c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  <c r="JY434" s="2"/>
      <c r="JZ434" s="2"/>
      <c r="KA434" s="2"/>
      <c r="KB434" s="2"/>
      <c r="KC434" s="2"/>
      <c r="KD434" s="2"/>
      <c r="KE434" s="2"/>
      <c r="KF434" s="2"/>
      <c r="KG434" s="2"/>
      <c r="KH434" s="2"/>
      <c r="KI434" s="2"/>
      <c r="KJ434" s="2"/>
      <c r="KK434" s="2"/>
      <c r="KL434" s="2"/>
      <c r="KM434" s="2"/>
      <c r="KN434" s="2"/>
      <c r="KO434" s="2"/>
      <c r="KP434" s="2"/>
      <c r="KQ434" s="2"/>
      <c r="KR434" s="2"/>
      <c r="KS434" s="2"/>
      <c r="KT434" s="2"/>
      <c r="KU434" s="2"/>
      <c r="KV434" s="2"/>
      <c r="KW434" s="2"/>
      <c r="KX434" s="2"/>
      <c r="KY434" s="2"/>
      <c r="KZ434" s="2"/>
      <c r="LA434" s="2"/>
      <c r="LB434" s="2"/>
      <c r="LC434" s="2"/>
      <c r="LD434" s="2"/>
      <c r="LE434" s="2"/>
      <c r="LF434" s="2"/>
      <c r="LG434" s="2"/>
      <c r="LH434" s="2"/>
      <c r="LI434" s="2"/>
      <c r="LJ434" s="2"/>
      <c r="LK434" s="2"/>
      <c r="LL434" s="2"/>
      <c r="LM434" s="2"/>
      <c r="LN434" s="2"/>
    </row>
    <row r="435" spans="1:333">
      <c r="A435" s="1">
        <v>1798</v>
      </c>
      <c r="K435" s="1">
        <f t="shared" si="93"/>
        <v>2809457.7746183896</v>
      </c>
      <c r="U435" s="1">
        <f t="shared" si="89"/>
        <v>5857522.7865488529</v>
      </c>
      <c r="AG435" s="1">
        <f t="shared" si="90"/>
        <v>659429.68898838235</v>
      </c>
      <c r="AT435" s="1">
        <f t="shared" si="91"/>
        <v>3483759.0926610478</v>
      </c>
      <c r="BC435" s="1">
        <f t="shared" si="94"/>
        <v>1970952.144688199</v>
      </c>
      <c r="BI435" s="4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>
        <f t="shared" si="95"/>
        <v>1318427.1446635034</v>
      </c>
      <c r="CU435" s="2"/>
      <c r="CV435" s="2"/>
      <c r="CW435" s="2"/>
      <c r="CX435" s="2">
        <f t="shared" si="96"/>
        <v>2398819.2717358498</v>
      </c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>
        <f t="shared" si="97"/>
        <v>3155368.8184274784</v>
      </c>
      <c r="DT435" s="2"/>
      <c r="DU435" s="2"/>
      <c r="DV435" s="2"/>
      <c r="DW435" s="2"/>
      <c r="DX435" s="2"/>
      <c r="DY435" s="2"/>
      <c r="DZ435" s="2"/>
      <c r="EA435" s="2"/>
      <c r="EB435" s="2">
        <f t="shared" si="98"/>
        <v>536873.89324470749</v>
      </c>
      <c r="EC435" s="2"/>
      <c r="ED435" s="2"/>
      <c r="EE435" s="2">
        <f t="shared" si="99"/>
        <v>379242.56178586755</v>
      </c>
      <c r="EF435" s="2"/>
      <c r="EG435" s="2">
        <f t="shared" si="109"/>
        <v>487290.60037938424</v>
      </c>
      <c r="EH435" s="2"/>
      <c r="HW435" s="4"/>
      <c r="HX435" s="2"/>
      <c r="HY435" s="2"/>
      <c r="HZ435" s="2"/>
      <c r="IA435" s="2">
        <f t="shared" si="103"/>
        <v>477955.02120821085</v>
      </c>
      <c r="IB435" s="2">
        <f t="shared" si="104"/>
        <v>223503.91060887001</v>
      </c>
      <c r="IC435" s="2">
        <f t="shared" si="105"/>
        <v>212444.62219449572</v>
      </c>
      <c r="ID435" s="2">
        <f t="shared" si="106"/>
        <v>65428.473557692501</v>
      </c>
      <c r="IE435" s="2">
        <f t="shared" si="107"/>
        <v>204510.45206055269</v>
      </c>
      <c r="IF435" s="2">
        <f t="shared" si="108"/>
        <v>328039.00774295983</v>
      </c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  <c r="JY435" s="2"/>
      <c r="JZ435" s="2"/>
      <c r="KA435" s="2"/>
      <c r="KB435" s="2"/>
      <c r="KC435" s="2"/>
      <c r="KD435" s="2"/>
      <c r="KE435" s="2"/>
      <c r="KF435" s="2"/>
      <c r="KG435" s="2"/>
      <c r="KH435" s="2"/>
      <c r="KI435" s="2"/>
      <c r="KJ435" s="2"/>
      <c r="KK435" s="2"/>
      <c r="KL435" s="2"/>
      <c r="KM435" s="2"/>
      <c r="KN435" s="2"/>
      <c r="KO435" s="2"/>
      <c r="KP435" s="2"/>
      <c r="KQ435" s="2"/>
      <c r="KR435" s="2"/>
      <c r="KS435" s="2"/>
      <c r="KT435" s="2"/>
      <c r="KU435" s="2"/>
      <c r="KV435" s="2"/>
      <c r="KW435" s="2"/>
      <c r="KX435" s="2"/>
      <c r="KY435" s="2"/>
      <c r="KZ435" s="2"/>
      <c r="LA435" s="2"/>
      <c r="LB435" s="2"/>
      <c r="LC435" s="2"/>
      <c r="LD435" s="2"/>
      <c r="LE435" s="2"/>
      <c r="LF435" s="2"/>
      <c r="LG435" s="2"/>
      <c r="LH435" s="2"/>
      <c r="LI435" s="2"/>
      <c r="LJ435" s="2"/>
      <c r="LK435" s="2"/>
      <c r="LL435" s="2"/>
      <c r="LM435" s="2"/>
      <c r="LN435" s="2"/>
    </row>
    <row r="436" spans="1:333">
      <c r="A436" s="1">
        <v>1799</v>
      </c>
      <c r="K436" s="1">
        <f t="shared" si="93"/>
        <v>2817886.1479422445</v>
      </c>
      <c r="U436" s="1">
        <f t="shared" si="89"/>
        <v>5891496.4187108362</v>
      </c>
      <c r="AG436" s="1">
        <f t="shared" si="90"/>
        <v>662067.40774433583</v>
      </c>
      <c r="AT436" s="1">
        <f t="shared" si="91"/>
        <v>3501526.2640336193</v>
      </c>
      <c r="BC436" s="1">
        <f t="shared" si="94"/>
        <v>1980609.8101971711</v>
      </c>
      <c r="BI436" s="4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>
        <f t="shared" si="95"/>
        <v>1325151.1231012873</v>
      </c>
      <c r="CU436" s="2"/>
      <c r="CV436" s="2"/>
      <c r="CW436" s="2"/>
      <c r="CX436" s="2">
        <f t="shared" si="96"/>
        <v>2411053.2500217031</v>
      </c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>
        <f t="shared" si="97"/>
        <v>3164834.9248827607</v>
      </c>
      <c r="DT436" s="2"/>
      <c r="DU436" s="2"/>
      <c r="DV436" s="2"/>
      <c r="DW436" s="2"/>
      <c r="DX436" s="2"/>
      <c r="DY436" s="2"/>
      <c r="DZ436" s="2"/>
      <c r="EA436" s="2"/>
      <c r="EB436" s="2">
        <f t="shared" si="98"/>
        <v>539558.26271093101</v>
      </c>
      <c r="EC436" s="2"/>
      <c r="ED436" s="2"/>
      <c r="EE436" s="2">
        <f t="shared" si="99"/>
        <v>381290.47161951126</v>
      </c>
      <c r="EF436" s="2"/>
      <c r="EG436" s="2">
        <f t="shared" si="109"/>
        <v>490019.42774150881</v>
      </c>
      <c r="EH436" s="2"/>
      <c r="FA436" s="1">
        <v>2533530</v>
      </c>
      <c r="FB436" s="1">
        <v>491980</v>
      </c>
      <c r="FC436" s="1">
        <v>372777</v>
      </c>
      <c r="FD436" s="1">
        <v>354063</v>
      </c>
      <c r="FE436" s="1">
        <v>360107</v>
      </c>
      <c r="FF436" s="1">
        <v>274826</v>
      </c>
      <c r="FG436" s="1">
        <v>283663</v>
      </c>
      <c r="FH436" s="1">
        <v>402793</v>
      </c>
      <c r="HW436" s="4"/>
      <c r="HX436" s="2"/>
      <c r="HY436" s="2"/>
      <c r="HZ436" s="2"/>
      <c r="IA436" s="2">
        <f t="shared" si="103"/>
        <v>480631.56932697684</v>
      </c>
      <c r="IB436" s="2">
        <f t="shared" si="104"/>
        <v>224755.53250827969</v>
      </c>
      <c r="IC436" s="2">
        <f t="shared" si="105"/>
        <v>213634.31207878492</v>
      </c>
      <c r="ID436" s="2">
        <f t="shared" si="106"/>
        <v>65794.873009615578</v>
      </c>
      <c r="IE436" s="2">
        <f t="shared" si="107"/>
        <v>205655.71059209181</v>
      </c>
      <c r="IF436" s="2">
        <f t="shared" si="108"/>
        <v>329876.02618632041</v>
      </c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  <c r="JY436" s="2"/>
      <c r="JZ436" s="2"/>
      <c r="KA436" s="2"/>
      <c r="KB436" s="2"/>
      <c r="KC436" s="2"/>
      <c r="KD436" s="2"/>
      <c r="KE436" s="2"/>
      <c r="KF436" s="2"/>
      <c r="KG436" s="2"/>
      <c r="KH436" s="2"/>
      <c r="KI436" s="2"/>
      <c r="KJ436" s="2"/>
      <c r="KK436" s="2"/>
      <c r="KL436" s="2"/>
      <c r="KM436" s="2"/>
      <c r="KN436" s="2"/>
      <c r="KO436" s="2"/>
      <c r="KP436" s="2"/>
      <c r="KQ436" s="2"/>
      <c r="KR436" s="2"/>
      <c r="KS436" s="2"/>
      <c r="KT436" s="2"/>
      <c r="KU436" s="2"/>
      <c r="KV436" s="2"/>
      <c r="KW436" s="2"/>
      <c r="KX436" s="2"/>
      <c r="KY436" s="2"/>
      <c r="KZ436" s="2"/>
      <c r="LA436" s="2"/>
      <c r="LB436" s="2"/>
      <c r="LC436" s="2"/>
      <c r="LD436" s="2"/>
      <c r="LE436" s="2"/>
      <c r="LF436" s="2"/>
      <c r="LG436" s="2"/>
      <c r="LH436" s="2"/>
      <c r="LI436" s="2"/>
      <c r="LJ436" s="2"/>
      <c r="LK436" s="2"/>
      <c r="LL436" s="2"/>
      <c r="LM436" s="2"/>
      <c r="LN436" s="2"/>
    </row>
    <row r="437" spans="1:333">
      <c r="A437" s="1">
        <v>1800</v>
      </c>
      <c r="K437" s="1">
        <f t="shared" si="93"/>
        <v>2826339.8063860708</v>
      </c>
      <c r="U437" s="1">
        <f t="shared" si="89"/>
        <v>5925667.097939359</v>
      </c>
      <c r="AG437" s="1">
        <f t="shared" si="90"/>
        <v>664715.67737531313</v>
      </c>
      <c r="AP437" s="1">
        <v>666328</v>
      </c>
      <c r="AT437" s="1">
        <f t="shared" si="91"/>
        <v>3519384.0479801912</v>
      </c>
      <c r="BC437" s="1">
        <f t="shared" si="94"/>
        <v>1990314.798267137</v>
      </c>
      <c r="BI437" s="4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>
        <f t="shared" si="95"/>
        <v>1331909.393829104</v>
      </c>
      <c r="CU437" s="2"/>
      <c r="CV437" s="2"/>
      <c r="CW437" s="2"/>
      <c r="CX437" s="2">
        <f t="shared" si="96"/>
        <v>2423349.6215968141</v>
      </c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>
        <f t="shared" si="97"/>
        <v>3174329.4296574085</v>
      </c>
      <c r="DT437" s="2"/>
      <c r="DU437" s="2"/>
      <c r="DV437" s="2"/>
      <c r="DW437" s="2"/>
      <c r="DX437" s="2"/>
      <c r="DY437" s="2"/>
      <c r="DZ437" s="2"/>
      <c r="EA437" s="2"/>
      <c r="EB437" s="2">
        <f t="shared" si="98"/>
        <v>542256.05402448564</v>
      </c>
      <c r="EC437" s="2"/>
      <c r="ED437" s="2"/>
      <c r="EE437" s="2">
        <f t="shared" si="99"/>
        <v>383349.44016625662</v>
      </c>
      <c r="EF437" s="2"/>
      <c r="EG437" s="2">
        <f t="shared" si="109"/>
        <v>492763.53653686127</v>
      </c>
      <c r="EH437" s="2"/>
      <c r="HW437" s="4"/>
      <c r="HX437" s="2"/>
      <c r="HY437" s="2"/>
      <c r="HZ437" s="2"/>
      <c r="IA437" s="2">
        <f t="shared" si="103"/>
        <v>483323.10611520795</v>
      </c>
      <c r="IB437" s="2">
        <f t="shared" si="104"/>
        <v>226014.16349032606</v>
      </c>
      <c r="IC437" s="2">
        <f t="shared" si="105"/>
        <v>214830.66422642613</v>
      </c>
      <c r="ID437" s="2">
        <f t="shared" si="106"/>
        <v>66163.324298469423</v>
      </c>
      <c r="IE437" s="2">
        <f t="shared" si="107"/>
        <v>206807.38257140754</v>
      </c>
      <c r="IF437" s="2">
        <f t="shared" si="108"/>
        <v>331723.3319329638</v>
      </c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  <c r="JY437" s="2"/>
      <c r="JZ437" s="2"/>
      <c r="KA437" s="2"/>
      <c r="KB437" s="2"/>
      <c r="KC437" s="2"/>
      <c r="KD437" s="2"/>
      <c r="KE437" s="2"/>
      <c r="KF437" s="2"/>
      <c r="KG437" s="2"/>
      <c r="KH437" s="2"/>
      <c r="KI437" s="2"/>
      <c r="KJ437" s="2"/>
      <c r="KK437" s="2"/>
      <c r="KL437" s="2"/>
      <c r="KM437" s="2"/>
      <c r="KN437" s="2"/>
      <c r="KO437" s="2"/>
      <c r="KP437" s="2"/>
      <c r="KQ437" s="2"/>
      <c r="KR437" s="2"/>
      <c r="KS437" s="2"/>
      <c r="KT437" s="2"/>
      <c r="KU437" s="2"/>
      <c r="KV437" s="2"/>
      <c r="KW437" s="2"/>
      <c r="KX437" s="2"/>
      <c r="KY437" s="2"/>
      <c r="KZ437" s="2"/>
      <c r="LA437" s="2"/>
      <c r="LB437" s="2"/>
      <c r="LC437" s="2"/>
      <c r="LD437" s="2"/>
      <c r="LE437" s="2"/>
      <c r="LF437" s="2"/>
      <c r="LG437" s="2"/>
      <c r="LH437" s="2"/>
      <c r="LI437" s="2"/>
      <c r="LJ437" s="2"/>
      <c r="LK437" s="2"/>
      <c r="LL437" s="2"/>
      <c r="LM437" s="2"/>
      <c r="LN437" s="2"/>
      <c r="LR437" s="1">
        <v>749957</v>
      </c>
      <c r="LU437" s="1">
        <v>2298960</v>
      </c>
    </row>
    <row r="438" spans="1:333">
      <c r="A438" s="1">
        <v>1801</v>
      </c>
      <c r="K438" s="1">
        <f t="shared" si="93"/>
        <v>2834818.8258052287</v>
      </c>
      <c r="U438" s="1">
        <f t="shared" si="89"/>
        <v>5960035.9671074077</v>
      </c>
      <c r="AG438" s="1">
        <f t="shared" si="90"/>
        <v>667374.54008481442</v>
      </c>
      <c r="AT438" s="1">
        <f t="shared" si="91"/>
        <v>3537332.9066248904</v>
      </c>
      <c r="BC438" s="1">
        <f t="shared" si="94"/>
        <v>2000067.3407786458</v>
      </c>
      <c r="BI438" s="4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>
        <f t="shared" si="95"/>
        <v>1338702.1317376327</v>
      </c>
      <c r="CU438" s="2"/>
      <c r="CV438" s="2"/>
      <c r="CW438" s="2"/>
      <c r="CX438" s="2">
        <f t="shared" si="96"/>
        <v>2435708.7046669582</v>
      </c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>
        <f t="shared" si="97"/>
        <v>3183852.4179463806</v>
      </c>
      <c r="DT438" s="2"/>
      <c r="DU438" s="2"/>
      <c r="DV438" s="2"/>
      <c r="DW438" s="2"/>
      <c r="DX438" s="2"/>
      <c r="DY438" s="2"/>
      <c r="DZ438" s="2"/>
      <c r="EA438" s="2"/>
      <c r="EB438" s="2">
        <f t="shared" si="98"/>
        <v>544967.33429460798</v>
      </c>
      <c r="EC438" s="2"/>
      <c r="ED438" s="2"/>
      <c r="EE438" s="2">
        <f t="shared" si="99"/>
        <v>385419.52714315441</v>
      </c>
      <c r="EF438" s="2"/>
      <c r="EG438" s="2">
        <f t="shared" si="109"/>
        <v>495523.01234146772</v>
      </c>
      <c r="EH438" s="2"/>
      <c r="HW438" s="4"/>
      <c r="HX438" s="2"/>
      <c r="HY438" s="2"/>
      <c r="HZ438" s="2"/>
      <c r="IA438" s="2">
        <f t="shared" si="103"/>
        <v>486029.71550945315</v>
      </c>
      <c r="IB438" s="2">
        <f t="shared" si="104"/>
        <v>227279.84280587189</v>
      </c>
      <c r="IC438" s="2">
        <f t="shared" si="105"/>
        <v>216033.71594609413</v>
      </c>
      <c r="ID438" s="2">
        <f t="shared" si="106"/>
        <v>66533.838914540858</v>
      </c>
      <c r="IE438" s="2">
        <f t="shared" si="107"/>
        <v>207965.50391380742</v>
      </c>
      <c r="IF438" s="2">
        <f t="shared" si="108"/>
        <v>333580.9825917884</v>
      </c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  <c r="JY438" s="2"/>
      <c r="JZ438" s="2"/>
      <c r="KA438" s="2"/>
      <c r="KB438" s="2"/>
      <c r="KC438" s="2"/>
      <c r="KD438" s="2"/>
      <c r="KE438" s="2"/>
      <c r="KF438" s="2"/>
      <c r="KG438" s="2"/>
      <c r="KH438" s="2"/>
      <c r="KI438" s="2"/>
      <c r="KJ438" s="2"/>
      <c r="KK438" s="2"/>
      <c r="KL438" s="2"/>
      <c r="KM438" s="2"/>
      <c r="KN438" s="2"/>
      <c r="KO438" s="2"/>
      <c r="KP438" s="2"/>
      <c r="KQ438" s="2"/>
      <c r="KR438" s="2"/>
      <c r="KS438" s="2"/>
      <c r="KT438" s="2"/>
      <c r="KU438" s="2"/>
      <c r="KV438" s="2"/>
      <c r="KW438" s="2"/>
      <c r="KX438" s="2"/>
      <c r="KY438" s="2"/>
      <c r="KZ438" s="2"/>
      <c r="LA438" s="2"/>
      <c r="LB438" s="2"/>
      <c r="LC438" s="2"/>
      <c r="LD438" s="2"/>
      <c r="LE438" s="2"/>
      <c r="LF438" s="2"/>
      <c r="LG438" s="2"/>
      <c r="LH438" s="2"/>
      <c r="LI438" s="2"/>
      <c r="LJ438" s="2"/>
      <c r="LK438" s="2"/>
      <c r="LL438" s="2"/>
      <c r="LM438" s="2"/>
      <c r="LN438" s="2"/>
    </row>
    <row r="439" spans="1:333">
      <c r="A439" s="1">
        <v>1802</v>
      </c>
      <c r="K439" s="1">
        <f t="shared" si="93"/>
        <v>2843323.282282644</v>
      </c>
      <c r="U439" s="1">
        <f t="shared" si="89"/>
        <v>5994604.1757166311</v>
      </c>
      <c r="AG439" s="1">
        <f t="shared" si="90"/>
        <v>670044.03824515373</v>
      </c>
      <c r="AT439" s="1">
        <f t="shared" si="91"/>
        <v>3555373.3044486777</v>
      </c>
      <c r="BC439" s="1">
        <f t="shared" si="94"/>
        <v>2009867.670748461</v>
      </c>
      <c r="BI439" s="4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>
        <f t="shared" si="95"/>
        <v>1345529.5126094949</v>
      </c>
      <c r="CU439" s="2"/>
      <c r="CV439" s="2"/>
      <c r="CW439" s="2"/>
      <c r="CX439" s="2">
        <f t="shared" si="96"/>
        <v>2448130.8190607601</v>
      </c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>
        <f t="shared" si="97"/>
        <v>3193403.9752002195</v>
      </c>
      <c r="DT439" s="2"/>
      <c r="DU439" s="2"/>
      <c r="DV439" s="2"/>
      <c r="DW439" s="2"/>
      <c r="DX439" s="2"/>
      <c r="DY439" s="2"/>
      <c r="DZ439" s="2"/>
      <c r="EA439" s="2"/>
      <c r="EB439" s="2">
        <f t="shared" si="98"/>
        <v>547692.17096608097</v>
      </c>
      <c r="EC439" s="2"/>
      <c r="ED439" s="2"/>
      <c r="EE439" s="2">
        <f t="shared" si="99"/>
        <v>387500.7925897275</v>
      </c>
      <c r="EF439" s="2"/>
      <c r="EG439" s="2">
        <f t="shared" si="109"/>
        <v>498297.94121057994</v>
      </c>
      <c r="EH439" s="2"/>
      <c r="HW439" s="4"/>
      <c r="HX439" s="2"/>
      <c r="HY439" s="2"/>
      <c r="HZ439" s="2"/>
      <c r="IA439" s="2">
        <f t="shared" si="103"/>
        <v>488751.48191630613</v>
      </c>
      <c r="IB439" s="2">
        <f t="shared" si="104"/>
        <v>228552.60992558478</v>
      </c>
      <c r="IC439" s="2">
        <f t="shared" si="105"/>
        <v>217243.50475539226</v>
      </c>
      <c r="ID439" s="2">
        <f t="shared" si="106"/>
        <v>66906.428412462294</v>
      </c>
      <c r="IE439" s="2">
        <f t="shared" si="107"/>
        <v>209130.11073572474</v>
      </c>
      <c r="IF439" s="2">
        <f t="shared" si="108"/>
        <v>335449.03609430243</v>
      </c>
      <c r="IG439" s="2"/>
      <c r="IH439" s="2"/>
      <c r="II439" s="2"/>
      <c r="IJ439" s="2">
        <v>243774</v>
      </c>
      <c r="IK439" s="2">
        <v>264048</v>
      </c>
      <c r="IL439" s="2">
        <v>1029228</v>
      </c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  <c r="JY439" s="2"/>
      <c r="JZ439" s="2"/>
      <c r="KA439" s="2"/>
      <c r="KB439" s="2"/>
      <c r="KC439" s="2"/>
      <c r="KD439" s="2"/>
      <c r="KE439" s="2"/>
      <c r="KF439" s="2"/>
      <c r="KG439" s="2"/>
      <c r="KH439" s="2"/>
      <c r="KI439" s="2"/>
      <c r="KJ439" s="2"/>
      <c r="KK439" s="2"/>
      <c r="KL439" s="2"/>
      <c r="KM439" s="2"/>
      <c r="KN439" s="2"/>
      <c r="KO439" s="2"/>
      <c r="KP439" s="2"/>
      <c r="KQ439" s="2"/>
      <c r="KR439" s="2"/>
      <c r="KS439" s="2"/>
      <c r="KT439" s="2"/>
      <c r="KU439" s="2"/>
      <c r="KV439" s="2"/>
      <c r="KW439" s="2"/>
      <c r="KX439" s="2"/>
      <c r="KY439" s="2"/>
      <c r="KZ439" s="2"/>
      <c r="LA439" s="2"/>
      <c r="LB439" s="2"/>
      <c r="LC439" s="2"/>
      <c r="LD439" s="2"/>
      <c r="LE439" s="2"/>
      <c r="LF439" s="2"/>
      <c r="LG439" s="2"/>
      <c r="LH439" s="2"/>
      <c r="LI439" s="2"/>
      <c r="LJ439" s="2"/>
      <c r="LK439" s="2"/>
      <c r="LL439" s="2"/>
      <c r="LM439" s="2"/>
      <c r="LN439" s="2"/>
    </row>
    <row r="440" spans="1:333">
      <c r="A440" s="1">
        <v>1803</v>
      </c>
      <c r="K440" s="1">
        <f t="shared" si="93"/>
        <v>2851853.2521294914</v>
      </c>
      <c r="U440" s="1">
        <f t="shared" si="89"/>
        <v>6029372.879935788</v>
      </c>
      <c r="AG440" s="1">
        <f t="shared" si="90"/>
        <v>672724.21439813438</v>
      </c>
      <c r="AT440" s="1">
        <f t="shared" si="91"/>
        <v>3573505.7083013663</v>
      </c>
      <c r="BC440" s="1">
        <f t="shared" si="94"/>
        <v>2019716.0223351284</v>
      </c>
      <c r="BI440" s="4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>
        <f t="shared" si="95"/>
        <v>1352391.7131238035</v>
      </c>
      <c r="CU440" s="2"/>
      <c r="CV440" s="2"/>
      <c r="CW440" s="2"/>
      <c r="CX440" s="2">
        <f t="shared" si="96"/>
        <v>2460616.28623797</v>
      </c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>
        <f t="shared" si="97"/>
        <v>3202984.1871258197</v>
      </c>
      <c r="DT440" s="2"/>
      <c r="DU440" s="2"/>
      <c r="DV440" s="2"/>
      <c r="DW440" s="2"/>
      <c r="DX440" s="2"/>
      <c r="DY440" s="2"/>
      <c r="DZ440" s="2"/>
      <c r="EA440" s="2"/>
      <c r="EB440" s="2">
        <f t="shared" si="98"/>
        <v>550430.63182091131</v>
      </c>
      <c r="EC440" s="2"/>
      <c r="ED440" s="2"/>
      <c r="EE440" s="2">
        <f t="shared" si="99"/>
        <v>389593.29686971207</v>
      </c>
      <c r="EF440" s="2"/>
      <c r="EG440" s="2">
        <f t="shared" si="109"/>
        <v>501088.40968135919</v>
      </c>
      <c r="EH440" s="2"/>
      <c r="HW440" s="4"/>
      <c r="HX440" s="2"/>
      <c r="HY440" s="2"/>
      <c r="HZ440" s="2"/>
      <c r="IA440" s="2">
        <f>IA439*1.0025</f>
        <v>489973.36062109686</v>
      </c>
      <c r="IB440" s="2">
        <f t="shared" ref="IB440:IF440" si="110">IB439*1.0025</f>
        <v>229123.99145039872</v>
      </c>
      <c r="IC440" s="2">
        <f t="shared" si="110"/>
        <v>217786.61351728073</v>
      </c>
      <c r="ID440" s="2">
        <f t="shared" si="110"/>
        <v>67073.69448349344</v>
      </c>
      <c r="IE440" s="2">
        <f t="shared" si="110"/>
        <v>209652.93601256405</v>
      </c>
      <c r="IF440" s="2">
        <f t="shared" si="110"/>
        <v>336287.65868453815</v>
      </c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  <c r="JY440" s="2"/>
      <c r="JZ440" s="2"/>
      <c r="KA440" s="2"/>
      <c r="KB440" s="2"/>
      <c r="KC440" s="2"/>
      <c r="KD440" s="2"/>
      <c r="KE440" s="2"/>
      <c r="KF440" s="2"/>
      <c r="KG440" s="2"/>
      <c r="KH440" s="2"/>
      <c r="KI440" s="2"/>
      <c r="KJ440" s="2"/>
      <c r="KK440" s="2"/>
      <c r="KL440" s="2"/>
      <c r="KM440" s="2"/>
      <c r="KN440" s="2"/>
      <c r="KO440" s="2"/>
      <c r="KP440" s="2"/>
      <c r="KQ440" s="2"/>
      <c r="KR440" s="2"/>
      <c r="KS440" s="2"/>
      <c r="KT440" s="2"/>
      <c r="KU440" s="2"/>
      <c r="KV440" s="2"/>
      <c r="KW440" s="2"/>
      <c r="KX440" s="2"/>
      <c r="KY440" s="2"/>
      <c r="KZ440" s="2"/>
      <c r="LA440" s="2"/>
      <c r="LB440" s="2"/>
      <c r="LC440" s="2"/>
      <c r="LD440" s="2"/>
      <c r="LE440" s="2"/>
      <c r="LF440" s="2"/>
      <c r="LG440" s="2"/>
      <c r="LH440" s="2"/>
      <c r="LI440" s="2"/>
      <c r="LJ440" s="2"/>
      <c r="LK440" s="2"/>
      <c r="LL440" s="2"/>
      <c r="LM440" s="2"/>
      <c r="LN440" s="2"/>
    </row>
    <row r="441" spans="1:333">
      <c r="A441" s="1">
        <v>1804</v>
      </c>
      <c r="K441" s="1">
        <f t="shared" si="93"/>
        <v>2860408.8118858794</v>
      </c>
      <c r="U441" s="1">
        <f t="shared" si="89"/>
        <v>6064343.2426394159</v>
      </c>
      <c r="AG441" s="1">
        <f t="shared" si="90"/>
        <v>675415.11125572689</v>
      </c>
      <c r="AT441" s="1">
        <f t="shared" si="91"/>
        <v>3591730.5874137036</v>
      </c>
      <c r="BC441" s="1">
        <f t="shared" si="94"/>
        <v>2029612.6308445702</v>
      </c>
      <c r="BI441" s="4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>
        <f t="shared" si="95"/>
        <v>1359288.910860735</v>
      </c>
      <c r="CU441" s="2"/>
      <c r="CV441" s="2"/>
      <c r="CW441" s="2"/>
      <c r="CX441" s="2">
        <f t="shared" si="96"/>
        <v>2473165.4292977839</v>
      </c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>
        <f t="shared" si="97"/>
        <v>3212593.1396871968</v>
      </c>
      <c r="DT441" s="2"/>
      <c r="DU441" s="2"/>
      <c r="DV441" s="2"/>
      <c r="DW441" s="2"/>
      <c r="DX441" s="2"/>
      <c r="DY441" s="2"/>
      <c r="DZ441" s="2"/>
      <c r="EA441" s="2"/>
      <c r="EB441" s="2">
        <f t="shared" si="98"/>
        <v>553182.78498001583</v>
      </c>
      <c r="EC441" s="2"/>
      <c r="ED441" s="2"/>
      <c r="EE441" s="2">
        <f t="shared" si="99"/>
        <v>391697.10067280853</v>
      </c>
      <c r="EF441" s="2"/>
      <c r="EG441" s="2">
        <f t="shared" si="109"/>
        <v>503894.50477557484</v>
      </c>
      <c r="EH441" s="2"/>
      <c r="HW441" s="4"/>
      <c r="HX441" s="2"/>
      <c r="HY441" s="2"/>
      <c r="HZ441" s="2"/>
      <c r="IA441" s="2">
        <f t="shared" ref="IA441:IA458" si="111">IA440*1.0025</f>
        <v>491198.29402264958</v>
      </c>
      <c r="IB441" s="2">
        <f t="shared" ref="IB441:IB458" si="112">IB440*1.0025</f>
        <v>229696.80142902472</v>
      </c>
      <c r="IC441" s="2">
        <f t="shared" ref="IC441:IC458" si="113">IC440*1.0025</f>
        <v>218331.08005107392</v>
      </c>
      <c r="ID441" s="2">
        <f t="shared" ref="ID441:ID458" si="114">ID440*1.0025</f>
        <v>67241.378719702174</v>
      </c>
      <c r="IE441" s="2">
        <f t="shared" ref="IE441:IE458" si="115">IE440*1.0025</f>
        <v>210177.06835259544</v>
      </c>
      <c r="IF441" s="2">
        <f t="shared" ref="IF441:IF458" si="116">IF440*1.0025</f>
        <v>337128.3778312495</v>
      </c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  <c r="JY441" s="2"/>
      <c r="JZ441" s="2"/>
      <c r="KA441" s="2"/>
      <c r="KB441" s="2"/>
      <c r="KC441" s="2"/>
      <c r="KD441" s="2"/>
      <c r="KE441" s="2"/>
      <c r="KF441" s="2"/>
      <c r="KG441" s="2"/>
      <c r="KH441" s="2"/>
      <c r="KI441" s="2"/>
      <c r="KJ441" s="2"/>
      <c r="KK441" s="2"/>
      <c r="KL441" s="2"/>
      <c r="KM441" s="2"/>
      <c r="KN441" s="2"/>
      <c r="KO441" s="2"/>
      <c r="KP441" s="2"/>
      <c r="KQ441" s="2"/>
      <c r="KR441" s="2"/>
      <c r="KS441" s="2"/>
      <c r="KT441" s="2"/>
      <c r="KU441" s="2"/>
      <c r="KV441" s="2"/>
      <c r="KW441" s="2"/>
      <c r="KX441" s="2"/>
      <c r="KY441" s="2"/>
      <c r="KZ441" s="2"/>
      <c r="LA441" s="2"/>
      <c r="LB441" s="2"/>
      <c r="LC441" s="2"/>
      <c r="LD441" s="2"/>
      <c r="LE441" s="2"/>
      <c r="LF441" s="2"/>
      <c r="LG441" s="2"/>
      <c r="LH441" s="2"/>
      <c r="LI441" s="2"/>
      <c r="LJ441" s="2"/>
      <c r="LK441" s="2"/>
      <c r="LL441" s="2"/>
      <c r="LM441" s="2"/>
      <c r="LN441" s="2"/>
    </row>
    <row r="442" spans="1:333">
      <c r="A442" s="1">
        <v>1805</v>
      </c>
      <c r="K442" s="1">
        <f t="shared" si="93"/>
        <v>2868990.0383215365</v>
      </c>
      <c r="U442" s="1">
        <f t="shared" si="89"/>
        <v>6099516.4334467249</v>
      </c>
      <c r="AG442" s="1">
        <f t="shared" si="90"/>
        <v>678116.77170074976</v>
      </c>
      <c r="AT442" s="1">
        <f t="shared" si="91"/>
        <v>3610048.4134095139</v>
      </c>
      <c r="BC442" s="1">
        <f t="shared" si="94"/>
        <v>2039557.7327357084</v>
      </c>
      <c r="BI442" s="4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>
        <f t="shared" si="95"/>
        <v>1366221.2843061248</v>
      </c>
      <c r="CU442" s="2"/>
      <c r="CV442" s="2"/>
      <c r="CW442" s="2"/>
      <c r="CX442" s="2">
        <f t="shared" si="96"/>
        <v>2485778.572987203</v>
      </c>
      <c r="CY442" s="2"/>
      <c r="CZ442" s="2"/>
      <c r="DA442" s="2"/>
      <c r="DB442" s="2"/>
      <c r="DC442" s="2"/>
      <c r="DD442" s="2"/>
      <c r="DE442" s="2">
        <v>316575</v>
      </c>
      <c r="DF442" s="2">
        <v>1300000</v>
      </c>
      <c r="DG442" s="2">
        <v>503040</v>
      </c>
      <c r="DH442" s="2">
        <v>525365</v>
      </c>
      <c r="DI442" s="2">
        <v>301412</v>
      </c>
      <c r="DJ442" s="2">
        <v>260000</v>
      </c>
      <c r="DK442" s="2">
        <v>272677</v>
      </c>
      <c r="DL442" s="2"/>
      <c r="DM442" s="2"/>
      <c r="DN442" s="2"/>
      <c r="DO442" s="2"/>
      <c r="DP442" s="2"/>
      <c r="DQ442" s="2"/>
      <c r="DR442" s="2"/>
      <c r="DS442" s="2">
        <f t="shared" si="97"/>
        <v>3222230.9191062581</v>
      </c>
      <c r="DT442" s="2"/>
      <c r="DU442" s="2"/>
      <c r="DV442" s="2"/>
      <c r="DW442" s="2"/>
      <c r="DX442" s="2"/>
      <c r="DY442" s="2"/>
      <c r="DZ442" s="2"/>
      <c r="EA442" s="2"/>
      <c r="EB442" s="2">
        <f t="shared" si="98"/>
        <v>555948.69890491583</v>
      </c>
      <c r="EC442" s="2"/>
      <c r="ED442" s="2"/>
      <c r="EE442" s="2">
        <f t="shared" si="99"/>
        <v>393812.2650164417</v>
      </c>
      <c r="EF442" s="2"/>
      <c r="EG442" s="2">
        <f t="shared" si="109"/>
        <v>506716.31400231807</v>
      </c>
      <c r="EH442" s="2"/>
      <c r="HW442" s="4"/>
      <c r="HX442" s="2"/>
      <c r="HY442" s="2"/>
      <c r="HZ442" s="2"/>
      <c r="IA442" s="2">
        <f t="shared" si="111"/>
        <v>492426.28975770617</v>
      </c>
      <c r="IB442" s="2">
        <f t="shared" si="112"/>
        <v>230271.04343259727</v>
      </c>
      <c r="IC442" s="2">
        <f t="shared" si="113"/>
        <v>218876.90775120159</v>
      </c>
      <c r="ID442" s="2">
        <f t="shared" si="114"/>
        <v>67409.482166501431</v>
      </c>
      <c r="IE442" s="2">
        <f t="shared" si="115"/>
        <v>210702.51102347692</v>
      </c>
      <c r="IF442" s="2">
        <f t="shared" si="116"/>
        <v>337971.19877582759</v>
      </c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  <c r="JY442" s="2"/>
      <c r="JZ442" s="2"/>
      <c r="KA442" s="2"/>
      <c r="KB442" s="2"/>
      <c r="KC442" s="2"/>
      <c r="KD442" s="2"/>
      <c r="KE442" s="2"/>
      <c r="KF442" s="2"/>
      <c r="KG442" s="2"/>
      <c r="KH442" s="2"/>
      <c r="KI442" s="2"/>
      <c r="KJ442" s="2"/>
      <c r="KK442" s="2"/>
      <c r="KL442" s="2"/>
      <c r="KM442" s="2"/>
      <c r="KN442" s="2"/>
      <c r="KO442" s="2"/>
      <c r="KP442" s="2"/>
      <c r="KQ442" s="2"/>
      <c r="KR442" s="2"/>
      <c r="KS442" s="2"/>
      <c r="KT442" s="2"/>
      <c r="KU442" s="2"/>
      <c r="KV442" s="2"/>
      <c r="KW442" s="2"/>
      <c r="KX442" s="2"/>
      <c r="KY442" s="2"/>
      <c r="KZ442" s="2"/>
      <c r="LA442" s="2"/>
      <c r="LB442" s="2"/>
      <c r="LC442" s="2"/>
      <c r="LD442" s="2"/>
      <c r="LE442" s="2"/>
      <c r="LF442" s="2"/>
      <c r="LG442" s="2"/>
      <c r="LH442" s="2"/>
      <c r="LI442" s="2"/>
      <c r="LJ442" s="2"/>
      <c r="LK442" s="2"/>
      <c r="LL442" s="2"/>
      <c r="LM442" s="2"/>
      <c r="LN442" s="2"/>
    </row>
    <row r="443" spans="1:333">
      <c r="A443" s="1">
        <v>1806</v>
      </c>
      <c r="K443" s="1">
        <f t="shared" si="93"/>
        <v>2877597.008436501</v>
      </c>
      <c r="U443" s="1">
        <f t="shared" si="89"/>
        <v>6134893.6287607159</v>
      </c>
      <c r="AG443" s="1">
        <f t="shared" si="90"/>
        <v>680829.23878755281</v>
      </c>
      <c r="AT443" s="1">
        <f t="shared" si="91"/>
        <v>3628459.6603179029</v>
      </c>
      <c r="BC443" s="1">
        <f t="shared" si="94"/>
        <v>2049551.5656261132</v>
      </c>
      <c r="BI443" s="4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>
        <f t="shared" si="95"/>
        <v>1373189.0128560863</v>
      </c>
      <c r="CU443" s="2"/>
      <c r="CV443" s="2"/>
      <c r="CW443" s="2"/>
      <c r="CX443" s="2">
        <f t="shared" si="96"/>
        <v>2498456.0437094378</v>
      </c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>
        <f t="shared" si="97"/>
        <v>3231897.6118635763</v>
      </c>
      <c r="DT443" s="2"/>
      <c r="DU443" s="2"/>
      <c r="DV443" s="2"/>
      <c r="DW443" s="2"/>
      <c r="DX443" s="2"/>
      <c r="DY443" s="2"/>
      <c r="DZ443" s="2"/>
      <c r="EA443" s="2"/>
      <c r="EB443" s="2">
        <f t="shared" si="98"/>
        <v>558728.44239944033</v>
      </c>
      <c r="EC443" s="2"/>
      <c r="ED443" s="2"/>
      <c r="EE443" s="2">
        <f t="shared" si="99"/>
        <v>395938.85124753049</v>
      </c>
      <c r="EF443" s="2"/>
      <c r="EG443" s="2">
        <f t="shared" si="109"/>
        <v>509553.92536073108</v>
      </c>
      <c r="EH443" s="2"/>
      <c r="HW443" s="4"/>
      <c r="HX443" s="2"/>
      <c r="HY443" s="2"/>
      <c r="HZ443" s="2"/>
      <c r="IA443" s="2">
        <f t="shared" si="111"/>
        <v>493657.35548210039</v>
      </c>
      <c r="IB443" s="2">
        <f t="shared" si="112"/>
        <v>230846.72104117877</v>
      </c>
      <c r="IC443" s="2">
        <f t="shared" si="113"/>
        <v>219424.10002057959</v>
      </c>
      <c r="ID443" s="2">
        <f t="shared" si="114"/>
        <v>67578.005871917689</v>
      </c>
      <c r="IE443" s="2">
        <f t="shared" si="115"/>
        <v>211229.26730103561</v>
      </c>
      <c r="IF443" s="2">
        <f t="shared" si="116"/>
        <v>338816.12677276717</v>
      </c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  <c r="JY443" s="2"/>
      <c r="JZ443" s="2"/>
      <c r="KA443" s="2"/>
      <c r="KB443" s="2"/>
      <c r="KC443" s="2"/>
      <c r="KD443" s="2"/>
      <c r="KE443" s="2"/>
      <c r="KF443" s="2"/>
      <c r="KG443" s="2"/>
      <c r="KH443" s="2"/>
      <c r="KI443" s="2"/>
      <c r="KJ443" s="2"/>
      <c r="KK443" s="2"/>
      <c r="KL443" s="2"/>
      <c r="KM443" s="2"/>
      <c r="KN443" s="2"/>
      <c r="KO443" s="2"/>
      <c r="KP443" s="2"/>
      <c r="KQ443" s="2"/>
      <c r="KR443" s="2"/>
      <c r="KS443" s="2"/>
      <c r="KT443" s="2"/>
      <c r="KU443" s="2"/>
      <c r="KV443" s="2"/>
      <c r="KW443" s="2"/>
      <c r="KX443" s="2"/>
      <c r="KY443" s="2"/>
      <c r="KZ443" s="2"/>
      <c r="LA443" s="2"/>
      <c r="LB443" s="2"/>
      <c r="LC443" s="2"/>
      <c r="LD443" s="2"/>
      <c r="LE443" s="2"/>
      <c r="LF443" s="2"/>
      <c r="LG443" s="2"/>
      <c r="LH443" s="2"/>
      <c r="LI443" s="2"/>
      <c r="LJ443" s="2"/>
      <c r="LK443" s="2"/>
      <c r="LL443" s="2"/>
      <c r="LM443" s="2"/>
      <c r="LN443" s="2"/>
    </row>
    <row r="444" spans="1:333">
      <c r="A444" s="1">
        <v>1807</v>
      </c>
      <c r="K444" s="1">
        <f t="shared" si="93"/>
        <v>2886229.7994618104</v>
      </c>
      <c r="U444" s="1">
        <f t="shared" si="89"/>
        <v>6170476.0118075283</v>
      </c>
      <c r="AG444" s="1">
        <f t="shared" si="90"/>
        <v>683552.55574270303</v>
      </c>
      <c r="AT444" s="1">
        <f t="shared" si="91"/>
        <v>3646964.8045855244</v>
      </c>
      <c r="BC444" s="1">
        <f t="shared" si="94"/>
        <v>2059594.368297681</v>
      </c>
      <c r="BI444" s="4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>
        <f t="shared" si="95"/>
        <v>1380192.2768216524</v>
      </c>
      <c r="CU444" s="2"/>
      <c r="CV444" s="2"/>
      <c r="CW444" s="2"/>
      <c r="CX444" s="2">
        <f t="shared" si="96"/>
        <v>2511198.1695323563</v>
      </c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>
        <f t="shared" si="97"/>
        <v>3241593.3046991667</v>
      </c>
      <c r="DT444" s="2"/>
      <c r="DU444" s="2"/>
      <c r="DV444" s="2"/>
      <c r="DW444" s="2"/>
      <c r="DX444" s="2"/>
      <c r="DY444" s="2"/>
      <c r="DZ444" s="2"/>
      <c r="EA444" s="2"/>
      <c r="EB444" s="2">
        <f t="shared" si="98"/>
        <v>561522.08461143752</v>
      </c>
      <c r="EC444" s="2"/>
      <c r="ED444" s="2"/>
      <c r="EE444" s="2">
        <f t="shared" si="99"/>
        <v>398076.92104426719</v>
      </c>
      <c r="EF444" s="2"/>
      <c r="EG444" s="2">
        <f t="shared" si="109"/>
        <v>512407.42734275118</v>
      </c>
      <c r="EH444" s="2"/>
      <c r="HW444" s="4"/>
      <c r="HX444" s="2"/>
      <c r="HY444" s="2"/>
      <c r="HZ444" s="2"/>
      <c r="IA444" s="2">
        <f t="shared" si="111"/>
        <v>494891.4988708056</v>
      </c>
      <c r="IB444" s="2">
        <f t="shared" si="112"/>
        <v>231423.83784378172</v>
      </c>
      <c r="IC444" s="2">
        <f t="shared" si="113"/>
        <v>219972.66027063102</v>
      </c>
      <c r="ID444" s="2">
        <f t="shared" si="114"/>
        <v>67746.950886597479</v>
      </c>
      <c r="IE444" s="2">
        <f t="shared" si="115"/>
        <v>211757.34046928817</v>
      </c>
      <c r="IF444" s="2">
        <f t="shared" si="116"/>
        <v>339663.16708969907</v>
      </c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  <c r="JY444" s="2"/>
      <c r="JZ444" s="2"/>
      <c r="KA444" s="2"/>
      <c r="KB444" s="2"/>
      <c r="KC444" s="2"/>
      <c r="KD444" s="2"/>
      <c r="KE444" s="2"/>
      <c r="KF444" s="2"/>
      <c r="KG444" s="2"/>
      <c r="KH444" s="2"/>
      <c r="KI444" s="2"/>
      <c r="KJ444" s="2"/>
      <c r="KK444" s="2"/>
      <c r="KL444" s="2"/>
      <c r="KM444" s="2"/>
      <c r="KN444" s="2"/>
      <c r="KO444" s="2"/>
      <c r="KP444" s="2"/>
      <c r="KQ444" s="2"/>
      <c r="KR444" s="2"/>
      <c r="KS444" s="2"/>
      <c r="KT444" s="2"/>
      <c r="KU444" s="2"/>
      <c r="KV444" s="2"/>
      <c r="KW444" s="2"/>
      <c r="KX444" s="2"/>
      <c r="KY444" s="2"/>
      <c r="KZ444" s="2"/>
      <c r="LA444" s="2"/>
      <c r="LB444" s="2"/>
      <c r="LC444" s="2"/>
      <c r="LD444" s="2"/>
      <c r="LE444" s="2"/>
      <c r="LF444" s="2"/>
      <c r="LG444" s="2"/>
      <c r="LH444" s="2"/>
      <c r="LI444" s="2"/>
      <c r="LJ444" s="2"/>
      <c r="LK444" s="2"/>
      <c r="LL444" s="2"/>
      <c r="LM444" s="2"/>
      <c r="LN444" s="2"/>
    </row>
    <row r="445" spans="1:333">
      <c r="A445" s="1">
        <v>1808</v>
      </c>
      <c r="K445" s="1">
        <f t="shared" si="93"/>
        <v>2894888.4888601955</v>
      </c>
      <c r="U445" s="1">
        <f>U444*1.0058</f>
        <v>6206264.7726760125</v>
      </c>
      <c r="AG445" s="1">
        <f t="shared" si="90"/>
        <v>686286.76596567384</v>
      </c>
      <c r="AT445" s="1">
        <f t="shared" si="91"/>
        <v>3665564.3250889108</v>
      </c>
      <c r="BC445" s="1">
        <f t="shared" si="94"/>
        <v>2069686.3807023393</v>
      </c>
      <c r="BI445" s="4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>
        <f t="shared" si="95"/>
        <v>1387231.2574334431</v>
      </c>
      <c r="CU445" s="2"/>
      <c r="CV445" s="2"/>
      <c r="CW445" s="2"/>
      <c r="CX445" s="2">
        <f t="shared" si="96"/>
        <v>2524005.2801969717</v>
      </c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>
        <f t="shared" si="97"/>
        <v>3251318.0846132636</v>
      </c>
      <c r="DT445" s="2"/>
      <c r="DU445" s="2"/>
      <c r="DV445" s="2"/>
      <c r="DW445" s="2"/>
      <c r="DX445" s="2"/>
      <c r="DY445" s="2"/>
      <c r="DZ445" s="2"/>
      <c r="EA445" s="2"/>
      <c r="EB445" s="2">
        <f t="shared" si="98"/>
        <v>564329.69503449462</v>
      </c>
      <c r="EC445" s="2"/>
      <c r="ED445" s="2"/>
      <c r="EE445" s="2">
        <f t="shared" si="99"/>
        <v>400226.53641790629</v>
      </c>
      <c r="EF445" s="2"/>
      <c r="EG445" s="2">
        <f t="shared" si="109"/>
        <v>515276.90893587063</v>
      </c>
      <c r="EH445" s="2"/>
      <c r="HW445" s="4"/>
      <c r="HX445" s="2"/>
      <c r="HY445" s="2"/>
      <c r="HZ445" s="2"/>
      <c r="IA445" s="2">
        <f t="shared" si="111"/>
        <v>496128.7276179826</v>
      </c>
      <c r="IB445" s="2">
        <f t="shared" si="112"/>
        <v>232002.39743839117</v>
      </c>
      <c r="IC445" s="2">
        <f t="shared" si="113"/>
        <v>220522.59192130758</v>
      </c>
      <c r="ID445" s="2">
        <f t="shared" si="114"/>
        <v>67916.31826381397</v>
      </c>
      <c r="IE445" s="2">
        <f t="shared" si="115"/>
        <v>212286.73382046138</v>
      </c>
      <c r="IF445" s="2">
        <f t="shared" si="116"/>
        <v>340512.32500742329</v>
      </c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  <c r="JY445" s="2"/>
      <c r="JZ445" s="2"/>
      <c r="KA445" s="2"/>
      <c r="KB445" s="2"/>
      <c r="KC445" s="2"/>
      <c r="KD445" s="2"/>
      <c r="KE445" s="2"/>
      <c r="KF445" s="2"/>
      <c r="KG445" s="2"/>
      <c r="KH445" s="2"/>
      <c r="KI445" s="2"/>
      <c r="KJ445" s="2"/>
      <c r="KK445" s="2"/>
      <c r="KL445" s="2"/>
      <c r="KM445" s="2"/>
      <c r="KN445" s="2"/>
      <c r="KO445" s="2"/>
      <c r="KP445" s="2"/>
      <c r="KQ445" s="2"/>
      <c r="KR445" s="2"/>
      <c r="KS445" s="2"/>
      <c r="KT445" s="2"/>
      <c r="KU445" s="2"/>
      <c r="KV445" s="2"/>
      <c r="KW445" s="2"/>
      <c r="KX445" s="2"/>
      <c r="KY445" s="2"/>
      <c r="KZ445" s="2"/>
      <c r="LA445" s="2"/>
      <c r="LB445" s="2"/>
      <c r="LC445" s="2"/>
      <c r="LD445" s="2"/>
      <c r="LE445" s="2"/>
      <c r="LF445" s="2"/>
      <c r="LG445" s="2"/>
      <c r="LH445" s="2"/>
      <c r="LI445" s="2"/>
      <c r="LJ445" s="2"/>
      <c r="LK445" s="2"/>
      <c r="LL445" s="2"/>
      <c r="LM445" s="2"/>
      <c r="LN445" s="2"/>
    </row>
    <row r="446" spans="1:333">
      <c r="A446" s="1">
        <v>1809</v>
      </c>
      <c r="C446" s="1">
        <v>4994000</v>
      </c>
      <c r="D446" s="1">
        <f>C446*0.232</f>
        <v>1158608</v>
      </c>
      <c r="E446" s="1">
        <f>C446*0.294</f>
        <v>1468236</v>
      </c>
      <c r="F446" s="1">
        <f>C446*0.129</f>
        <v>644226</v>
      </c>
      <c r="G446" s="1">
        <f>C446*0.068</f>
        <v>339592</v>
      </c>
      <c r="H446" s="1">
        <f>C446*0.086</f>
        <v>429483.99999999994</v>
      </c>
      <c r="I446" s="1">
        <f>C446*0.048</f>
        <v>239712</v>
      </c>
      <c r="J446" s="1">
        <f>C446*0.143</f>
        <v>714141.99999999988</v>
      </c>
      <c r="K446" s="1">
        <f t="shared" si="93"/>
        <v>2903573.1543267756</v>
      </c>
      <c r="U446" s="1">
        <f t="shared" si="89"/>
        <v>6242261.1083575338</v>
      </c>
      <c r="AG446" s="1">
        <f t="shared" si="90"/>
        <v>689031.91302953649</v>
      </c>
      <c r="AT446" s="1">
        <f t="shared" si="91"/>
        <v>3684258.7031468647</v>
      </c>
      <c r="BC446" s="1">
        <f t="shared" si="94"/>
        <v>2079827.8439677807</v>
      </c>
      <c r="BI446" s="4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>
        <f t="shared" si="95"/>
        <v>1394306.1368463538</v>
      </c>
      <c r="CU446" s="2"/>
      <c r="CV446" s="2"/>
      <c r="CW446" s="2"/>
      <c r="CX446" s="2">
        <f t="shared" si="96"/>
        <v>2536877.7071259767</v>
      </c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>
        <f t="shared" si="97"/>
        <v>3261072.0388671029</v>
      </c>
      <c r="DT446" s="2"/>
      <c r="DU446" s="2"/>
      <c r="DV446" s="2"/>
      <c r="DW446" s="2"/>
      <c r="DX446" s="2"/>
      <c r="DY446" s="2"/>
      <c r="DZ446" s="2"/>
      <c r="EA446" s="2"/>
      <c r="EB446" s="2">
        <f t="shared" si="98"/>
        <v>567151.34350966709</v>
      </c>
      <c r="EC446" s="2"/>
      <c r="ED446" s="2"/>
      <c r="EE446" s="2">
        <f t="shared" si="99"/>
        <v>402387.75971456303</v>
      </c>
      <c r="EF446" s="2"/>
      <c r="EG446" s="2">
        <f t="shared" si="109"/>
        <v>518162.45962591155</v>
      </c>
      <c r="EH446" s="2"/>
      <c r="HW446" s="4"/>
      <c r="HX446" s="2"/>
      <c r="HY446" s="2"/>
      <c r="HZ446" s="2"/>
      <c r="IA446" s="2">
        <f t="shared" si="111"/>
        <v>497369.04943702754</v>
      </c>
      <c r="IB446" s="2">
        <f t="shared" si="112"/>
        <v>232582.40343198713</v>
      </c>
      <c r="IC446" s="2">
        <f t="shared" si="113"/>
        <v>221073.89840111084</v>
      </c>
      <c r="ID446" s="2">
        <f t="shared" si="114"/>
        <v>68086.1090594735</v>
      </c>
      <c r="IE446" s="2">
        <f t="shared" si="115"/>
        <v>212817.45065501251</v>
      </c>
      <c r="IF446" s="2">
        <f t="shared" si="116"/>
        <v>341363.60581994185</v>
      </c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  <c r="JY446" s="2"/>
      <c r="JZ446" s="2"/>
      <c r="KA446" s="2"/>
      <c r="KB446" s="2"/>
      <c r="KC446" s="2"/>
      <c r="KD446" s="2"/>
      <c r="KE446" s="2"/>
      <c r="KF446" s="2"/>
      <c r="KG446" s="2"/>
      <c r="KH446" s="2"/>
      <c r="KI446" s="2"/>
      <c r="KJ446" s="2"/>
      <c r="KK446" s="2"/>
      <c r="KL446" s="2"/>
      <c r="KM446" s="2"/>
      <c r="KN446" s="2"/>
      <c r="KO446" s="2"/>
      <c r="KP446" s="2"/>
      <c r="KQ446" s="2"/>
      <c r="KR446" s="2"/>
      <c r="KS446" s="2"/>
      <c r="KT446" s="2"/>
      <c r="KU446" s="2"/>
      <c r="KV446" s="2"/>
      <c r="KW446" s="2"/>
      <c r="KX446" s="2"/>
      <c r="KY446" s="2"/>
      <c r="KZ446" s="2"/>
      <c r="LA446" s="2"/>
      <c r="LB446" s="2"/>
      <c r="LC446" s="2"/>
      <c r="LD446" s="2"/>
      <c r="LE446" s="2"/>
      <c r="LF446" s="2"/>
      <c r="LG446" s="2"/>
      <c r="LH446" s="2"/>
      <c r="LI446" s="2"/>
      <c r="LJ446" s="2"/>
      <c r="LK446" s="2"/>
      <c r="LL446" s="2"/>
      <c r="LM446" s="2"/>
      <c r="LN446" s="2"/>
    </row>
    <row r="447" spans="1:333">
      <c r="A447" s="1">
        <v>1810</v>
      </c>
      <c r="K447" s="1">
        <f t="shared" si="93"/>
        <v>2912283.8737897556</v>
      </c>
      <c r="U447" s="1">
        <f t="shared" si="89"/>
        <v>6278466.2227860074</v>
      </c>
      <c r="AG447" s="1">
        <f t="shared" si="90"/>
        <v>691788.04068165459</v>
      </c>
      <c r="AH447" s="1">
        <v>5565370</v>
      </c>
      <c r="AI447" s="1">
        <f>1170833*1.74</f>
        <v>2037249.42</v>
      </c>
      <c r="AJ447" s="1">
        <f>266944*1.74</f>
        <v>464482.56</v>
      </c>
      <c r="AK447" s="1">
        <f>299889*1.74</f>
        <v>521806.86</v>
      </c>
      <c r="AL447" s="1">
        <f>217837*1.74</f>
        <v>379036.38</v>
      </c>
      <c r="AM447" s="1">
        <f>306479*1.74</f>
        <v>533273.46</v>
      </c>
      <c r="AN447" s="1">
        <f>248998*1.74</f>
        <v>433256.52</v>
      </c>
      <c r="AO447" s="1">
        <f>1303981*1.74</f>
        <v>2268926.94</v>
      </c>
      <c r="AP447" s="1">
        <f>192895*1.74</f>
        <v>335637.3</v>
      </c>
      <c r="AQ447" s="1">
        <f>364216*1.74</f>
        <v>633735.84</v>
      </c>
      <c r="AT447" s="1">
        <f t="shared" si="91"/>
        <v>3703048.4225329142</v>
      </c>
      <c r="BC447" s="1">
        <f t="shared" si="94"/>
        <v>2090019.0004032226</v>
      </c>
      <c r="BI447" s="4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>
        <f t="shared" si="95"/>
        <v>1401417.0981442702</v>
      </c>
      <c r="CU447" s="2"/>
      <c r="CV447" s="2"/>
      <c r="CW447" s="2"/>
      <c r="CX447" s="2">
        <f t="shared" si="96"/>
        <v>2549815.7834323193</v>
      </c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>
        <f t="shared" si="97"/>
        <v>3270855.2549837041</v>
      </c>
      <c r="DT447" s="2"/>
      <c r="DU447" s="2"/>
      <c r="DV447" s="2"/>
      <c r="DW447" s="2"/>
      <c r="DX447" s="2"/>
      <c r="DY447" s="2"/>
      <c r="DZ447" s="2"/>
      <c r="EA447" s="2"/>
      <c r="EB447" s="2">
        <f t="shared" si="98"/>
        <v>569987.10022721533</v>
      </c>
      <c r="EC447" s="2"/>
      <c r="ED447" s="2"/>
      <c r="EE447" s="2">
        <f t="shared" si="99"/>
        <v>404560.65361702169</v>
      </c>
      <c r="EF447" s="2"/>
      <c r="EG447" s="2">
        <f t="shared" si="109"/>
        <v>521064.16939981666</v>
      </c>
      <c r="EH447" s="2"/>
      <c r="HW447" s="4"/>
      <c r="HX447" s="2"/>
      <c r="HY447" s="2"/>
      <c r="HZ447" s="2"/>
      <c r="IA447" s="2">
        <f t="shared" si="111"/>
        <v>498612.47206062009</v>
      </c>
      <c r="IB447" s="2">
        <f t="shared" si="112"/>
        <v>233163.85944056709</v>
      </c>
      <c r="IC447" s="2">
        <f t="shared" si="113"/>
        <v>221626.58314711362</v>
      </c>
      <c r="ID447" s="2">
        <f t="shared" si="114"/>
        <v>68256.324332122182</v>
      </c>
      <c r="IE447" s="2">
        <f t="shared" si="115"/>
        <v>213349.49428165003</v>
      </c>
      <c r="IF447" s="2">
        <f t="shared" si="116"/>
        <v>342217.01483449171</v>
      </c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  <c r="JY447" s="2"/>
      <c r="JZ447" s="2"/>
      <c r="KA447" s="2"/>
      <c r="KB447" s="2"/>
      <c r="KC447" s="2"/>
      <c r="KD447" s="2"/>
      <c r="KE447" s="2"/>
      <c r="KF447" s="2"/>
      <c r="KG447" s="2"/>
      <c r="KH447" s="2"/>
      <c r="KI447" s="2"/>
      <c r="KJ447" s="2"/>
      <c r="KK447" s="2"/>
      <c r="KL447" s="2"/>
      <c r="KM447" s="2"/>
      <c r="KN447" s="2"/>
      <c r="KO447" s="2"/>
      <c r="KP447" s="2"/>
      <c r="KQ447" s="2"/>
      <c r="KR447" s="2"/>
      <c r="KS447" s="2"/>
      <c r="KT447" s="2"/>
      <c r="KU447" s="2"/>
      <c r="KV447" s="2"/>
      <c r="KW447" s="2"/>
      <c r="KX447" s="2"/>
      <c r="KY447" s="2"/>
      <c r="KZ447" s="2"/>
      <c r="LA447" s="2"/>
      <c r="LB447" s="2"/>
      <c r="LC447" s="2"/>
      <c r="LD447" s="2"/>
      <c r="LE447" s="2"/>
      <c r="LF447" s="2"/>
      <c r="LG447" s="2"/>
      <c r="LH447" s="2"/>
      <c r="LI447" s="2"/>
      <c r="LJ447" s="2"/>
      <c r="LK447" s="2"/>
      <c r="LL447" s="2"/>
      <c r="LM447" s="2"/>
      <c r="LN447" s="2"/>
    </row>
    <row r="448" spans="1:333">
      <c r="A448" s="1">
        <v>1811</v>
      </c>
      <c r="K448" s="1">
        <f t="shared" si="93"/>
        <v>2921020.7254111245</v>
      </c>
      <c r="U448" s="1">
        <f t="shared" si="89"/>
        <v>6314881.3268781668</v>
      </c>
      <c r="AG448" s="1">
        <f t="shared" si="90"/>
        <v>694555.19284438121</v>
      </c>
      <c r="AT448" s="1">
        <f t="shared" si="91"/>
        <v>3721933.9694878324</v>
      </c>
      <c r="BC448" s="1">
        <f t="shared" si="94"/>
        <v>2100260.0935051981</v>
      </c>
      <c r="BI448" s="4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>
        <f t="shared" si="95"/>
        <v>1408564.3253448061</v>
      </c>
      <c r="CU448" s="2"/>
      <c r="CV448" s="2"/>
      <c r="CW448" s="2"/>
      <c r="CX448" s="2">
        <f t="shared" si="96"/>
        <v>2562819.8439278244</v>
      </c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>
        <f t="shared" si="97"/>
        <v>3280667.8207486547</v>
      </c>
      <c r="DT448" s="2"/>
      <c r="DU448" s="2"/>
      <c r="DV448" s="2"/>
      <c r="DW448" s="2"/>
      <c r="DX448" s="2"/>
      <c r="DY448" s="2"/>
      <c r="DZ448" s="2"/>
      <c r="EA448" s="2"/>
      <c r="EB448" s="2">
        <f t="shared" si="98"/>
        <v>572837.03572835133</v>
      </c>
      <c r="EC448" s="2"/>
      <c r="ED448" s="2"/>
      <c r="EE448" s="2">
        <f t="shared" si="99"/>
        <v>406745.28114655364</v>
      </c>
      <c r="EF448" s="2"/>
      <c r="EG448" s="2">
        <f t="shared" si="109"/>
        <v>523982.12874845567</v>
      </c>
      <c r="EH448" s="2"/>
      <c r="HW448" s="4"/>
      <c r="HX448" s="2"/>
      <c r="HY448" s="2"/>
      <c r="HZ448" s="2"/>
      <c r="IA448" s="2">
        <f t="shared" si="111"/>
        <v>499859.00324077159</v>
      </c>
      <c r="IB448" s="2">
        <f t="shared" si="112"/>
        <v>233746.76908916849</v>
      </c>
      <c r="IC448" s="2">
        <f t="shared" si="113"/>
        <v>222180.64960498139</v>
      </c>
      <c r="ID448" s="2">
        <f t="shared" si="114"/>
        <v>68426.965142952482</v>
      </c>
      <c r="IE448" s="2">
        <f t="shared" si="115"/>
        <v>213882.86801735414</v>
      </c>
      <c r="IF448" s="2">
        <f t="shared" si="116"/>
        <v>343072.55737157795</v>
      </c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  <c r="JY448" s="2"/>
      <c r="JZ448" s="2"/>
      <c r="KA448" s="2"/>
      <c r="KB448" s="2"/>
      <c r="KC448" s="2"/>
      <c r="KD448" s="2"/>
      <c r="KE448" s="2"/>
      <c r="KF448" s="2"/>
      <c r="KG448" s="2"/>
      <c r="KH448" s="2"/>
      <c r="KI448" s="2"/>
      <c r="KJ448" s="2"/>
      <c r="KK448" s="2"/>
      <c r="KL448" s="2"/>
      <c r="KM448" s="2"/>
      <c r="KN448" s="2"/>
      <c r="KO448" s="2"/>
      <c r="KP448" s="2"/>
      <c r="KQ448" s="2"/>
      <c r="KR448" s="2"/>
      <c r="KS448" s="2"/>
      <c r="KT448" s="2"/>
      <c r="KU448" s="2"/>
      <c r="KV448" s="2"/>
      <c r="KW448" s="2"/>
      <c r="KX448" s="2"/>
      <c r="KY448" s="2"/>
      <c r="KZ448" s="2"/>
      <c r="LA448" s="2"/>
      <c r="LB448" s="2"/>
      <c r="LC448" s="2"/>
      <c r="LD448" s="2"/>
      <c r="LE448" s="2"/>
      <c r="LF448" s="2"/>
      <c r="LG448" s="2"/>
      <c r="LH448" s="2"/>
      <c r="LI448" s="2"/>
      <c r="LJ448" s="2"/>
      <c r="LK448" s="2"/>
      <c r="LL448" s="2"/>
      <c r="LM448" s="2"/>
      <c r="LN448" s="2"/>
    </row>
    <row r="449" spans="1:333">
      <c r="A449" s="1">
        <v>1812</v>
      </c>
      <c r="K449" s="1">
        <f t="shared" si="93"/>
        <v>2929783.7875873577</v>
      </c>
      <c r="U449" s="1">
        <f t="shared" si="89"/>
        <v>6351507.6385740601</v>
      </c>
      <c r="AG449" s="1">
        <f t="shared" si="90"/>
        <v>697333.41361575876</v>
      </c>
      <c r="AT449" s="1">
        <f t="shared" si="91"/>
        <v>3740915.8327322206</v>
      </c>
      <c r="BC449" s="1">
        <f t="shared" si="94"/>
        <v>2110551.3679633732</v>
      </c>
      <c r="BI449" s="4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>
        <f t="shared" si="95"/>
        <v>1415748.0034040648</v>
      </c>
      <c r="CU449" s="2"/>
      <c r="CV449" s="2"/>
      <c r="CW449" s="2"/>
      <c r="CX449" s="2">
        <f t="shared" si="96"/>
        <v>2575890.2251318567</v>
      </c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>
        <f t="shared" si="97"/>
        <v>3290509.8242109003</v>
      </c>
      <c r="DT449" s="2"/>
      <c r="DU449" s="2"/>
      <c r="DV449" s="2"/>
      <c r="DW449" s="2"/>
      <c r="DX449" s="2"/>
      <c r="DY449" s="2"/>
      <c r="DZ449" s="2"/>
      <c r="EA449" s="2"/>
      <c r="EB449" s="2">
        <f t="shared" si="98"/>
        <v>575701.22090699302</v>
      </c>
      <c r="EC449" s="2"/>
      <c r="ED449" s="2"/>
      <c r="EE449" s="2">
        <f t="shared" si="99"/>
        <v>408941.70566474507</v>
      </c>
      <c r="EF449" s="2"/>
      <c r="EG449" s="2">
        <f t="shared" si="109"/>
        <v>526916.42866944708</v>
      </c>
      <c r="EH449" s="2"/>
      <c r="HW449" s="4"/>
      <c r="HX449" s="2"/>
      <c r="HY449" s="2"/>
      <c r="HZ449" s="2"/>
      <c r="IA449" s="2">
        <f t="shared" si="111"/>
        <v>501108.65074887348</v>
      </c>
      <c r="IB449" s="2">
        <f t="shared" si="112"/>
        <v>234331.13601189139</v>
      </c>
      <c r="IC449" s="2">
        <f t="shared" si="113"/>
        <v>222736.10122899382</v>
      </c>
      <c r="ID449" s="2">
        <f t="shared" si="114"/>
        <v>68598.032555809856</v>
      </c>
      <c r="IE449" s="2">
        <f t="shared" si="115"/>
        <v>214417.57518739751</v>
      </c>
      <c r="IF449" s="2">
        <f t="shared" si="116"/>
        <v>343930.23876500688</v>
      </c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  <c r="JY449" s="2"/>
      <c r="JZ449" s="2"/>
      <c r="KA449" s="2"/>
      <c r="KB449" s="2"/>
      <c r="KC449" s="2"/>
      <c r="KD449" s="2"/>
      <c r="KE449" s="2"/>
      <c r="KF449" s="2"/>
      <c r="KG449" s="2"/>
      <c r="KH449" s="2"/>
      <c r="KI449" s="2"/>
      <c r="KJ449" s="2"/>
      <c r="KK449" s="2"/>
      <c r="KL449" s="2"/>
      <c r="KM449" s="2"/>
      <c r="KN449" s="2"/>
      <c r="KO449" s="2"/>
      <c r="KP449" s="2"/>
      <c r="KQ449" s="2"/>
      <c r="KR449" s="2"/>
      <c r="KS449" s="2"/>
      <c r="KT449" s="2"/>
      <c r="KU449" s="2"/>
      <c r="KV449" s="2"/>
      <c r="KW449" s="2"/>
      <c r="KX449" s="2"/>
      <c r="KY449" s="2"/>
      <c r="KZ449" s="2"/>
      <c r="LA449" s="2"/>
      <c r="LB449" s="2"/>
      <c r="LC449" s="2"/>
      <c r="LD449" s="2"/>
      <c r="LE449" s="2"/>
      <c r="LF449" s="2"/>
      <c r="LG449" s="2"/>
      <c r="LH449" s="2"/>
      <c r="LI449" s="2"/>
      <c r="LJ449" s="2"/>
      <c r="LK449" s="2"/>
      <c r="LL449" s="2"/>
      <c r="LM449" s="2"/>
      <c r="LN449" s="2"/>
    </row>
    <row r="450" spans="1:333">
      <c r="A450" s="1">
        <v>1813</v>
      </c>
      <c r="K450" s="1">
        <f t="shared" si="93"/>
        <v>2938573.1389501193</v>
      </c>
      <c r="U450" s="1">
        <f t="shared" si="89"/>
        <v>6388346.3828777894</v>
      </c>
      <c r="AG450" s="1">
        <f t="shared" si="90"/>
        <v>700122.74727022182</v>
      </c>
      <c r="AT450" s="1">
        <f t="shared" si="91"/>
        <v>3759994.5034791552</v>
      </c>
      <c r="BC450" s="1">
        <f t="shared" si="94"/>
        <v>2120893.0696663936</v>
      </c>
      <c r="BI450" s="4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>
        <f t="shared" si="95"/>
        <v>1422968.3182214256</v>
      </c>
      <c r="CU450" s="2"/>
      <c r="CV450" s="2"/>
      <c r="CW450" s="2"/>
      <c r="CX450" s="2">
        <f t="shared" si="96"/>
        <v>2589027.2652800293</v>
      </c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>
        <f t="shared" si="97"/>
        <v>3300381.3536835327</v>
      </c>
      <c r="DT450" s="2"/>
      <c r="DU450" s="2"/>
      <c r="DV450" s="2"/>
      <c r="DW450" s="2"/>
      <c r="DX450" s="2"/>
      <c r="DY450" s="2"/>
      <c r="DZ450" s="2"/>
      <c r="EA450" s="2"/>
      <c r="EB450" s="2">
        <f t="shared" si="98"/>
        <v>578579.72701152798</v>
      </c>
      <c r="EC450" s="2"/>
      <c r="ED450" s="2"/>
      <c r="EE450" s="2">
        <f t="shared" si="99"/>
        <v>411149.99087533471</v>
      </c>
      <c r="EF450" s="2"/>
      <c r="EG450" s="2">
        <f t="shared" si="109"/>
        <v>529867.16066999605</v>
      </c>
      <c r="EH450" s="2"/>
      <c r="HW450" s="4"/>
      <c r="HX450" s="2"/>
      <c r="HY450" s="2"/>
      <c r="HZ450" s="2"/>
      <c r="IA450" s="2">
        <f t="shared" si="111"/>
        <v>502361.42237574566</v>
      </c>
      <c r="IB450" s="2">
        <f t="shared" si="112"/>
        <v>234916.96385192111</v>
      </c>
      <c r="IC450" s="2">
        <f t="shared" si="113"/>
        <v>223292.94148206629</v>
      </c>
      <c r="ID450" s="2">
        <f t="shared" si="114"/>
        <v>68769.527637199382</v>
      </c>
      <c r="IE450" s="2">
        <f t="shared" si="115"/>
        <v>214953.61912536598</v>
      </c>
      <c r="IF450" s="2">
        <f t="shared" si="116"/>
        <v>344790.06436191936</v>
      </c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  <c r="JY450" s="2"/>
      <c r="JZ450" s="2"/>
      <c r="KA450" s="2"/>
      <c r="KB450" s="2"/>
      <c r="KC450" s="2"/>
      <c r="KD450" s="2"/>
      <c r="KE450" s="2"/>
      <c r="KF450" s="2"/>
      <c r="KG450" s="2"/>
      <c r="KH450" s="2"/>
      <c r="KI450" s="2"/>
      <c r="KJ450" s="2"/>
      <c r="KK450" s="2"/>
      <c r="KL450" s="2"/>
      <c r="KM450" s="2"/>
      <c r="KN450" s="2"/>
      <c r="KO450" s="2"/>
      <c r="KP450" s="2"/>
      <c r="KQ450" s="2"/>
      <c r="KR450" s="2"/>
      <c r="KS450" s="2"/>
      <c r="KT450" s="2"/>
      <c r="KU450" s="2"/>
      <c r="KV450" s="2"/>
      <c r="KW450" s="2"/>
      <c r="KX450" s="2"/>
      <c r="KY450" s="2"/>
      <c r="KZ450" s="2"/>
      <c r="LA450" s="2"/>
      <c r="LB450" s="2"/>
      <c r="LC450" s="2"/>
      <c r="LD450" s="2"/>
      <c r="LE450" s="2"/>
      <c r="LF450" s="2"/>
      <c r="LG450" s="2"/>
      <c r="LH450" s="2"/>
      <c r="LI450" s="2"/>
      <c r="LJ450" s="2"/>
      <c r="LK450" s="2"/>
      <c r="LL450" s="2"/>
      <c r="LM450" s="2"/>
      <c r="LN450" s="2"/>
    </row>
    <row r="451" spans="1:333">
      <c r="A451" s="1">
        <v>1814</v>
      </c>
      <c r="K451" s="1">
        <f t="shared" si="93"/>
        <v>2947388.8583669695</v>
      </c>
      <c r="U451" s="1">
        <f t="shared" si="89"/>
        <v>6425398.7918984806</v>
      </c>
      <c r="AG451" s="1">
        <f t="shared" si="90"/>
        <v>702923.23825930269</v>
      </c>
      <c r="AT451" s="1">
        <f t="shared" si="91"/>
        <v>3779170.4754468994</v>
      </c>
      <c r="BC451" s="1">
        <f t="shared" si="94"/>
        <v>2131285.4457077589</v>
      </c>
      <c r="BI451" s="4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>
        <f t="shared" si="95"/>
        <v>1430225.4566443551</v>
      </c>
      <c r="CU451" s="2"/>
      <c r="CV451" s="2"/>
      <c r="CW451" s="2"/>
      <c r="CX451" s="2">
        <f t="shared" si="96"/>
        <v>2602231.3043329576</v>
      </c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>
        <f t="shared" si="97"/>
        <v>3310282.4977445831</v>
      </c>
      <c r="DT451" s="2"/>
      <c r="DU451" s="2"/>
      <c r="DV451" s="2"/>
      <c r="DW451" s="2"/>
      <c r="DX451" s="2"/>
      <c r="DY451" s="2"/>
      <c r="DZ451" s="2"/>
      <c r="EA451" s="2"/>
      <c r="EB451" s="2">
        <f t="shared" si="98"/>
        <v>581472.6256465856</v>
      </c>
      <c r="EC451" s="2"/>
      <c r="ED451" s="2"/>
      <c r="EE451" s="2">
        <f t="shared" si="99"/>
        <v>413370.20082606154</v>
      </c>
      <c r="EF451" s="2"/>
      <c r="EG451" s="2">
        <f t="shared" si="109"/>
        <v>532834.41676974809</v>
      </c>
      <c r="EH451" s="2"/>
      <c r="HW451" s="4"/>
      <c r="HX451" s="2"/>
      <c r="HY451" s="2"/>
      <c r="HZ451" s="2"/>
      <c r="IA451" s="2">
        <f t="shared" si="111"/>
        <v>503617.32593168499</v>
      </c>
      <c r="IB451" s="2">
        <f t="shared" si="112"/>
        <v>235504.25626155091</v>
      </c>
      <c r="IC451" s="2">
        <f t="shared" si="113"/>
        <v>223851.17383577145</v>
      </c>
      <c r="ID451" s="2">
        <f t="shared" si="114"/>
        <v>68941.451456292372</v>
      </c>
      <c r="IE451" s="2">
        <f t="shared" si="115"/>
        <v>215491.00317317937</v>
      </c>
      <c r="IF451" s="2">
        <f t="shared" si="116"/>
        <v>345652.03952282411</v>
      </c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  <c r="JY451" s="2"/>
      <c r="JZ451" s="2"/>
      <c r="KA451" s="2"/>
      <c r="KB451" s="2"/>
      <c r="KC451" s="2"/>
      <c r="KD451" s="2"/>
      <c r="KE451" s="2"/>
      <c r="KF451" s="2"/>
      <c r="KG451" s="2"/>
      <c r="KH451" s="2"/>
      <c r="KI451" s="2"/>
      <c r="KJ451" s="2"/>
      <c r="KK451" s="2"/>
      <c r="KL451" s="2"/>
      <c r="KM451" s="2"/>
      <c r="KN451" s="2"/>
      <c r="KO451" s="2"/>
      <c r="KP451" s="2"/>
      <c r="KQ451" s="2"/>
      <c r="KR451" s="2"/>
      <c r="KS451" s="2"/>
      <c r="KT451" s="2"/>
      <c r="KU451" s="2"/>
      <c r="KV451" s="2"/>
      <c r="KW451" s="2"/>
      <c r="KX451" s="2"/>
      <c r="KY451" s="2"/>
      <c r="KZ451" s="2"/>
      <c r="LA451" s="2"/>
      <c r="LB451" s="2"/>
      <c r="LC451" s="2"/>
      <c r="LD451" s="2"/>
      <c r="LE451" s="2"/>
      <c r="LF451" s="2"/>
      <c r="LG451" s="2"/>
      <c r="LH451" s="2"/>
      <c r="LI451" s="2"/>
      <c r="LJ451" s="2"/>
      <c r="LK451" s="2"/>
      <c r="LL451" s="2"/>
      <c r="LM451" s="2"/>
      <c r="LN451" s="2"/>
    </row>
    <row r="452" spans="1:333">
      <c r="A452" s="1">
        <v>1815</v>
      </c>
      <c r="K452" s="1">
        <f t="shared" si="93"/>
        <v>2956231.0249420702</v>
      </c>
      <c r="U452" s="1">
        <f t="shared" si="89"/>
        <v>6462666.1048914921</v>
      </c>
      <c r="AG452" s="1">
        <f t="shared" si="90"/>
        <v>705734.9312123399</v>
      </c>
      <c r="AT452" s="1">
        <f t="shared" si="91"/>
        <v>3798444.2448716792</v>
      </c>
      <c r="BC452" s="1">
        <f t="shared" si="94"/>
        <v>2141728.7443917268</v>
      </c>
      <c r="BI452" s="4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>
        <f t="shared" si="95"/>
        <v>1437519.6064732415</v>
      </c>
      <c r="CU452" s="2"/>
      <c r="CV452" s="2"/>
      <c r="CW452" s="2"/>
      <c r="CX452" s="2">
        <f t="shared" si="96"/>
        <v>2615502.6839850559</v>
      </c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>
        <f t="shared" si="97"/>
        <v>3320213.3452378162</v>
      </c>
      <c r="DT452" s="2"/>
      <c r="DU452" s="2"/>
      <c r="DV452" s="2"/>
      <c r="DW452" s="2"/>
      <c r="DX452" s="2"/>
      <c r="DY452" s="2"/>
      <c r="DZ452" s="2"/>
      <c r="EA452" s="2"/>
      <c r="EB452" s="2">
        <f t="shared" si="98"/>
        <v>584379.98877481848</v>
      </c>
      <c r="EC452" s="2"/>
      <c r="ED452" s="2"/>
      <c r="EE452" s="2">
        <f t="shared" si="99"/>
        <v>415602.39991052228</v>
      </c>
      <c r="EF452" s="2"/>
      <c r="EG452" s="2">
        <f t="shared" si="109"/>
        <v>535818.28950365866</v>
      </c>
      <c r="EH452" s="2"/>
      <c r="HW452" s="4"/>
      <c r="HX452" s="2"/>
      <c r="HY452" s="2"/>
      <c r="HZ452" s="2"/>
      <c r="IA452" s="2">
        <f t="shared" si="111"/>
        <v>504876.36924651416</v>
      </c>
      <c r="IB452" s="2">
        <f t="shared" si="112"/>
        <v>236093.01690220478</v>
      </c>
      <c r="IC452" s="2">
        <f t="shared" si="113"/>
        <v>224410.80177036088</v>
      </c>
      <c r="ID452" s="2">
        <f t="shared" si="114"/>
        <v>69113.805084933105</v>
      </c>
      <c r="IE452" s="2">
        <f t="shared" si="115"/>
        <v>216029.7306811123</v>
      </c>
      <c r="IF452" s="2">
        <f t="shared" si="116"/>
        <v>346516.16962163115</v>
      </c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  <c r="JY452" s="2"/>
      <c r="JZ452" s="2"/>
      <c r="KA452" s="2"/>
      <c r="KB452" s="2"/>
      <c r="KC452" s="2"/>
      <c r="KD452" s="2"/>
      <c r="KE452" s="2"/>
      <c r="KF452" s="2"/>
      <c r="KG452" s="2"/>
      <c r="KH452" s="2"/>
      <c r="KI452" s="2"/>
      <c r="KJ452" s="2"/>
      <c r="KK452" s="2"/>
      <c r="KL452" s="2"/>
      <c r="KM452" s="2"/>
      <c r="KN452" s="2"/>
      <c r="KO452" s="2"/>
      <c r="KP452" s="2"/>
      <c r="KQ452" s="2"/>
      <c r="KR452" s="2"/>
      <c r="KS452" s="2"/>
      <c r="KT452" s="2"/>
      <c r="KU452" s="2"/>
      <c r="KV452" s="2"/>
      <c r="KW452" s="2"/>
      <c r="KX452" s="2"/>
      <c r="KY452" s="2"/>
      <c r="KZ452" s="2"/>
      <c r="LA452" s="2"/>
      <c r="LB452" s="2"/>
      <c r="LC452" s="2"/>
      <c r="LD452" s="2"/>
      <c r="LE452" s="2"/>
      <c r="LF452" s="2"/>
      <c r="LG452" s="2"/>
      <c r="LH452" s="2"/>
      <c r="LI452" s="2"/>
      <c r="LJ452" s="2"/>
      <c r="LK452" s="2"/>
      <c r="LL452" s="2"/>
      <c r="LM452" s="2"/>
      <c r="LN452" s="2"/>
    </row>
    <row r="453" spans="1:333">
      <c r="A453" s="1">
        <v>1816</v>
      </c>
      <c r="K453" s="1">
        <f t="shared" si="93"/>
        <v>2965099.7180168959</v>
      </c>
      <c r="U453" s="1">
        <f t="shared" si="89"/>
        <v>6500149.5682998626</v>
      </c>
      <c r="AG453" s="1">
        <f t="shared" si="90"/>
        <v>708557.8709371892</v>
      </c>
      <c r="AT453" s="1">
        <f t="shared" si="91"/>
        <v>3817816.3105205251</v>
      </c>
      <c r="BC453" s="1">
        <f t="shared" si="94"/>
        <v>2152223.2152392459</v>
      </c>
      <c r="BI453" s="4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>
        <f t="shared" si="95"/>
        <v>1444850.9564662552</v>
      </c>
      <c r="CU453" s="2"/>
      <c r="CV453" s="2"/>
      <c r="CW453" s="2"/>
      <c r="CX453" s="2">
        <f t="shared" si="96"/>
        <v>2628841.7476733797</v>
      </c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>
        <f t="shared" si="97"/>
        <v>3330173.9852735293</v>
      </c>
      <c r="DT453" s="2"/>
      <c r="DU453" s="2"/>
      <c r="DV453" s="2"/>
      <c r="DW453" s="2"/>
      <c r="DX453" s="2"/>
      <c r="DY453" s="2"/>
      <c r="DZ453" s="2"/>
      <c r="EA453" s="2"/>
      <c r="EB453" s="2">
        <f t="shared" si="98"/>
        <v>587301.88871869247</v>
      </c>
      <c r="EC453" s="2"/>
      <c r="ED453" s="2"/>
      <c r="EE453" s="2">
        <f t="shared" si="99"/>
        <v>417846.65287003911</v>
      </c>
      <c r="EF453" s="2"/>
      <c r="EG453" s="2">
        <f t="shared" si="109"/>
        <v>538818.87192487915</v>
      </c>
      <c r="EH453" s="2"/>
      <c r="HW453" s="4"/>
      <c r="HX453" s="2"/>
      <c r="HY453" s="2"/>
      <c r="HZ453" s="2"/>
      <c r="IA453" s="2">
        <f t="shared" si="111"/>
        <v>506138.56016963045</v>
      </c>
      <c r="IB453" s="2">
        <f t="shared" si="112"/>
        <v>236683.24944446026</v>
      </c>
      <c r="IC453" s="2">
        <f t="shared" si="113"/>
        <v>224971.82877478676</v>
      </c>
      <c r="ID453" s="2">
        <f t="shared" si="114"/>
        <v>69286.589597645434</v>
      </c>
      <c r="IE453" s="2">
        <f t="shared" si="115"/>
        <v>216569.80500781507</v>
      </c>
      <c r="IF453" s="2">
        <f t="shared" si="116"/>
        <v>347382.46004568523</v>
      </c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  <c r="JY453" s="2"/>
      <c r="JZ453" s="2"/>
      <c r="KA453" s="2"/>
      <c r="KB453" s="2"/>
      <c r="KC453" s="2"/>
      <c r="KD453" s="2"/>
      <c r="KE453" s="2"/>
      <c r="KF453" s="2"/>
      <c r="KG453" s="2"/>
      <c r="KH453" s="2"/>
      <c r="KI453" s="2"/>
      <c r="KJ453" s="2"/>
      <c r="KK453" s="2"/>
      <c r="KL453" s="2"/>
      <c r="KM453" s="2"/>
      <c r="KN453" s="2"/>
      <c r="KO453" s="2"/>
      <c r="KP453" s="2"/>
      <c r="KQ453" s="2"/>
      <c r="KR453" s="2"/>
      <c r="KS453" s="2"/>
      <c r="KT453" s="2"/>
      <c r="KU453" s="2"/>
      <c r="KV453" s="2"/>
      <c r="KW453" s="2"/>
      <c r="KX453" s="2"/>
      <c r="KY453" s="2"/>
      <c r="KZ453" s="2"/>
      <c r="LA453" s="2"/>
      <c r="LB453" s="2"/>
      <c r="LC453" s="2"/>
      <c r="LD453" s="2"/>
      <c r="LE453" s="2"/>
      <c r="LF453" s="2"/>
      <c r="LG453" s="2"/>
      <c r="LH453" s="2"/>
      <c r="LI453" s="2"/>
      <c r="LJ453" s="2"/>
      <c r="LK453" s="2"/>
      <c r="LL453" s="2"/>
      <c r="LM453" s="2"/>
      <c r="LN453" s="2"/>
      <c r="LU453" s="1">
        <v>2484728</v>
      </c>
    </row>
    <row r="454" spans="1:333">
      <c r="A454" s="1">
        <v>1817</v>
      </c>
      <c r="K454" s="1">
        <f t="shared" si="93"/>
        <v>2973995.0171709461</v>
      </c>
      <c r="U454" s="1">
        <f t="shared" si="89"/>
        <v>6537850.4357960019</v>
      </c>
      <c r="AG454" s="1">
        <f t="shared" si="90"/>
        <v>711392.10242093797</v>
      </c>
      <c r="AT454" s="1">
        <f t="shared" si="91"/>
        <v>3837287.1737041804</v>
      </c>
      <c r="BC454" s="1">
        <f t="shared" si="94"/>
        <v>2162769.1089939182</v>
      </c>
      <c r="BI454" s="4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>
        <f t="shared" si="95"/>
        <v>1452219.6963442334</v>
      </c>
      <c r="CU454" s="2"/>
      <c r="CV454" s="2"/>
      <c r="CW454" s="2"/>
      <c r="CX454" s="2">
        <f t="shared" si="96"/>
        <v>2642248.8405865142</v>
      </c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>
        <f t="shared" si="97"/>
        <v>3340164.5072293496</v>
      </c>
      <c r="DT454" s="2"/>
      <c r="DU454" s="2"/>
      <c r="DV454" s="2"/>
      <c r="DW454" s="2"/>
      <c r="DX454" s="2"/>
      <c r="DY454" s="2"/>
      <c r="DZ454" s="2"/>
      <c r="EA454" s="2"/>
      <c r="EB454" s="2">
        <f t="shared" si="98"/>
        <v>590238.39816228591</v>
      </c>
      <c r="EC454" s="2"/>
      <c r="ED454" s="2"/>
      <c r="EE454" s="2">
        <f t="shared" si="99"/>
        <v>420103.02479553735</v>
      </c>
      <c r="EF454" s="2"/>
      <c r="EG454" s="2">
        <f t="shared" si="109"/>
        <v>541836.25760765851</v>
      </c>
      <c r="EH454" s="2"/>
      <c r="HW454" s="4"/>
      <c r="HX454" s="2"/>
      <c r="HY454" s="2"/>
      <c r="HZ454" s="2"/>
      <c r="IA454" s="2">
        <f t="shared" si="111"/>
        <v>507403.90657005447</v>
      </c>
      <c r="IB454" s="2">
        <f t="shared" si="112"/>
        <v>237274.9575680714</v>
      </c>
      <c r="IC454" s="2">
        <f t="shared" si="113"/>
        <v>225534.25834672371</v>
      </c>
      <c r="ID454" s="2">
        <f t="shared" si="114"/>
        <v>69459.806071639541</v>
      </c>
      <c r="IE454" s="2">
        <f t="shared" si="115"/>
        <v>217111.2295203346</v>
      </c>
      <c r="IF454" s="2">
        <f t="shared" si="116"/>
        <v>348250.91619579942</v>
      </c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  <c r="JY454" s="2"/>
      <c r="JZ454" s="2"/>
      <c r="KA454" s="2"/>
      <c r="KB454" s="2"/>
      <c r="KC454" s="2"/>
      <c r="KD454" s="2"/>
      <c r="KE454" s="2"/>
      <c r="KF454" s="2"/>
      <c r="KG454" s="2"/>
      <c r="KH454" s="2"/>
      <c r="KI454" s="2"/>
      <c r="KJ454" s="2"/>
      <c r="KK454" s="2"/>
      <c r="KL454" s="2"/>
      <c r="KM454" s="2"/>
      <c r="KN454" s="2"/>
      <c r="KO454" s="2"/>
      <c r="KP454" s="2"/>
      <c r="KQ454" s="2"/>
      <c r="KR454" s="2"/>
      <c r="KS454" s="2"/>
      <c r="KT454" s="2"/>
      <c r="KU454" s="2"/>
      <c r="KV454" s="2"/>
      <c r="KW454" s="2"/>
      <c r="KX454" s="2"/>
      <c r="KY454" s="2"/>
      <c r="KZ454" s="2"/>
      <c r="LA454" s="2"/>
      <c r="LB454" s="2"/>
      <c r="LC454" s="2"/>
      <c r="LD454" s="2"/>
      <c r="LE454" s="2"/>
      <c r="LF454" s="2"/>
      <c r="LG454" s="2"/>
      <c r="LH454" s="2"/>
      <c r="LI454" s="2"/>
      <c r="LJ454" s="2"/>
      <c r="LK454" s="2"/>
      <c r="LL454" s="2"/>
      <c r="LM454" s="2"/>
      <c r="LN454" s="2"/>
    </row>
    <row r="455" spans="1:333">
      <c r="A455" s="1">
        <v>1818</v>
      </c>
      <c r="K455" s="1">
        <f t="shared" si="93"/>
        <v>2982917.0022224588</v>
      </c>
      <c r="U455" s="1">
        <f t="shared" si="89"/>
        <v>6575769.9683236191</v>
      </c>
      <c r="AG455" s="1">
        <f t="shared" si="90"/>
        <v>714237.67083062173</v>
      </c>
      <c r="AT455" s="1">
        <f t="shared" si="91"/>
        <v>3856857.338290072</v>
      </c>
      <c r="BC455" s="1">
        <f t="shared" si="94"/>
        <v>2173366.6776279882</v>
      </c>
      <c r="BI455" s="4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>
        <f t="shared" si="95"/>
        <v>1459626.0167955891</v>
      </c>
      <c r="CU455" s="2"/>
      <c r="CV455" s="2"/>
      <c r="CW455" s="2"/>
      <c r="CX455" s="2">
        <f t="shared" si="96"/>
        <v>2655724.3096735058</v>
      </c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>
        <f t="shared" si="97"/>
        <v>3350185.0007510372</v>
      </c>
      <c r="DT455" s="2"/>
      <c r="DU455" s="2"/>
      <c r="DV455" s="2"/>
      <c r="DW455" s="2"/>
      <c r="DX455" s="2"/>
      <c r="DY455" s="2"/>
      <c r="DZ455" s="2"/>
      <c r="EA455" s="2"/>
      <c r="EB455" s="2">
        <f t="shared" si="98"/>
        <v>593189.59015309729</v>
      </c>
      <c r="EC455" s="2"/>
      <c r="ED455" s="2"/>
      <c r="EE455" s="2">
        <f t="shared" si="99"/>
        <v>422371.5811294333</v>
      </c>
      <c r="EF455" s="2"/>
      <c r="EG455" s="2">
        <f t="shared" si="109"/>
        <v>544870.54065026145</v>
      </c>
      <c r="EH455" s="2"/>
      <c r="HW455" s="4"/>
      <c r="HX455" s="2"/>
      <c r="HY455" s="2"/>
      <c r="HZ455" s="2"/>
      <c r="IA455" s="2">
        <f t="shared" si="111"/>
        <v>508672.4163364796</v>
      </c>
      <c r="IB455" s="2">
        <f t="shared" si="112"/>
        <v>237868.14496199158</v>
      </c>
      <c r="IC455" s="2">
        <f t="shared" si="113"/>
        <v>226098.0939925905</v>
      </c>
      <c r="ID455" s="2">
        <f t="shared" si="114"/>
        <v>69633.455586818643</v>
      </c>
      <c r="IE455" s="2">
        <f t="shared" si="115"/>
        <v>217654.00759413542</v>
      </c>
      <c r="IF455" s="2">
        <f t="shared" si="116"/>
        <v>349121.54348628892</v>
      </c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  <c r="JY455" s="2"/>
      <c r="JZ455" s="2"/>
      <c r="KA455" s="2"/>
      <c r="KB455" s="2"/>
      <c r="KC455" s="2"/>
      <c r="KD455" s="2"/>
      <c r="KE455" s="2"/>
      <c r="KF455" s="2"/>
      <c r="KG455" s="2"/>
      <c r="KH455" s="2"/>
      <c r="KI455" s="2"/>
      <c r="KJ455" s="2"/>
      <c r="KK455" s="2"/>
      <c r="KL455" s="2"/>
      <c r="KM455" s="2"/>
      <c r="KN455" s="2"/>
      <c r="KO455" s="2"/>
      <c r="KP455" s="2"/>
      <c r="KQ455" s="2"/>
      <c r="KR455" s="2"/>
      <c r="KS455" s="2"/>
      <c r="KT455" s="2"/>
      <c r="KU455" s="2"/>
      <c r="KV455" s="2"/>
      <c r="KW455" s="2"/>
      <c r="KX455" s="2"/>
      <c r="KY455" s="2"/>
      <c r="KZ455" s="2"/>
      <c r="LA455" s="2"/>
      <c r="LB455" s="2"/>
      <c r="LC455" s="2"/>
      <c r="LD455" s="2"/>
      <c r="LE455" s="2"/>
      <c r="LF455" s="2"/>
      <c r="LG455" s="2"/>
      <c r="LH455" s="2"/>
      <c r="LI455" s="2"/>
      <c r="LJ455" s="2"/>
      <c r="LK455" s="2"/>
      <c r="LL455" s="2"/>
      <c r="LM455" s="2"/>
      <c r="LN455" s="2"/>
    </row>
    <row r="456" spans="1:333">
      <c r="A456" s="1">
        <v>1819</v>
      </c>
      <c r="K456" s="1">
        <f t="shared" si="93"/>
        <v>2991865.7532291259</v>
      </c>
      <c r="U456" s="1">
        <f t="shared" si="89"/>
        <v>6613909.4341398962</v>
      </c>
      <c r="AG456" s="1">
        <f>AG457/1.004</f>
        <v>717094.62151394424</v>
      </c>
      <c r="AT456" s="1">
        <f>AT457/1.0051</f>
        <v>3876527.3107153517</v>
      </c>
      <c r="BC456" s="1">
        <f t="shared" si="94"/>
        <v>2184016.174348365</v>
      </c>
      <c r="BI456" s="4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>
        <f t="shared" si="95"/>
        <v>1467070.1094812467</v>
      </c>
      <c r="CU456" s="2"/>
      <c r="CV456" s="2"/>
      <c r="CW456" s="2"/>
      <c r="CX456" s="2">
        <f t="shared" si="96"/>
        <v>2669268.5036528409</v>
      </c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>
        <f t="shared" si="97"/>
        <v>3360235.5557532897</v>
      </c>
      <c r="DT456" s="2"/>
      <c r="DU456" s="2"/>
      <c r="DV456" s="2"/>
      <c r="DW456" s="2"/>
      <c r="DX456" s="2"/>
      <c r="DY456" s="2"/>
      <c r="DZ456" s="2"/>
      <c r="EA456" s="2"/>
      <c r="EB456" s="2">
        <f t="shared" si="98"/>
        <v>596155.53810386267</v>
      </c>
      <c r="EC456" s="2"/>
      <c r="ED456" s="2"/>
      <c r="EE456" s="2">
        <f t="shared" si="99"/>
        <v>424652.38766753225</v>
      </c>
      <c r="EF456" s="2"/>
      <c r="EG456" s="2">
        <f t="shared" si="109"/>
        <v>547921.81567790289</v>
      </c>
      <c r="EH456" s="2"/>
      <c r="HW456" s="4"/>
      <c r="HX456" s="2"/>
      <c r="HY456" s="2"/>
      <c r="HZ456" s="2"/>
      <c r="IA456" s="2">
        <f t="shared" si="111"/>
        <v>509944.09737732075</v>
      </c>
      <c r="IB456" s="2">
        <f t="shared" si="112"/>
        <v>238462.81532439654</v>
      </c>
      <c r="IC456" s="2">
        <f t="shared" si="113"/>
        <v>226663.33922757197</v>
      </c>
      <c r="ID456" s="2">
        <f t="shared" si="114"/>
        <v>69807.539225785687</v>
      </c>
      <c r="IE456" s="2">
        <f t="shared" si="115"/>
        <v>218198.14261312076</v>
      </c>
      <c r="IF456" s="2">
        <f t="shared" si="116"/>
        <v>349994.34734500461</v>
      </c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  <c r="JY456" s="2"/>
      <c r="JZ456" s="2"/>
      <c r="KA456" s="2"/>
      <c r="KB456" s="2"/>
      <c r="KC456" s="2"/>
      <c r="KD456" s="2"/>
      <c r="KE456" s="2"/>
      <c r="KF456" s="2"/>
      <c r="KG456" s="2"/>
      <c r="KH456" s="2"/>
      <c r="KI456" s="2"/>
      <c r="KJ456" s="2"/>
      <c r="KK456" s="2"/>
      <c r="KL456" s="2"/>
      <c r="KM456" s="2"/>
      <c r="KN456" s="2"/>
      <c r="KO456" s="2"/>
      <c r="KP456" s="2"/>
      <c r="KQ456" s="2"/>
      <c r="KR456" s="2"/>
      <c r="KS456" s="2"/>
      <c r="KT456" s="2"/>
      <c r="KU456" s="2"/>
      <c r="KV456" s="2"/>
      <c r="KW456" s="2"/>
      <c r="KX456" s="2"/>
      <c r="KY456" s="2"/>
      <c r="KZ456" s="2"/>
      <c r="LA456" s="2"/>
      <c r="LB456" s="2"/>
      <c r="LC456" s="2"/>
      <c r="LD456" s="2"/>
      <c r="LE456" s="2"/>
      <c r="LF456" s="2"/>
      <c r="LG456" s="2"/>
      <c r="LH456" s="2"/>
      <c r="LI456" s="2"/>
      <c r="LJ456" s="2"/>
      <c r="LK456" s="2"/>
      <c r="LL456" s="2"/>
      <c r="LM456" s="2"/>
      <c r="LN456" s="2"/>
    </row>
    <row r="457" spans="1:333">
      <c r="A457" s="1">
        <v>1820</v>
      </c>
      <c r="B457" s="1">
        <f>C457+K457+U457+AD457+AH457+AG457+AT457+BC457+R457</f>
        <v>31661326.100000005</v>
      </c>
      <c r="C457" s="1">
        <f>675*C1</f>
        <v>5252175</v>
      </c>
      <c r="D457" s="1">
        <f>C457*0.232</f>
        <v>1218504.6000000001</v>
      </c>
      <c r="E457" s="1">
        <f>C457*0.294</f>
        <v>1544139.45</v>
      </c>
      <c r="F457" s="1">
        <f>C457*0.129</f>
        <v>677530.57500000007</v>
      </c>
      <c r="G457" s="1">
        <f>C457*0.068</f>
        <v>357147.9</v>
      </c>
      <c r="H457" s="1">
        <f>C457*0.086</f>
        <v>451687.05</v>
      </c>
      <c r="I457" s="1">
        <f>C457*0.048</f>
        <v>252104.4</v>
      </c>
      <c r="J457" s="1">
        <f>C457*0.143</f>
        <v>751061.02499999991</v>
      </c>
      <c r="K457" s="1">
        <f>157.4*K1</f>
        <v>3000044</v>
      </c>
      <c r="R457" s="1">
        <f>117.4*R1</f>
        <v>1225656</v>
      </c>
      <c r="U457" s="1">
        <f>426.6*U1</f>
        <v>6663492</v>
      </c>
      <c r="AD457" s="1">
        <f>408.1*AD1</f>
        <v>2800790.3000000003</v>
      </c>
      <c r="AF457" s="1">
        <v>1070000</v>
      </c>
      <c r="AG457" s="1">
        <f>566.9*AG1</f>
        <v>719963</v>
      </c>
      <c r="AH457" s="1">
        <f>873.7*AH1</f>
        <v>5907959.4000000004</v>
      </c>
      <c r="AI457" s="1">
        <v>2110159</v>
      </c>
      <c r="AJ457" s="1">
        <v>479184</v>
      </c>
      <c r="AK457" s="1">
        <v>572083</v>
      </c>
      <c r="AL457" s="1">
        <v>385970</v>
      </c>
      <c r="AM457" s="1">
        <v>581443</v>
      </c>
      <c r="AN457" s="1">
        <v>461994</v>
      </c>
      <c r="AO457" s="1">
        <v>260663</v>
      </c>
      <c r="AP457" s="1">
        <v>404871</v>
      </c>
      <c r="AQ457" s="1">
        <v>652438</v>
      </c>
      <c r="AT457" s="1">
        <f>531.7*AT1</f>
        <v>3896297.6000000006</v>
      </c>
      <c r="BC457" s="1">
        <f>475.2*BC1</f>
        <v>2194948.7999999998</v>
      </c>
      <c r="BI457" s="4">
        <f t="shared" si="85"/>
        <v>35437429.200000003</v>
      </c>
      <c r="BJ457" s="2">
        <f>369.1*BJ1</f>
        <v>5462680</v>
      </c>
      <c r="BK457" s="2"/>
      <c r="BL457" s="2"/>
      <c r="BM457" s="2"/>
      <c r="BN457" s="2"/>
      <c r="BO457" s="2"/>
      <c r="BP457" s="2"/>
      <c r="BQ457" s="2">
        <f>236.7*BQ1</f>
        <v>3548133</v>
      </c>
      <c r="BR457" s="2"/>
      <c r="BS457" s="2"/>
      <c r="BT457" s="2"/>
      <c r="BU457" s="2"/>
      <c r="BV457" s="2"/>
      <c r="BW457" s="2">
        <f>151.2*BW1</f>
        <v>1433224.7999999998</v>
      </c>
      <c r="BX457" s="2"/>
      <c r="BY457" s="2"/>
      <c r="BZ457" s="2">
        <f>183.3*BZ1</f>
        <v>4355208</v>
      </c>
      <c r="CA457" s="2"/>
      <c r="CB457" s="2"/>
      <c r="CC457" s="2"/>
      <c r="CD457" s="2"/>
      <c r="CE457" s="2"/>
      <c r="CF457" s="2"/>
      <c r="CG457" s="2"/>
      <c r="CH457" s="2">
        <f>141.5*CH1</f>
        <v>1569235</v>
      </c>
      <c r="CI457" s="2"/>
      <c r="CJ457" s="2"/>
      <c r="CK457" s="2"/>
      <c r="CL457" s="2">
        <f>176.4*CL1</f>
        <v>3977820</v>
      </c>
      <c r="CM457" s="2"/>
      <c r="CN457" s="2"/>
      <c r="CO457" s="2"/>
      <c r="CP457" s="2"/>
      <c r="CQ457" s="2"/>
      <c r="CR457" s="2"/>
      <c r="CS457" s="2"/>
      <c r="CT457" s="2">
        <f>463.9*CT1</f>
        <v>1478913.2</v>
      </c>
      <c r="CU457" s="2"/>
      <c r="CV457" s="2"/>
      <c r="CW457" s="2"/>
      <c r="CX457" s="2">
        <f>282.1*CX1</f>
        <v>2755270.7</v>
      </c>
      <c r="CY457" s="2"/>
      <c r="CZ457" s="2"/>
      <c r="DA457" s="2"/>
      <c r="DB457" s="2"/>
      <c r="DC457" s="2"/>
      <c r="DD457" s="2"/>
      <c r="DE457" s="2">
        <f>298.8*DE1</f>
        <v>3433212</v>
      </c>
      <c r="DF457" s="2"/>
      <c r="DG457" s="2"/>
      <c r="DH457" s="2"/>
      <c r="DI457" s="2"/>
      <c r="DJ457" s="2"/>
      <c r="DK457" s="2"/>
      <c r="DL457" s="2">
        <f>214.1*DL1</f>
        <v>2474996</v>
      </c>
      <c r="DM457" s="2"/>
      <c r="DN457" s="2"/>
      <c r="DO457" s="2"/>
      <c r="DP457" s="2"/>
      <c r="DQ457" s="2"/>
      <c r="DR457" s="2"/>
      <c r="DS457" s="2">
        <f>201.9*DS1</f>
        <v>3369711</v>
      </c>
      <c r="DT457" s="2"/>
      <c r="DU457" s="2"/>
      <c r="DV457" s="2"/>
      <c r="DW457" s="2"/>
      <c r="DX457" s="2"/>
      <c r="DY457" s="2"/>
      <c r="DZ457" s="2"/>
      <c r="EA457" s="2"/>
      <c r="EB457" s="2">
        <f>122.5*EB1</f>
        <v>600127.5</v>
      </c>
      <c r="EC457" s="2"/>
      <c r="ED457" s="2"/>
      <c r="EE457" s="2">
        <f>160.7*EE1</f>
        <v>427944.1</v>
      </c>
      <c r="EF457" s="2"/>
      <c r="EG457" s="2">
        <f>170.1*EG1</f>
        <v>550953.9</v>
      </c>
      <c r="EH457" s="2"/>
      <c r="EI457" s="1">
        <f t="shared" si="86"/>
        <v>27249897.100000001</v>
      </c>
      <c r="EJ457" s="1">
        <f>436.9*EJ1</f>
        <v>3197234.1999999997</v>
      </c>
      <c r="ET457" s="1">
        <f>173.2*ET1</f>
        <v>1460942</v>
      </c>
      <c r="FA457" s="1">
        <f>847.1*FA1</f>
        <v>2718343.9</v>
      </c>
      <c r="FI457" s="1">
        <f>414.6*FI1</f>
        <v>2568032.4000000004</v>
      </c>
      <c r="FQ457" s="1">
        <f>565*FQ1</f>
        <v>5392360</v>
      </c>
      <c r="FZ457" s="1">
        <f>396.8*FZ1</f>
        <v>2355801.6</v>
      </c>
      <c r="GH457" s="1">
        <f>248.6*GH1</f>
        <v>2774376</v>
      </c>
      <c r="GO457" s="1">
        <f>256.7*GO1</f>
        <v>2550057.7999999998</v>
      </c>
      <c r="GX457" s="1">
        <f>124.9*GX$1</f>
        <v>1141336.2</v>
      </c>
      <c r="HD457" s="1">
        <f>58.5*HD$1</f>
        <v>1074060</v>
      </c>
      <c r="HO457" s="1">
        <f>179.4*HO$1</f>
        <v>2017353</v>
      </c>
      <c r="HW457" s="4">
        <f t="shared" si="87"/>
        <v>22261874.900000002</v>
      </c>
      <c r="HX457" s="1">
        <f>172.5*HX$1</f>
        <v>3755325</v>
      </c>
      <c r="HY457" s="2"/>
      <c r="HZ457" s="2"/>
      <c r="IA457" s="2">
        <f t="shared" si="111"/>
        <v>511218.95762076403</v>
      </c>
      <c r="IB457" s="2">
        <f t="shared" si="112"/>
        <v>239058.97236270751</v>
      </c>
      <c r="IC457" s="2">
        <f t="shared" si="113"/>
        <v>227229.99757564088</v>
      </c>
      <c r="ID457" s="2">
        <f t="shared" si="114"/>
        <v>69982.058073850145</v>
      </c>
      <c r="IE457" s="2">
        <f t="shared" si="115"/>
        <v>218743.63796965356</v>
      </c>
      <c r="IF457" s="2">
        <f t="shared" si="116"/>
        <v>350869.33321336709</v>
      </c>
      <c r="IG457" s="2"/>
      <c r="IH457" s="1">
        <f>180.3*IH$1</f>
        <v>945853.8</v>
      </c>
      <c r="II457" s="2"/>
      <c r="IJ457" s="2"/>
      <c r="IK457" s="2"/>
      <c r="IL457" s="1">
        <f>197.6*IL$1</f>
        <v>1299220</v>
      </c>
      <c r="IM457" s="2"/>
      <c r="IN457" s="2"/>
      <c r="IO457" s="2"/>
      <c r="IP457" s="2"/>
      <c r="IQ457" s="2"/>
      <c r="IR457" s="1">
        <f>184.3*IR$1</f>
        <v>966837.8</v>
      </c>
      <c r="IS457" s="2"/>
      <c r="IT457" s="2"/>
      <c r="IU457" s="2"/>
      <c r="IV457" s="2"/>
      <c r="IW457" s="1">
        <f>116.9*IW$1</f>
        <v>1830654</v>
      </c>
      <c r="IX457" s="2"/>
      <c r="IY457" s="2"/>
      <c r="IZ457" s="2"/>
      <c r="JA457" s="2"/>
      <c r="JB457" s="2"/>
      <c r="JC457" s="2"/>
      <c r="JD457" s="2"/>
      <c r="JE457" s="1">
        <f>105.8*JE$1</f>
        <v>1485432</v>
      </c>
      <c r="JF457" s="2"/>
      <c r="JG457" s="2"/>
      <c r="JH457" s="2"/>
      <c r="JI457" s="2"/>
      <c r="JJ457" s="2"/>
      <c r="JK457" s="2"/>
      <c r="JL457" s="2"/>
      <c r="JM457" s="1">
        <f>160.5*JM$1</f>
        <v>1314013.5</v>
      </c>
      <c r="JN457" s="2"/>
      <c r="JO457" s="2"/>
      <c r="JP457" s="2"/>
      <c r="JQ457" s="2"/>
      <c r="JR457" s="2"/>
      <c r="JS457" s="1">
        <f>147.7*JS$1</f>
        <v>1573004.9999999998</v>
      </c>
      <c r="JT457" s="2"/>
      <c r="JU457" s="2"/>
      <c r="JV457" s="2"/>
      <c r="JW457" s="2"/>
      <c r="JX457" s="2"/>
      <c r="JY457" s="2"/>
      <c r="JZ457" s="1">
        <f>126.4*JZ$1</f>
        <v>3103120</v>
      </c>
      <c r="KA457" s="2"/>
      <c r="KB457" s="2"/>
      <c r="KC457" s="2"/>
      <c r="KD457" s="2"/>
      <c r="KE457" s="2"/>
      <c r="KF457" s="2"/>
      <c r="KG457" s="2"/>
      <c r="KH457" s="2"/>
      <c r="KI457" s="2"/>
      <c r="KJ457" s="2"/>
      <c r="KK457" s="1">
        <f>223.4*KK$1</f>
        <v>1201892</v>
      </c>
      <c r="KL457" s="2"/>
      <c r="KM457" s="2"/>
      <c r="KN457" s="2"/>
      <c r="KO457" s="2"/>
      <c r="KP457" s="1">
        <f>82*KP$1</f>
        <v>722092</v>
      </c>
      <c r="KQ457" s="2"/>
      <c r="KR457" s="2"/>
      <c r="KS457" s="2"/>
      <c r="KT457" s="2"/>
      <c r="KU457" s="2"/>
      <c r="KV457" s="1">
        <f>108.4*KV$1</f>
        <v>2513796</v>
      </c>
      <c r="KW457" s="2"/>
      <c r="KX457" s="2"/>
      <c r="KY457" s="2"/>
      <c r="KZ457" s="2"/>
      <c r="LA457" s="2"/>
      <c r="LB457" s="2"/>
      <c r="LC457" s="2"/>
      <c r="LD457" s="2"/>
      <c r="LE457" s="2"/>
      <c r="LF457" s="2"/>
      <c r="LG457" s="1">
        <f>101*LG$1</f>
        <v>877892</v>
      </c>
      <c r="LH457" s="2"/>
      <c r="LI457" s="2"/>
      <c r="LJ457" s="1">
        <f>97.4*LJ$1</f>
        <v>672741.8</v>
      </c>
      <c r="LK457" s="2"/>
      <c r="LL457" s="2"/>
      <c r="LM457" s="2"/>
      <c r="LN457" s="2"/>
      <c r="LO457" s="1">
        <f t="shared" si="88"/>
        <v>4403838.3</v>
      </c>
      <c r="LP457" s="1">
        <f>764.8*LP$1</f>
        <v>1772041.5999999999</v>
      </c>
      <c r="LU457" s="1">
        <f>633.1*LU$1</f>
        <v>2631796.7000000002</v>
      </c>
    </row>
    <row r="458" spans="1:333">
      <c r="A458" s="1">
        <v>1821</v>
      </c>
      <c r="AG458" s="1">
        <f t="shared" ref="AG458:AG482" si="117">AG459/1.0034</f>
        <v>716861.48584273236</v>
      </c>
      <c r="BI458" s="4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HW458" s="4"/>
      <c r="HX458" s="2"/>
      <c r="HY458" s="2"/>
      <c r="HZ458" s="2"/>
      <c r="IA458" s="2">
        <f t="shared" si="111"/>
        <v>512497.00501481589</v>
      </c>
      <c r="IB458" s="2">
        <f t="shared" si="112"/>
        <v>239656.61979361426</v>
      </c>
      <c r="IC458" s="2">
        <f t="shared" si="113"/>
        <v>227798.07256957996</v>
      </c>
      <c r="ID458" s="2">
        <f t="shared" si="114"/>
        <v>70157.013219034765</v>
      </c>
      <c r="IE458" s="2">
        <f t="shared" si="115"/>
        <v>219290.49706457768</v>
      </c>
      <c r="IF458" s="2">
        <f t="shared" si="116"/>
        <v>351746.50654640049</v>
      </c>
      <c r="IG458" s="2"/>
      <c r="IH458" s="2">
        <f>SUM(II458:IK458)</f>
        <v>1189210.9615069986</v>
      </c>
      <c r="II458" s="2">
        <v>648475</v>
      </c>
      <c r="IJ458" s="2">
        <f>IK458*IJ439/IK439</f>
        <v>259573.96150699872</v>
      </c>
      <c r="IK458" s="2">
        <v>281162</v>
      </c>
      <c r="IL458" s="2">
        <v>1299000</v>
      </c>
      <c r="IM458" s="2">
        <v>311242</v>
      </c>
      <c r="IN458" s="2">
        <v>160770</v>
      </c>
      <c r="IO458" s="2">
        <v>156959</v>
      </c>
      <c r="IP458" s="2">
        <f>60730*5.2</f>
        <v>315796</v>
      </c>
      <c r="IQ458" s="2">
        <v>183449</v>
      </c>
      <c r="IR458" s="2">
        <f>206741*4.6</f>
        <v>951008.6</v>
      </c>
      <c r="IS458" s="2">
        <f>19641*4.6</f>
        <v>90348.599999999991</v>
      </c>
      <c r="IT458" s="2">
        <f>78455*4.6</f>
        <v>360893</v>
      </c>
      <c r="IU458" s="2">
        <f>87583*4.6</f>
        <v>402881.8</v>
      </c>
      <c r="IV458" s="2">
        <f>21062*4.6</f>
        <v>96885.2</v>
      </c>
      <c r="IW458" s="2">
        <v>1777277</v>
      </c>
      <c r="IX458" s="2">
        <v>431881</v>
      </c>
      <c r="IY458" s="2">
        <v>355168</v>
      </c>
      <c r="IZ458" s="2">
        <v>237481</v>
      </c>
      <c r="JA458" s="2">
        <v>2888220</v>
      </c>
      <c r="JB458" s="2">
        <v>190272</v>
      </c>
      <c r="JC458" s="2">
        <v>110375</v>
      </c>
      <c r="JD458" s="2">
        <v>163880</v>
      </c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  <c r="JY458" s="2"/>
      <c r="JZ458" s="2">
        <v>3104000</v>
      </c>
      <c r="KA458" s="2"/>
      <c r="KB458" s="2"/>
      <c r="KC458" s="2"/>
      <c r="KD458" s="2"/>
      <c r="KE458" s="2"/>
      <c r="KF458" s="2"/>
      <c r="KG458" s="2"/>
      <c r="KH458" s="2"/>
      <c r="KI458" s="2"/>
      <c r="KJ458" s="2"/>
      <c r="KK458" s="2">
        <v>1202000</v>
      </c>
      <c r="KL458" s="2"/>
      <c r="KM458" s="2"/>
      <c r="KN458" s="2"/>
      <c r="KO458" s="2"/>
      <c r="KP458" s="2"/>
      <c r="KQ458" s="2"/>
      <c r="KR458" s="2"/>
      <c r="KS458" s="2"/>
      <c r="KT458" s="2"/>
      <c r="KU458" s="2"/>
      <c r="KV458" s="2"/>
      <c r="KW458" s="2"/>
      <c r="KX458" s="2"/>
      <c r="KY458" s="2"/>
      <c r="KZ458" s="2"/>
      <c r="LA458" s="2"/>
      <c r="LB458" s="2"/>
      <c r="LC458" s="2"/>
      <c r="LD458" s="2"/>
      <c r="LE458" s="2"/>
      <c r="LF458" s="2"/>
      <c r="LG458" s="2"/>
      <c r="LH458" s="2"/>
      <c r="LI458" s="2"/>
      <c r="LJ458" s="2">
        <v>673000</v>
      </c>
      <c r="LK458" s="2"/>
      <c r="LL458" s="2"/>
      <c r="LM458" s="2"/>
      <c r="LN458" s="2"/>
    </row>
    <row r="459" spans="1:333">
      <c r="A459" s="1">
        <v>1822</v>
      </c>
      <c r="AG459" s="1">
        <f t="shared" si="117"/>
        <v>719298.81489459774</v>
      </c>
      <c r="BI459" s="4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HW459" s="4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  <c r="JY459" s="2"/>
      <c r="JZ459" s="2"/>
      <c r="KA459" s="2"/>
      <c r="KB459" s="2"/>
      <c r="KC459" s="2"/>
      <c r="KD459" s="2"/>
      <c r="KE459" s="2"/>
      <c r="KF459" s="2"/>
      <c r="KG459" s="2"/>
      <c r="KH459" s="2"/>
      <c r="KI459" s="2"/>
      <c r="KJ459" s="2"/>
      <c r="KK459" s="2"/>
      <c r="KL459" s="2"/>
      <c r="KM459" s="2"/>
      <c r="KN459" s="2"/>
      <c r="KO459" s="2"/>
      <c r="KP459" s="2"/>
      <c r="KQ459" s="2"/>
      <c r="KR459" s="2"/>
      <c r="KS459" s="2"/>
      <c r="KT459" s="2"/>
      <c r="KU459" s="2"/>
      <c r="KV459" s="2"/>
      <c r="KW459" s="2"/>
      <c r="KX459" s="2"/>
      <c r="KY459" s="2"/>
      <c r="KZ459" s="2"/>
      <c r="LA459" s="2"/>
      <c r="LB459" s="2"/>
      <c r="LC459" s="2"/>
      <c r="LD459" s="2"/>
      <c r="LE459" s="2"/>
      <c r="LF459" s="2"/>
      <c r="LG459" s="2"/>
      <c r="LH459" s="2"/>
      <c r="LI459" s="2"/>
      <c r="LJ459" s="2"/>
      <c r="LK459" s="2"/>
      <c r="LL459" s="2"/>
      <c r="LM459" s="2"/>
      <c r="LN459" s="2"/>
    </row>
    <row r="460" spans="1:333">
      <c r="A460" s="1">
        <v>1823</v>
      </c>
      <c r="AG460" s="1">
        <f t="shared" si="117"/>
        <v>721744.43086523947</v>
      </c>
      <c r="BI460" s="4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HW460" s="4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  <c r="JY460" s="2"/>
      <c r="JZ460" s="2"/>
      <c r="KA460" s="2"/>
      <c r="KB460" s="2"/>
      <c r="KC460" s="2"/>
      <c r="KD460" s="2"/>
      <c r="KE460" s="2"/>
      <c r="KF460" s="2"/>
      <c r="KG460" s="2"/>
      <c r="KH460" s="2"/>
      <c r="KI460" s="2"/>
      <c r="KJ460" s="2"/>
      <c r="KK460" s="2"/>
      <c r="KL460" s="2"/>
      <c r="KM460" s="2"/>
      <c r="KN460" s="2"/>
      <c r="KO460" s="2"/>
      <c r="KP460" s="2"/>
      <c r="KQ460" s="2"/>
      <c r="KR460" s="2"/>
      <c r="KS460" s="2"/>
      <c r="KT460" s="2"/>
      <c r="KU460" s="2"/>
      <c r="KV460" s="2"/>
      <c r="KW460" s="2"/>
      <c r="KX460" s="2"/>
      <c r="KY460" s="2"/>
      <c r="KZ460" s="2"/>
      <c r="LA460" s="2"/>
      <c r="LB460" s="2"/>
      <c r="LC460" s="2"/>
      <c r="LD460" s="2"/>
      <c r="LE460" s="2"/>
      <c r="LF460" s="2"/>
      <c r="LG460" s="2"/>
      <c r="LH460" s="2"/>
      <c r="LI460" s="2"/>
      <c r="LJ460" s="2"/>
      <c r="LK460" s="2"/>
      <c r="LL460" s="2"/>
      <c r="LM460" s="2"/>
      <c r="LN460" s="2"/>
    </row>
    <row r="461" spans="1:333">
      <c r="A461" s="1">
        <v>1824</v>
      </c>
      <c r="AG461" s="1">
        <f t="shared" si="117"/>
        <v>724198.36193018139</v>
      </c>
      <c r="BI461" s="4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HW461" s="4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  <c r="JY461" s="2"/>
      <c r="JZ461" s="2"/>
      <c r="KA461" s="2"/>
      <c r="KB461" s="2"/>
      <c r="KC461" s="2"/>
      <c r="KD461" s="2"/>
      <c r="KE461" s="2"/>
      <c r="KF461" s="2"/>
      <c r="KG461" s="2"/>
      <c r="KH461" s="2"/>
      <c r="KI461" s="2"/>
      <c r="KJ461" s="2"/>
      <c r="KK461" s="2"/>
      <c r="KL461" s="2"/>
      <c r="KM461" s="2"/>
      <c r="KN461" s="2"/>
      <c r="KO461" s="2"/>
      <c r="KP461" s="2"/>
      <c r="KQ461" s="2"/>
      <c r="KR461" s="2"/>
      <c r="KS461" s="2"/>
      <c r="KT461" s="2"/>
      <c r="KU461" s="2"/>
      <c r="KV461" s="2"/>
      <c r="KW461" s="2"/>
      <c r="KX461" s="2"/>
      <c r="KY461" s="2"/>
      <c r="KZ461" s="2"/>
      <c r="LA461" s="2"/>
      <c r="LB461" s="2"/>
      <c r="LC461" s="2"/>
      <c r="LD461" s="2"/>
      <c r="LE461" s="2"/>
      <c r="LF461" s="2"/>
      <c r="LG461" s="2"/>
      <c r="LH461" s="2"/>
      <c r="LI461" s="2"/>
      <c r="LJ461" s="2"/>
      <c r="LK461" s="2"/>
      <c r="LL461" s="2"/>
      <c r="LM461" s="2"/>
      <c r="LN461" s="2"/>
    </row>
    <row r="462" spans="1:333">
      <c r="A462" s="1">
        <v>1825</v>
      </c>
      <c r="AG462" s="1">
        <f t="shared" si="117"/>
        <v>726660.63636074401</v>
      </c>
      <c r="BI462" s="4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>
        <v>272000</v>
      </c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HW462" s="4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  <c r="JY462" s="2"/>
      <c r="JZ462" s="2"/>
      <c r="KA462" s="2"/>
      <c r="KB462" s="2"/>
      <c r="KC462" s="2"/>
      <c r="KD462" s="2"/>
      <c r="KE462" s="2"/>
      <c r="KF462" s="2"/>
      <c r="KG462" s="2"/>
      <c r="KH462" s="2"/>
      <c r="KI462" s="2"/>
      <c r="KJ462" s="2"/>
      <c r="KK462" s="2"/>
      <c r="KL462" s="2"/>
      <c r="KM462" s="2"/>
      <c r="KN462" s="2"/>
      <c r="KO462" s="2"/>
      <c r="KP462" s="2"/>
      <c r="KQ462" s="2"/>
      <c r="KR462" s="2"/>
      <c r="KS462" s="2"/>
      <c r="KT462" s="2"/>
      <c r="KU462" s="2"/>
      <c r="KV462" s="2"/>
      <c r="KW462" s="2"/>
      <c r="KX462" s="2"/>
      <c r="KY462" s="2"/>
      <c r="KZ462" s="2"/>
      <c r="LA462" s="2"/>
      <c r="LB462" s="2"/>
      <c r="LC462" s="2"/>
      <c r="LD462" s="2"/>
      <c r="LE462" s="2"/>
      <c r="LF462" s="2"/>
      <c r="LG462" s="2"/>
      <c r="LH462" s="2"/>
      <c r="LI462" s="2"/>
      <c r="LJ462" s="2"/>
      <c r="LK462" s="2"/>
      <c r="LL462" s="2"/>
      <c r="LM462" s="2"/>
      <c r="LN462" s="2"/>
    </row>
    <row r="463" spans="1:333">
      <c r="A463" s="1">
        <v>1826</v>
      </c>
      <c r="AG463" s="1">
        <f t="shared" si="117"/>
        <v>729131.28252437059</v>
      </c>
      <c r="BI463" s="4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HW463" s="4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  <c r="JY463" s="2"/>
      <c r="JZ463" s="2"/>
      <c r="KA463" s="2"/>
      <c r="KB463" s="2"/>
      <c r="KC463" s="2"/>
      <c r="KD463" s="2"/>
      <c r="KE463" s="2"/>
      <c r="KF463" s="2"/>
      <c r="KG463" s="2"/>
      <c r="KH463" s="2"/>
      <c r="KI463" s="2"/>
      <c r="KJ463" s="2"/>
      <c r="KK463" s="2"/>
      <c r="KL463" s="2"/>
      <c r="KM463" s="2"/>
      <c r="KN463" s="2"/>
      <c r="KO463" s="2"/>
      <c r="KP463" s="2"/>
      <c r="KQ463" s="2"/>
      <c r="KR463" s="2"/>
      <c r="KS463" s="2"/>
      <c r="KT463" s="2"/>
      <c r="KU463" s="2"/>
      <c r="KV463" s="2"/>
      <c r="KW463" s="2"/>
      <c r="KX463" s="2"/>
      <c r="KY463" s="2"/>
      <c r="KZ463" s="2"/>
      <c r="LA463" s="2"/>
      <c r="LB463" s="2"/>
      <c r="LC463" s="2"/>
      <c r="LD463" s="2"/>
      <c r="LE463" s="2"/>
      <c r="LF463" s="2"/>
      <c r="LG463" s="2"/>
      <c r="LH463" s="2"/>
      <c r="LI463" s="2"/>
      <c r="LJ463" s="2"/>
      <c r="LK463" s="2"/>
      <c r="LL463" s="2"/>
      <c r="LM463" s="2"/>
      <c r="LN463" s="2"/>
    </row>
    <row r="464" spans="1:333">
      <c r="A464" s="1">
        <v>1827</v>
      </c>
      <c r="AG464" s="1">
        <f t="shared" si="117"/>
        <v>731610.32888495352</v>
      </c>
      <c r="BI464" s="4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HW464" s="4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  <c r="JY464" s="2"/>
      <c r="JZ464" s="2"/>
      <c r="KA464" s="2"/>
      <c r="KB464" s="2"/>
      <c r="KC464" s="2"/>
      <c r="KD464" s="2"/>
      <c r="KE464" s="2"/>
      <c r="KF464" s="2"/>
      <c r="KG464" s="2"/>
      <c r="KH464" s="2"/>
      <c r="KI464" s="2"/>
      <c r="KJ464" s="2"/>
      <c r="KK464" s="2"/>
      <c r="KL464" s="2"/>
      <c r="KM464" s="2"/>
      <c r="KN464" s="2"/>
      <c r="KO464" s="2"/>
      <c r="KP464" s="2"/>
      <c r="KQ464" s="2"/>
      <c r="KR464" s="2"/>
      <c r="KS464" s="2"/>
      <c r="KT464" s="2"/>
      <c r="KU464" s="2"/>
      <c r="KV464" s="2"/>
      <c r="KW464" s="2"/>
      <c r="KX464" s="2"/>
      <c r="KY464" s="2"/>
      <c r="KZ464" s="2"/>
      <c r="LA464" s="2"/>
      <c r="LB464" s="2"/>
      <c r="LC464" s="2"/>
      <c r="LD464" s="2"/>
      <c r="LE464" s="2"/>
      <c r="LF464" s="2"/>
      <c r="LG464" s="2"/>
      <c r="LH464" s="2"/>
      <c r="LI464" s="2"/>
      <c r="LJ464" s="2"/>
      <c r="LK464" s="2"/>
      <c r="LL464" s="2"/>
      <c r="LM464" s="2"/>
      <c r="LN464" s="2"/>
    </row>
    <row r="465" spans="1:326">
      <c r="A465" s="1">
        <v>1828</v>
      </c>
      <c r="AG465" s="1">
        <f t="shared" si="117"/>
        <v>734097.80400316243</v>
      </c>
      <c r="BI465" s="4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HW465" s="4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  <c r="JY465" s="2"/>
      <c r="JZ465" s="2"/>
      <c r="KA465" s="2"/>
      <c r="KB465" s="2"/>
      <c r="KC465" s="2"/>
      <c r="KD465" s="2"/>
      <c r="KE465" s="2"/>
      <c r="KF465" s="2"/>
      <c r="KG465" s="2"/>
      <c r="KH465" s="2"/>
      <c r="KI465" s="2"/>
      <c r="KJ465" s="2"/>
      <c r="KK465" s="2"/>
      <c r="KL465" s="2"/>
      <c r="KM465" s="2"/>
      <c r="KN465" s="2"/>
      <c r="KO465" s="2"/>
      <c r="KP465" s="2"/>
      <c r="KQ465" s="2"/>
      <c r="KR465" s="2"/>
      <c r="KS465" s="2"/>
      <c r="KT465" s="2"/>
      <c r="KU465" s="2"/>
      <c r="KV465" s="2"/>
      <c r="KW465" s="2"/>
      <c r="KX465" s="2"/>
      <c r="KY465" s="2"/>
      <c r="KZ465" s="2"/>
      <c r="LA465" s="2"/>
      <c r="LB465" s="2"/>
      <c r="LC465" s="2"/>
      <c r="LD465" s="2"/>
      <c r="LE465" s="2"/>
      <c r="LF465" s="2"/>
      <c r="LG465" s="2"/>
      <c r="LH465" s="2"/>
      <c r="LI465" s="2"/>
      <c r="LJ465" s="2"/>
      <c r="LK465" s="2"/>
      <c r="LL465" s="2"/>
      <c r="LM465" s="2"/>
      <c r="LN465" s="2"/>
    </row>
    <row r="466" spans="1:326">
      <c r="A466" s="1">
        <v>1829</v>
      </c>
      <c r="AG466" s="1">
        <f t="shared" si="117"/>
        <v>736593.73653677327</v>
      </c>
      <c r="BI466" s="4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HW466" s="4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  <c r="JY466" s="2"/>
      <c r="JZ466" s="2"/>
      <c r="KA466" s="2"/>
      <c r="KB466" s="2"/>
      <c r="KC466" s="2"/>
      <c r="KD466" s="2"/>
      <c r="KE466" s="2"/>
      <c r="KF466" s="2"/>
      <c r="KG466" s="2"/>
      <c r="KH466" s="2"/>
      <c r="KI466" s="2"/>
      <c r="KJ466" s="2"/>
      <c r="KK466" s="2"/>
      <c r="KL466" s="2"/>
      <c r="KM466" s="2"/>
      <c r="KN466" s="2"/>
      <c r="KO466" s="2"/>
      <c r="KP466" s="2"/>
      <c r="KQ466" s="2"/>
      <c r="KR466" s="2"/>
      <c r="KS466" s="2"/>
      <c r="KT466" s="2"/>
      <c r="KU466" s="2"/>
      <c r="KV466" s="2"/>
      <c r="KW466" s="2"/>
      <c r="KX466" s="2"/>
      <c r="KY466" s="2"/>
      <c r="KZ466" s="2"/>
      <c r="LA466" s="2"/>
      <c r="LB466" s="2"/>
      <c r="LC466" s="2"/>
      <c r="LD466" s="2"/>
      <c r="LE466" s="2"/>
      <c r="LF466" s="2"/>
      <c r="LG466" s="2"/>
      <c r="LH466" s="2"/>
      <c r="LI466" s="2"/>
      <c r="LJ466" s="2"/>
      <c r="LK466" s="2"/>
      <c r="LL466" s="2"/>
      <c r="LM466" s="2"/>
      <c r="LN466" s="2"/>
    </row>
    <row r="467" spans="1:326">
      <c r="A467" s="1">
        <v>1830</v>
      </c>
      <c r="AG467" s="1">
        <f t="shared" si="117"/>
        <v>739098.15524099837</v>
      </c>
      <c r="AH467" s="1">
        <v>5938087.5599999996</v>
      </c>
      <c r="AI467" s="1">
        <v>2508650.2200000002</v>
      </c>
      <c r="AJ467" s="1">
        <v>515708.15999999997</v>
      </c>
      <c r="AK467" s="1">
        <v>548731.62</v>
      </c>
      <c r="AL467" s="1">
        <v>404255.94</v>
      </c>
      <c r="AM467" s="1">
        <v>544994.1</v>
      </c>
      <c r="AN467" s="1">
        <v>470777.88</v>
      </c>
      <c r="AO467" s="1">
        <v>258503.1</v>
      </c>
      <c r="AP467" s="1">
        <v>359108.16</v>
      </c>
      <c r="AQ467" s="1">
        <v>327184.38</v>
      </c>
      <c r="BI467" s="4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HW467" s="4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  <c r="JY467" s="2"/>
      <c r="JZ467" s="2"/>
      <c r="KA467" s="2"/>
      <c r="KB467" s="2"/>
      <c r="KC467" s="2"/>
      <c r="KD467" s="2"/>
      <c r="KE467" s="2"/>
      <c r="KF467" s="2"/>
      <c r="KG467" s="2"/>
      <c r="KH467" s="2"/>
      <c r="KI467" s="2"/>
      <c r="KJ467" s="2"/>
      <c r="KK467" s="2"/>
      <c r="KL467" s="2"/>
      <c r="KM467" s="2"/>
      <c r="KN467" s="2"/>
      <c r="KO467" s="2"/>
      <c r="KP467" s="2"/>
      <c r="KQ467" s="2"/>
      <c r="KR467" s="2"/>
      <c r="KS467" s="2"/>
      <c r="KT467" s="2"/>
      <c r="KU467" s="2"/>
      <c r="KV467" s="2"/>
      <c r="KW467" s="2"/>
      <c r="KX467" s="2"/>
      <c r="KY467" s="2"/>
      <c r="KZ467" s="2"/>
      <c r="LA467" s="2"/>
      <c r="LB467" s="2"/>
      <c r="LC467" s="2"/>
      <c r="LD467" s="2"/>
      <c r="LE467" s="2"/>
      <c r="LF467" s="2"/>
      <c r="LG467" s="2"/>
      <c r="LH467" s="2"/>
      <c r="LI467" s="2"/>
      <c r="LJ467" s="2"/>
      <c r="LK467" s="2"/>
      <c r="LL467" s="2"/>
      <c r="LM467" s="2"/>
      <c r="LN467" s="2"/>
    </row>
    <row r="468" spans="1:326">
      <c r="A468" s="1">
        <v>1831</v>
      </c>
      <c r="AG468" s="1">
        <f t="shared" si="117"/>
        <v>741611.08896881784</v>
      </c>
      <c r="BI468" s="4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HW468" s="4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  <c r="JY468" s="2"/>
      <c r="JZ468" s="2"/>
      <c r="KA468" s="2"/>
      <c r="KB468" s="2"/>
      <c r="KC468" s="2"/>
      <c r="KD468" s="2"/>
      <c r="KE468" s="2"/>
      <c r="KF468" s="2"/>
      <c r="KG468" s="2"/>
      <c r="KH468" s="2"/>
      <c r="KI468" s="2"/>
      <c r="KJ468" s="2"/>
      <c r="KK468" s="2"/>
      <c r="KL468" s="2"/>
      <c r="KM468" s="2"/>
      <c r="KN468" s="2"/>
      <c r="KO468" s="2"/>
      <c r="KP468" s="2"/>
      <c r="KQ468" s="2"/>
      <c r="KR468" s="2"/>
      <c r="KS468" s="2"/>
      <c r="KT468" s="2"/>
      <c r="KU468" s="2"/>
      <c r="KV468" s="2"/>
      <c r="KW468" s="2"/>
      <c r="KX468" s="2"/>
      <c r="KY468" s="2"/>
      <c r="KZ468" s="2"/>
      <c r="LA468" s="2"/>
      <c r="LB468" s="2"/>
      <c r="LC468" s="2"/>
      <c r="LD468" s="2"/>
      <c r="LE468" s="2"/>
      <c r="LF468" s="2"/>
      <c r="LG468" s="2"/>
      <c r="LH468" s="2"/>
      <c r="LI468" s="2"/>
      <c r="LJ468" s="2"/>
      <c r="LK468" s="2"/>
      <c r="LL468" s="2"/>
      <c r="LM468" s="2"/>
      <c r="LN468" s="2"/>
    </row>
    <row r="469" spans="1:326">
      <c r="A469" s="1">
        <v>1832</v>
      </c>
      <c r="AG469" s="1">
        <f t="shared" si="117"/>
        <v>744132.56667131186</v>
      </c>
      <c r="BI469" s="4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HW469" s="4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  <c r="JY469" s="2"/>
      <c r="JZ469" s="2"/>
      <c r="KA469" s="2"/>
      <c r="KB469" s="2"/>
      <c r="KC469" s="2"/>
      <c r="KD469" s="2"/>
      <c r="KE469" s="2"/>
      <c r="KF469" s="2"/>
      <c r="KG469" s="2"/>
      <c r="KH469" s="2"/>
      <c r="KI469" s="2"/>
      <c r="KJ469" s="2"/>
      <c r="KK469" s="2"/>
      <c r="KL469" s="2"/>
      <c r="KM469" s="2"/>
      <c r="KN469" s="2"/>
      <c r="KO469" s="2"/>
      <c r="KP469" s="2"/>
      <c r="KQ469" s="2"/>
      <c r="KR469" s="2"/>
      <c r="KS469" s="2"/>
      <c r="KT469" s="2"/>
      <c r="KU469" s="2"/>
      <c r="KV469" s="2"/>
      <c r="KW469" s="2"/>
      <c r="KX469" s="2"/>
      <c r="KY469" s="2"/>
      <c r="KZ469" s="2"/>
      <c r="LA469" s="2"/>
      <c r="LB469" s="2"/>
      <c r="LC469" s="2"/>
      <c r="LD469" s="2"/>
      <c r="LE469" s="2"/>
      <c r="LF469" s="2"/>
      <c r="LG469" s="2"/>
      <c r="LH469" s="2"/>
      <c r="LI469" s="2"/>
      <c r="LJ469" s="2"/>
      <c r="LK469" s="2"/>
      <c r="LL469" s="2"/>
      <c r="LM469" s="2"/>
      <c r="LN469" s="2"/>
    </row>
    <row r="470" spans="1:326">
      <c r="A470" s="1">
        <v>1833</v>
      </c>
      <c r="AG470" s="1">
        <f t="shared" si="117"/>
        <v>746662.61739799439</v>
      </c>
      <c r="BI470" s="4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HW470" s="4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  <c r="JY470" s="2"/>
      <c r="JZ470" s="2"/>
      <c r="KA470" s="2"/>
      <c r="KB470" s="2"/>
      <c r="KC470" s="2"/>
      <c r="KD470" s="2"/>
      <c r="KE470" s="2"/>
      <c r="KF470" s="2"/>
      <c r="KG470" s="2"/>
      <c r="KH470" s="2"/>
      <c r="KI470" s="2"/>
      <c r="KJ470" s="2"/>
      <c r="KK470" s="2"/>
      <c r="KL470" s="2"/>
      <c r="KM470" s="2"/>
      <c r="KN470" s="2"/>
      <c r="KO470" s="2"/>
      <c r="KP470" s="2"/>
      <c r="KQ470" s="2"/>
      <c r="KR470" s="2"/>
      <c r="KS470" s="2"/>
      <c r="KT470" s="2"/>
      <c r="KU470" s="2"/>
      <c r="KV470" s="2"/>
      <c r="KW470" s="2"/>
      <c r="KX470" s="2"/>
      <c r="KY470" s="2"/>
      <c r="KZ470" s="2"/>
      <c r="LA470" s="2"/>
      <c r="LB470" s="2"/>
      <c r="LC470" s="2"/>
      <c r="LD470" s="2"/>
      <c r="LE470" s="2"/>
      <c r="LF470" s="2"/>
      <c r="LG470" s="2"/>
      <c r="LH470" s="2"/>
      <c r="LI470" s="2"/>
      <c r="LJ470" s="2"/>
      <c r="LK470" s="2"/>
      <c r="LL470" s="2"/>
      <c r="LM470" s="2"/>
      <c r="LN470" s="2"/>
    </row>
    <row r="471" spans="1:326">
      <c r="A471" s="1">
        <v>1834</v>
      </c>
      <c r="AG471" s="1">
        <f t="shared" si="117"/>
        <v>749201.27029714757</v>
      </c>
      <c r="BI471" s="4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HW471" s="4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  <c r="JY471" s="2"/>
      <c r="JZ471" s="2"/>
      <c r="KA471" s="2"/>
      <c r="KB471" s="2"/>
      <c r="KC471" s="2"/>
      <c r="KD471" s="2"/>
      <c r="KE471" s="2"/>
      <c r="KF471" s="2"/>
      <c r="KG471" s="2"/>
      <c r="KH471" s="2"/>
      <c r="KI471" s="2"/>
      <c r="KJ471" s="2"/>
      <c r="KK471" s="2"/>
      <c r="KL471" s="2"/>
      <c r="KM471" s="2"/>
      <c r="KN471" s="2"/>
      <c r="KO471" s="2"/>
      <c r="KP471" s="2"/>
      <c r="KQ471" s="2"/>
      <c r="KR471" s="2"/>
      <c r="KS471" s="2"/>
      <c r="KT471" s="2"/>
      <c r="KU471" s="2"/>
      <c r="KV471" s="2"/>
      <c r="KW471" s="2"/>
      <c r="KX471" s="2"/>
      <c r="KY471" s="2"/>
      <c r="KZ471" s="2"/>
      <c r="LA471" s="2"/>
      <c r="LB471" s="2"/>
      <c r="LC471" s="2"/>
      <c r="LD471" s="2"/>
      <c r="LE471" s="2"/>
      <c r="LF471" s="2"/>
      <c r="LG471" s="2"/>
      <c r="LH471" s="2"/>
      <c r="LI471" s="2"/>
      <c r="LJ471" s="2"/>
      <c r="LK471" s="2"/>
      <c r="LL471" s="2"/>
      <c r="LM471" s="2"/>
      <c r="LN471" s="2"/>
    </row>
    <row r="472" spans="1:326">
      <c r="A472" s="1">
        <v>1835</v>
      </c>
      <c r="AG472" s="1">
        <f t="shared" si="117"/>
        <v>751748.5546161579</v>
      </c>
      <c r="BI472" s="4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HW472" s="4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  <c r="JY472" s="2"/>
      <c r="JZ472" s="2"/>
      <c r="KA472" s="2"/>
      <c r="KB472" s="2"/>
      <c r="KC472" s="2"/>
      <c r="KD472" s="2"/>
      <c r="KE472" s="2"/>
      <c r="KF472" s="2"/>
      <c r="KG472" s="2"/>
      <c r="KH472" s="2"/>
      <c r="KI472" s="2"/>
      <c r="KJ472" s="2"/>
      <c r="KK472" s="2"/>
      <c r="KL472" s="2"/>
      <c r="KM472" s="2"/>
      <c r="KN472" s="2"/>
      <c r="KO472" s="2"/>
      <c r="KP472" s="2"/>
      <c r="KQ472" s="2"/>
      <c r="KR472" s="2"/>
      <c r="KS472" s="2"/>
      <c r="KT472" s="2"/>
      <c r="KU472" s="2"/>
      <c r="KV472" s="2"/>
      <c r="KW472" s="2"/>
      <c r="KX472" s="2"/>
      <c r="KY472" s="2"/>
      <c r="KZ472" s="2"/>
      <c r="LA472" s="2"/>
      <c r="LB472" s="2"/>
      <c r="LC472" s="2"/>
      <c r="LD472" s="2"/>
      <c r="LE472" s="2"/>
      <c r="LF472" s="2"/>
      <c r="LG472" s="2"/>
      <c r="LH472" s="2"/>
      <c r="LI472" s="2"/>
      <c r="LJ472" s="2"/>
      <c r="LK472" s="2"/>
      <c r="LL472" s="2"/>
      <c r="LM472" s="2"/>
      <c r="LN472" s="2"/>
    </row>
    <row r="473" spans="1:326">
      <c r="A473" s="1">
        <v>1836</v>
      </c>
      <c r="AG473" s="1">
        <f t="shared" si="117"/>
        <v>754304.49970185291</v>
      </c>
      <c r="BI473" s="4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HW473" s="4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  <c r="JY473" s="2"/>
      <c r="JZ473" s="2"/>
      <c r="KA473" s="2"/>
      <c r="KB473" s="2"/>
      <c r="KC473" s="2"/>
      <c r="KD473" s="2"/>
      <c r="KE473" s="2"/>
      <c r="KF473" s="2"/>
      <c r="KG473" s="2"/>
      <c r="KH473" s="2"/>
      <c r="KI473" s="2"/>
      <c r="KJ473" s="2"/>
      <c r="KK473" s="2"/>
      <c r="KL473" s="2"/>
      <c r="KM473" s="2"/>
      <c r="KN473" s="2"/>
      <c r="KO473" s="2"/>
      <c r="KP473" s="2"/>
      <c r="KQ473" s="2"/>
      <c r="KR473" s="2"/>
      <c r="KS473" s="2"/>
      <c r="KT473" s="2"/>
      <c r="KU473" s="2"/>
      <c r="KV473" s="2"/>
      <c r="KW473" s="2"/>
      <c r="KX473" s="2"/>
      <c r="KY473" s="2"/>
      <c r="KZ473" s="2"/>
      <c r="LA473" s="2"/>
      <c r="LB473" s="2"/>
      <c r="LC473" s="2"/>
      <c r="LD473" s="2"/>
      <c r="LE473" s="2"/>
      <c r="LF473" s="2"/>
      <c r="LG473" s="2"/>
      <c r="LH473" s="2"/>
      <c r="LI473" s="2"/>
      <c r="LJ473" s="2"/>
      <c r="LK473" s="2"/>
      <c r="LL473" s="2"/>
      <c r="LM473" s="2"/>
      <c r="LN473" s="2"/>
    </row>
    <row r="474" spans="1:326">
      <c r="A474" s="1">
        <v>1837</v>
      </c>
      <c r="AG474" s="1">
        <f t="shared" si="117"/>
        <v>756869.13500083925</v>
      </c>
      <c r="BI474" s="4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HW474" s="4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  <c r="JY474" s="2"/>
      <c r="JZ474" s="2"/>
      <c r="KA474" s="2"/>
      <c r="KB474" s="2"/>
      <c r="KC474" s="2"/>
      <c r="KD474" s="2"/>
      <c r="KE474" s="2"/>
      <c r="KF474" s="2"/>
      <c r="KG474" s="2"/>
      <c r="KH474" s="2"/>
      <c r="KI474" s="2"/>
      <c r="KJ474" s="2"/>
      <c r="KK474" s="2"/>
      <c r="KL474" s="2"/>
      <c r="KM474" s="2"/>
      <c r="KN474" s="2"/>
      <c r="KO474" s="2"/>
      <c r="KP474" s="2"/>
      <c r="KQ474" s="2"/>
      <c r="KR474" s="2"/>
      <c r="KS474" s="2"/>
      <c r="KT474" s="2"/>
      <c r="KU474" s="2"/>
      <c r="KV474" s="2"/>
      <c r="KW474" s="2"/>
      <c r="KX474" s="2"/>
      <c r="KY474" s="2"/>
      <c r="KZ474" s="2"/>
      <c r="LA474" s="2"/>
      <c r="LB474" s="2"/>
      <c r="LC474" s="2"/>
      <c r="LD474" s="2"/>
      <c r="LE474" s="2"/>
      <c r="LF474" s="2"/>
      <c r="LG474" s="2"/>
      <c r="LH474" s="2"/>
      <c r="LI474" s="2"/>
      <c r="LJ474" s="2"/>
      <c r="LK474" s="2"/>
      <c r="LL474" s="2"/>
      <c r="LM474" s="2"/>
      <c r="LN474" s="2"/>
    </row>
    <row r="475" spans="1:326">
      <c r="A475" s="1">
        <v>1838</v>
      </c>
      <c r="AG475" s="1">
        <f t="shared" si="117"/>
        <v>759442.49005984212</v>
      </c>
      <c r="BI475" s="4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FA475" s="1">
        <v>2933764</v>
      </c>
      <c r="FB475" s="1">
        <v>619577</v>
      </c>
      <c r="FC475" s="1">
        <v>502860</v>
      </c>
      <c r="FD475" s="1">
        <v>277013</v>
      </c>
      <c r="FE475" s="1">
        <v>379422</v>
      </c>
      <c r="FF475" s="1">
        <v>327125</v>
      </c>
      <c r="FG475" s="1">
        <v>304306</v>
      </c>
      <c r="FH475" s="1">
        <v>523461</v>
      </c>
      <c r="HW475" s="4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  <c r="JY475" s="2"/>
      <c r="JZ475" s="2"/>
      <c r="KA475" s="2"/>
      <c r="KB475" s="2"/>
      <c r="KC475" s="2"/>
      <c r="KD475" s="2"/>
      <c r="KE475" s="2"/>
      <c r="KF475" s="2"/>
      <c r="KG475" s="2"/>
      <c r="KH475" s="2"/>
      <c r="KI475" s="2"/>
      <c r="KJ475" s="2"/>
      <c r="KK475" s="2"/>
      <c r="KL475" s="2"/>
      <c r="KM475" s="2"/>
      <c r="KN475" s="2"/>
      <c r="KO475" s="2"/>
      <c r="KP475" s="2"/>
      <c r="KQ475" s="2"/>
      <c r="KR475" s="2"/>
      <c r="KS475" s="2"/>
      <c r="KT475" s="2"/>
      <c r="KU475" s="2"/>
      <c r="KV475" s="2"/>
      <c r="KW475" s="2"/>
      <c r="KX475" s="2"/>
      <c r="KY475" s="2"/>
      <c r="KZ475" s="2"/>
      <c r="LA475" s="2"/>
      <c r="LB475" s="2"/>
      <c r="LC475" s="2"/>
      <c r="LD475" s="2"/>
      <c r="LE475" s="2"/>
      <c r="LF475" s="2"/>
      <c r="LG475" s="2"/>
      <c r="LH475" s="2"/>
      <c r="LI475" s="2"/>
      <c r="LJ475" s="2"/>
      <c r="LK475" s="2"/>
      <c r="LL475" s="2"/>
      <c r="LM475" s="2"/>
      <c r="LN475" s="2"/>
    </row>
    <row r="476" spans="1:326">
      <c r="A476" s="1">
        <v>1839</v>
      </c>
      <c r="AG476" s="1">
        <f t="shared" si="117"/>
        <v>762024.59452604561</v>
      </c>
      <c r="BI476" s="4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HW476" s="4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  <c r="JY476" s="2"/>
      <c r="JZ476" s="2"/>
      <c r="KA476" s="2"/>
      <c r="KB476" s="2"/>
      <c r="KC476" s="2"/>
      <c r="KD476" s="2"/>
      <c r="KE476" s="2"/>
      <c r="KF476" s="2"/>
      <c r="KG476" s="2"/>
      <c r="KH476" s="2"/>
      <c r="KI476" s="2"/>
      <c r="KJ476" s="2"/>
      <c r="KK476" s="2"/>
      <c r="KL476" s="2"/>
      <c r="KM476" s="2"/>
      <c r="KN476" s="2"/>
      <c r="KO476" s="2"/>
      <c r="KP476" s="2"/>
      <c r="KQ476" s="2"/>
      <c r="KR476" s="2"/>
      <c r="KS476" s="2"/>
      <c r="KT476" s="2"/>
      <c r="KU476" s="2"/>
      <c r="KV476" s="2"/>
      <c r="KW476" s="2"/>
      <c r="KX476" s="2"/>
      <c r="KY476" s="2"/>
      <c r="KZ476" s="2"/>
      <c r="LA476" s="2"/>
      <c r="LB476" s="2"/>
      <c r="LC476" s="2"/>
      <c r="LD476" s="2"/>
      <c r="LE476" s="2"/>
      <c r="LF476" s="2"/>
      <c r="LG476" s="2"/>
      <c r="LH476" s="2"/>
      <c r="LI476" s="2"/>
      <c r="LJ476" s="2"/>
      <c r="LK476" s="2"/>
      <c r="LL476" s="2"/>
      <c r="LM476" s="2"/>
      <c r="LN476" s="2"/>
    </row>
    <row r="477" spans="1:326">
      <c r="A477" s="1">
        <v>1840</v>
      </c>
      <c r="AG477" s="1">
        <f t="shared" si="117"/>
        <v>764615.47814743419</v>
      </c>
      <c r="BI477" s="4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HW477" s="4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  <c r="JY477" s="2"/>
      <c r="JZ477" s="2"/>
      <c r="KA477" s="2"/>
      <c r="KB477" s="2"/>
      <c r="KC477" s="2"/>
      <c r="KD477" s="2"/>
      <c r="KE477" s="2"/>
      <c r="KF477" s="2"/>
      <c r="KG477" s="2"/>
      <c r="KH477" s="2"/>
      <c r="KI477" s="2"/>
      <c r="KJ477" s="2"/>
      <c r="KK477" s="2"/>
      <c r="KL477" s="2"/>
      <c r="KM477" s="2"/>
      <c r="KN477" s="2"/>
      <c r="KO477" s="2"/>
      <c r="KP477" s="2"/>
      <c r="KQ477" s="2"/>
      <c r="KR477" s="2"/>
      <c r="KS477" s="2"/>
      <c r="KT477" s="2"/>
      <c r="KU477" s="2"/>
      <c r="KV477" s="2"/>
      <c r="KW477" s="2"/>
      <c r="KX477" s="2"/>
      <c r="KY477" s="2"/>
      <c r="KZ477" s="2"/>
      <c r="LA477" s="2"/>
      <c r="LB477" s="2"/>
      <c r="LC477" s="2"/>
      <c r="LD477" s="2"/>
      <c r="LE477" s="2"/>
      <c r="LF477" s="2"/>
      <c r="LG477" s="2"/>
      <c r="LH477" s="2"/>
      <c r="LI477" s="2"/>
      <c r="LJ477" s="2"/>
      <c r="LK477" s="2"/>
      <c r="LL477" s="2"/>
      <c r="LM477" s="2"/>
      <c r="LN477" s="2"/>
    </row>
    <row r="478" spans="1:326">
      <c r="A478" s="1">
        <v>1841</v>
      </c>
      <c r="AG478" s="1">
        <f t="shared" si="117"/>
        <v>767215.1707731355</v>
      </c>
      <c r="BI478" s="4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HW478" s="4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  <c r="JY478" s="2"/>
      <c r="JZ478" s="2"/>
      <c r="KA478" s="2"/>
      <c r="KB478" s="2"/>
      <c r="KC478" s="2"/>
      <c r="KD478" s="2"/>
      <c r="KE478" s="2"/>
      <c r="KF478" s="2"/>
      <c r="KG478" s="2"/>
      <c r="KH478" s="2"/>
      <c r="KI478" s="2"/>
      <c r="KJ478" s="2"/>
      <c r="KK478" s="2"/>
      <c r="KL478" s="2"/>
      <c r="KM478" s="2"/>
      <c r="KN478" s="2"/>
      <c r="KO478" s="2"/>
      <c r="KP478" s="2"/>
      <c r="KQ478" s="2"/>
      <c r="KR478" s="2"/>
      <c r="KS478" s="2"/>
      <c r="KT478" s="2"/>
      <c r="KU478" s="2"/>
      <c r="KV478" s="2"/>
      <c r="KW478" s="2"/>
      <c r="KX478" s="2"/>
      <c r="KY478" s="2"/>
      <c r="KZ478" s="2"/>
      <c r="LA478" s="2"/>
      <c r="LB478" s="2"/>
      <c r="LC478" s="2"/>
      <c r="LD478" s="2"/>
      <c r="LE478" s="2"/>
      <c r="LF478" s="2"/>
      <c r="LG478" s="2"/>
      <c r="LH478" s="2"/>
      <c r="LI478" s="2"/>
      <c r="LJ478" s="2"/>
      <c r="LK478" s="2"/>
      <c r="LL478" s="2"/>
      <c r="LM478" s="2"/>
      <c r="LN478" s="2"/>
    </row>
    <row r="479" spans="1:326">
      <c r="A479" s="1">
        <v>1842</v>
      </c>
      <c r="AG479" s="1">
        <f t="shared" si="117"/>
        <v>769823.70235376421</v>
      </c>
      <c r="BI479" s="4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HW479" s="4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  <c r="JY479" s="2"/>
      <c r="JZ479" s="2"/>
      <c r="KA479" s="2"/>
      <c r="KB479" s="2"/>
      <c r="KC479" s="2"/>
      <c r="KD479" s="2"/>
      <c r="KE479" s="2"/>
      <c r="KF479" s="2"/>
      <c r="KG479" s="2"/>
      <c r="KH479" s="2"/>
      <c r="KI479" s="2"/>
      <c r="KJ479" s="2"/>
      <c r="KK479" s="2"/>
      <c r="KL479" s="2"/>
      <c r="KM479" s="2"/>
      <c r="KN479" s="2"/>
      <c r="KO479" s="2"/>
      <c r="KP479" s="2"/>
      <c r="KQ479" s="2"/>
      <c r="KR479" s="2"/>
      <c r="KS479" s="2"/>
      <c r="KT479" s="2"/>
      <c r="KU479" s="2"/>
      <c r="KV479" s="2"/>
      <c r="KW479" s="2"/>
      <c r="KX479" s="2"/>
      <c r="KY479" s="2"/>
      <c r="KZ479" s="2"/>
      <c r="LA479" s="2"/>
      <c r="LB479" s="2"/>
      <c r="LC479" s="2"/>
      <c r="LD479" s="2"/>
      <c r="LE479" s="2"/>
      <c r="LF479" s="2"/>
      <c r="LG479" s="2"/>
      <c r="LH479" s="2"/>
      <c r="LI479" s="2"/>
      <c r="LJ479" s="2"/>
      <c r="LK479" s="2"/>
      <c r="LL479" s="2"/>
      <c r="LM479" s="2"/>
      <c r="LN479" s="2"/>
    </row>
    <row r="480" spans="1:326">
      <c r="A480" s="1">
        <v>1843</v>
      </c>
      <c r="AG480" s="1">
        <f t="shared" si="117"/>
        <v>772441.10294176708</v>
      </c>
      <c r="BI480" s="4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HW480" s="4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  <c r="JY480" s="2"/>
      <c r="JZ480" s="2"/>
      <c r="KA480" s="2"/>
      <c r="KB480" s="2"/>
      <c r="KC480" s="2"/>
      <c r="KD480" s="2"/>
      <c r="KE480" s="2"/>
      <c r="KF480" s="2"/>
      <c r="KG480" s="2"/>
      <c r="KH480" s="2"/>
      <c r="KI480" s="2"/>
      <c r="KJ480" s="2"/>
      <c r="KK480" s="2"/>
      <c r="KL480" s="2"/>
      <c r="KM480" s="2"/>
      <c r="KN480" s="2"/>
      <c r="KO480" s="2"/>
      <c r="KP480" s="2"/>
      <c r="KQ480" s="2"/>
      <c r="KR480" s="2"/>
      <c r="KS480" s="2"/>
      <c r="KT480" s="2"/>
      <c r="KU480" s="2"/>
      <c r="KV480" s="2"/>
      <c r="KW480" s="2"/>
      <c r="KX480" s="2"/>
      <c r="KY480" s="2"/>
      <c r="KZ480" s="2"/>
      <c r="LA480" s="2"/>
      <c r="LB480" s="2"/>
      <c r="LC480" s="2"/>
      <c r="LD480" s="2"/>
      <c r="LE480" s="2"/>
      <c r="LF480" s="2"/>
      <c r="LG480" s="2"/>
      <c r="LH480" s="2"/>
      <c r="LI480" s="2"/>
      <c r="LJ480" s="2"/>
      <c r="LK480" s="2"/>
      <c r="LL480" s="2"/>
      <c r="LM480" s="2"/>
      <c r="LN480" s="2"/>
    </row>
    <row r="481" spans="1:333">
      <c r="A481" s="1">
        <v>1844</v>
      </c>
      <c r="AG481" s="1">
        <f t="shared" si="117"/>
        <v>775067.40269176918</v>
      </c>
      <c r="BI481" s="4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HW481" s="4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  <c r="JY481" s="2"/>
      <c r="JZ481" s="2"/>
      <c r="KA481" s="2"/>
      <c r="KB481" s="2"/>
      <c r="KC481" s="2"/>
      <c r="KD481" s="2"/>
      <c r="KE481" s="2"/>
      <c r="KF481" s="2"/>
      <c r="KG481" s="2"/>
      <c r="KH481" s="2"/>
      <c r="KI481" s="2"/>
      <c r="KJ481" s="2"/>
      <c r="KK481" s="2"/>
      <c r="KL481" s="2"/>
      <c r="KM481" s="2"/>
      <c r="KN481" s="2"/>
      <c r="KO481" s="2"/>
      <c r="KP481" s="2"/>
      <c r="KQ481" s="2"/>
      <c r="KR481" s="2"/>
      <c r="KS481" s="2"/>
      <c r="KT481" s="2"/>
      <c r="KU481" s="2"/>
      <c r="KV481" s="2"/>
      <c r="KW481" s="2"/>
      <c r="KX481" s="2"/>
      <c r="KY481" s="2"/>
      <c r="KZ481" s="2"/>
      <c r="LA481" s="2"/>
      <c r="LB481" s="2"/>
      <c r="LC481" s="2"/>
      <c r="LD481" s="2"/>
      <c r="LE481" s="2"/>
      <c r="LF481" s="2"/>
      <c r="LG481" s="2"/>
      <c r="LH481" s="2"/>
      <c r="LI481" s="2"/>
      <c r="LJ481" s="2"/>
      <c r="LK481" s="2"/>
      <c r="LL481" s="2"/>
      <c r="LM481" s="2"/>
      <c r="LN481" s="2"/>
    </row>
    <row r="482" spans="1:333">
      <c r="A482" s="1">
        <v>1845</v>
      </c>
      <c r="AG482" s="1">
        <f t="shared" si="117"/>
        <v>777702.63186092128</v>
      </c>
      <c r="BI482" s="4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HW482" s="4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  <c r="JY482" s="2"/>
      <c r="JZ482" s="2"/>
      <c r="KA482" s="2"/>
      <c r="KB482" s="2"/>
      <c r="KC482" s="2"/>
      <c r="KD482" s="2"/>
      <c r="KE482" s="2"/>
      <c r="KF482" s="2"/>
      <c r="KG482" s="2"/>
      <c r="KH482" s="2"/>
      <c r="KI482" s="2"/>
      <c r="KJ482" s="2"/>
      <c r="KK482" s="2"/>
      <c r="KL482" s="2"/>
      <c r="KM482" s="2"/>
      <c r="KN482" s="2"/>
      <c r="KO482" s="2"/>
      <c r="KP482" s="2"/>
      <c r="KQ482" s="2"/>
      <c r="KR482" s="2"/>
      <c r="KS482" s="2"/>
      <c r="KT482" s="2"/>
      <c r="KU482" s="2"/>
      <c r="KV482" s="2"/>
      <c r="KW482" s="2"/>
      <c r="KX482" s="2"/>
      <c r="KY482" s="2"/>
      <c r="KZ482" s="2"/>
      <c r="LA482" s="2"/>
      <c r="LB482" s="2"/>
      <c r="LC482" s="2"/>
      <c r="LD482" s="2"/>
      <c r="LE482" s="2"/>
      <c r="LF482" s="2"/>
      <c r="LG482" s="2"/>
      <c r="LH482" s="2"/>
      <c r="LI482" s="2"/>
      <c r="LJ482" s="2"/>
      <c r="LK482" s="2"/>
      <c r="LL482" s="2"/>
      <c r="LM482" s="2"/>
      <c r="LN482" s="2"/>
    </row>
    <row r="483" spans="1:333">
      <c r="A483" s="1">
        <v>1846</v>
      </c>
      <c r="AG483" s="1">
        <f>AG484/1.0034</f>
        <v>780346.82080924849</v>
      </c>
      <c r="BI483" s="4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HW483" s="4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  <c r="JY483" s="2"/>
      <c r="JZ483" s="2"/>
      <c r="KA483" s="2"/>
      <c r="KB483" s="2"/>
      <c r="KC483" s="2"/>
      <c r="KD483" s="2"/>
      <c r="KE483" s="2"/>
      <c r="KF483" s="2"/>
      <c r="KG483" s="2"/>
      <c r="KH483" s="2"/>
      <c r="KI483" s="2"/>
      <c r="KJ483" s="2"/>
      <c r="KK483" s="2"/>
      <c r="KL483" s="2"/>
      <c r="KM483" s="2"/>
      <c r="KN483" s="2"/>
      <c r="KO483" s="2"/>
      <c r="KP483" s="2"/>
      <c r="KQ483" s="2"/>
      <c r="KR483" s="2"/>
      <c r="KS483" s="2"/>
      <c r="KT483" s="2"/>
      <c r="KU483" s="2"/>
      <c r="KV483" s="2"/>
      <c r="KW483" s="2"/>
      <c r="KX483" s="2"/>
      <c r="KY483" s="2"/>
      <c r="KZ483" s="2"/>
      <c r="LA483" s="2"/>
      <c r="LB483" s="2"/>
      <c r="LC483" s="2"/>
      <c r="LD483" s="2"/>
      <c r="LE483" s="2"/>
      <c r="LF483" s="2"/>
      <c r="LG483" s="2"/>
      <c r="LH483" s="2"/>
      <c r="LI483" s="2"/>
      <c r="LJ483" s="2"/>
      <c r="LK483" s="2"/>
      <c r="LL483" s="2"/>
      <c r="LM483" s="2"/>
      <c r="LN483" s="2"/>
    </row>
    <row r="484" spans="1:333">
      <c r="A484" s="1">
        <v>1847</v>
      </c>
      <c r="AG484" s="1">
        <v>783000</v>
      </c>
      <c r="BI484" s="4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HW484" s="4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  <c r="JY484" s="2"/>
      <c r="JZ484" s="2"/>
      <c r="KA484" s="2"/>
      <c r="KB484" s="2"/>
      <c r="KC484" s="2"/>
      <c r="KD484" s="2"/>
      <c r="KE484" s="2"/>
      <c r="KF484" s="2"/>
      <c r="KG484" s="2"/>
      <c r="KH484" s="2"/>
      <c r="KI484" s="2"/>
      <c r="KJ484" s="2"/>
      <c r="KK484" s="2"/>
      <c r="KL484" s="2"/>
      <c r="KM484" s="2"/>
      <c r="KN484" s="2"/>
      <c r="KO484" s="2"/>
      <c r="KP484" s="2"/>
      <c r="KQ484" s="2"/>
      <c r="KR484" s="2"/>
      <c r="KS484" s="2"/>
      <c r="KT484" s="2"/>
      <c r="KU484" s="2"/>
      <c r="KV484" s="2"/>
      <c r="KW484" s="2"/>
      <c r="KX484" s="2"/>
      <c r="KY484" s="2"/>
      <c r="KZ484" s="2"/>
      <c r="LA484" s="2"/>
      <c r="LB484" s="2"/>
      <c r="LC484" s="2"/>
      <c r="LD484" s="2"/>
      <c r="LE484" s="2"/>
      <c r="LF484" s="2"/>
      <c r="LG484" s="2"/>
      <c r="LH484" s="2"/>
      <c r="LI484" s="2"/>
      <c r="LJ484" s="2"/>
      <c r="LK484" s="2"/>
      <c r="LL484" s="2"/>
      <c r="LM484" s="2"/>
      <c r="LN484" s="2"/>
    </row>
    <row r="485" spans="1:333">
      <c r="A485" s="1">
        <v>1848</v>
      </c>
      <c r="AG485" s="1">
        <f t="shared" ref="AG485:AG505" si="118">AG484*1.0034</f>
        <v>785662.20000000007</v>
      </c>
      <c r="BI485" s="4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HW485" s="4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  <c r="JY485" s="2"/>
      <c r="JZ485" s="2"/>
      <c r="KA485" s="2"/>
      <c r="KB485" s="2"/>
      <c r="KC485" s="2"/>
      <c r="KD485" s="2"/>
      <c r="KE485" s="2"/>
      <c r="KF485" s="2"/>
      <c r="KG485" s="2"/>
      <c r="KH485" s="2"/>
      <c r="KI485" s="2"/>
      <c r="KJ485" s="2"/>
      <c r="KK485" s="2"/>
      <c r="KL485" s="2"/>
      <c r="KM485" s="2"/>
      <c r="KN485" s="2"/>
      <c r="KO485" s="2"/>
      <c r="KP485" s="2"/>
      <c r="KQ485" s="2"/>
      <c r="KR485" s="2"/>
      <c r="KS485" s="2"/>
      <c r="KT485" s="2"/>
      <c r="KU485" s="2"/>
      <c r="KV485" s="2"/>
      <c r="KW485" s="2"/>
      <c r="KX485" s="2"/>
      <c r="KY485" s="2"/>
      <c r="KZ485" s="2"/>
      <c r="LA485" s="2"/>
      <c r="LB485" s="2"/>
      <c r="LC485" s="2"/>
      <c r="LD485" s="2"/>
      <c r="LE485" s="2"/>
      <c r="LF485" s="2"/>
      <c r="LG485" s="2"/>
      <c r="LH485" s="2"/>
      <c r="LI485" s="2"/>
      <c r="LJ485" s="2"/>
      <c r="LK485" s="2"/>
      <c r="LL485" s="2"/>
      <c r="LM485" s="2"/>
      <c r="LN485" s="2"/>
    </row>
    <row r="486" spans="1:333">
      <c r="A486" s="1">
        <v>1849</v>
      </c>
      <c r="AG486" s="1">
        <f t="shared" si="118"/>
        <v>788333.45148000016</v>
      </c>
      <c r="BI486" s="4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HW486" s="4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  <c r="JY486" s="2"/>
      <c r="JZ486" s="2"/>
      <c r="KA486" s="2"/>
      <c r="KB486" s="2"/>
      <c r="KC486" s="2"/>
      <c r="KD486" s="2"/>
      <c r="KE486" s="2"/>
      <c r="KF486" s="2"/>
      <c r="KG486" s="2"/>
      <c r="KH486" s="2"/>
      <c r="KI486" s="2"/>
      <c r="KJ486" s="2"/>
      <c r="KK486" s="2"/>
      <c r="KL486" s="2"/>
      <c r="KM486" s="2"/>
      <c r="KN486" s="2"/>
      <c r="KO486" s="2"/>
      <c r="KP486" s="2"/>
      <c r="KQ486" s="2"/>
      <c r="KR486" s="2"/>
      <c r="KS486" s="2"/>
      <c r="KT486" s="2"/>
      <c r="KU486" s="2"/>
      <c r="KV486" s="2"/>
      <c r="KW486" s="2"/>
      <c r="KX486" s="2"/>
      <c r="KY486" s="2"/>
      <c r="KZ486" s="2"/>
      <c r="LA486" s="2"/>
      <c r="LB486" s="2"/>
      <c r="LC486" s="2"/>
      <c r="LD486" s="2"/>
      <c r="LE486" s="2"/>
      <c r="LF486" s="2"/>
      <c r="LG486" s="2"/>
      <c r="LH486" s="2"/>
      <c r="LI486" s="2"/>
      <c r="LJ486" s="2"/>
      <c r="LK486" s="2"/>
      <c r="LL486" s="2"/>
      <c r="LM486" s="2"/>
      <c r="LN486" s="2"/>
    </row>
    <row r="487" spans="1:333">
      <c r="A487" s="1">
        <v>1850</v>
      </c>
      <c r="AF487" s="1">
        <v>1137000</v>
      </c>
      <c r="AG487" s="1">
        <f t="shared" si="118"/>
        <v>791013.78521503217</v>
      </c>
      <c r="BI487" s="4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HW487" s="4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  <c r="JY487" s="2"/>
      <c r="JZ487" s="2"/>
      <c r="KA487" s="2"/>
      <c r="KB487" s="2"/>
      <c r="KC487" s="2"/>
      <c r="KD487" s="2"/>
      <c r="KE487" s="2"/>
      <c r="KF487" s="2"/>
      <c r="KG487" s="2"/>
      <c r="KH487" s="2"/>
      <c r="KI487" s="2"/>
      <c r="KJ487" s="2"/>
      <c r="KK487" s="2"/>
      <c r="KL487" s="2"/>
      <c r="KM487" s="2"/>
      <c r="KN487" s="2"/>
      <c r="KO487" s="2"/>
      <c r="KP487" s="2"/>
      <c r="KQ487" s="2"/>
      <c r="KR487" s="2"/>
      <c r="KS487" s="2"/>
      <c r="KT487" s="2"/>
      <c r="KU487" s="2"/>
      <c r="KV487" s="2"/>
      <c r="KW487" s="2"/>
      <c r="KX487" s="2"/>
      <c r="KY487" s="2"/>
      <c r="KZ487" s="2"/>
      <c r="LA487" s="2"/>
      <c r="LB487" s="2"/>
      <c r="LC487" s="2"/>
      <c r="LD487" s="2"/>
      <c r="LE487" s="2"/>
      <c r="LF487" s="2"/>
      <c r="LG487" s="2"/>
      <c r="LH487" s="2"/>
      <c r="LI487" s="2"/>
      <c r="LJ487" s="2"/>
      <c r="LK487" s="2"/>
      <c r="LL487" s="2"/>
      <c r="LM487" s="2"/>
      <c r="LN487" s="2"/>
    </row>
    <row r="488" spans="1:333">
      <c r="A488" s="1">
        <v>1851</v>
      </c>
      <c r="B488" s="1">
        <f>C488+K488+U488+AD488+AH488+AG488+AT488+BC488+R488</f>
        <v>36140872.100000001</v>
      </c>
      <c r="C488" s="1">
        <f>800*C1</f>
        <v>6224800</v>
      </c>
      <c r="K488" s="1">
        <f>172.7*K1</f>
        <v>3291662</v>
      </c>
      <c r="R488" s="1">
        <f>131.4*R1</f>
        <v>1371816</v>
      </c>
      <c r="U488" s="1">
        <f>510.9*U1</f>
        <v>7980258</v>
      </c>
      <c r="AD488" s="1">
        <f>443.7*AD1</f>
        <v>3045113.1</v>
      </c>
      <c r="AG488" s="1">
        <f>622.8*AG1</f>
        <v>790956</v>
      </c>
      <c r="AH488" s="1">
        <f>967.6*AH1</f>
        <v>6542911.2000000002</v>
      </c>
      <c r="AT488" s="1">
        <f>601.7*AT1</f>
        <v>4409257.6000000006</v>
      </c>
      <c r="BC488" s="1">
        <f>537.8*BC1</f>
        <v>2484098.1999999997</v>
      </c>
      <c r="BI488" s="4">
        <f t="shared" ref="BI488:BI517" si="119">BJ488+BQ488+BW488+BZ488+CH488+CL488+CT488+CX488+DE488+DL488+DS488+EB488+EE488+EG488</f>
        <v>41084949.399999999</v>
      </c>
      <c r="BJ488" s="2">
        <f>432.4*BJ1</f>
        <v>6399520</v>
      </c>
      <c r="BK488" s="2"/>
      <c r="BL488" s="2"/>
      <c r="BM488" s="2"/>
      <c r="BN488" s="2"/>
      <c r="BO488" s="2"/>
      <c r="BP488" s="2"/>
      <c r="BQ488" s="2">
        <f>277.9*BQ1</f>
        <v>4165720.9999999995</v>
      </c>
      <c r="BR488" s="2"/>
      <c r="BS488" s="2"/>
      <c r="BT488" s="2"/>
      <c r="BU488" s="2"/>
      <c r="BV488" s="2"/>
      <c r="BW488" s="2">
        <f>177.4*BW1</f>
        <v>1681574.6</v>
      </c>
      <c r="BX488" s="2"/>
      <c r="BY488" s="2"/>
      <c r="BZ488" s="2">
        <f>215.2*BZ1</f>
        <v>5113152</v>
      </c>
      <c r="CA488" s="2"/>
      <c r="CB488" s="2"/>
      <c r="CC488" s="2"/>
      <c r="CD488" s="2"/>
      <c r="CE488" s="2"/>
      <c r="CF488" s="2"/>
      <c r="CG488" s="2"/>
      <c r="CH488" s="2">
        <f>166.1*CH1</f>
        <v>1842049</v>
      </c>
      <c r="CI488" s="2"/>
      <c r="CJ488" s="2"/>
      <c r="CK488" s="2"/>
      <c r="CL488" s="2">
        <f>207.1*CL1</f>
        <v>4670105</v>
      </c>
      <c r="CM488" s="2"/>
      <c r="CN488" s="2"/>
      <c r="CO488" s="2"/>
      <c r="CP488" s="2"/>
      <c r="CQ488" s="2"/>
      <c r="CR488" s="2"/>
      <c r="CS488" s="2"/>
      <c r="CT488" s="2">
        <f>542.7*CT1</f>
        <v>1730127.6</v>
      </c>
      <c r="CU488" s="2"/>
      <c r="CV488" s="2"/>
      <c r="CW488" s="2"/>
      <c r="CX488" s="2">
        <f>329.7*CX1</f>
        <v>3220179.9</v>
      </c>
      <c r="CY488" s="2"/>
      <c r="CZ488" s="2"/>
      <c r="DA488" s="2"/>
      <c r="DB488" s="2"/>
      <c r="DC488" s="2"/>
      <c r="DD488" s="2"/>
      <c r="DE488" s="2">
        <f>348.1*DE1</f>
        <v>3999669.0000000005</v>
      </c>
      <c r="DF488" s="2"/>
      <c r="DG488" s="2"/>
      <c r="DH488" s="2"/>
      <c r="DI488" s="2"/>
      <c r="DJ488" s="2"/>
      <c r="DK488" s="2"/>
      <c r="DL488" s="2">
        <f>234.9*DL1</f>
        <v>2715444</v>
      </c>
      <c r="DM488" s="2"/>
      <c r="DN488" s="2"/>
      <c r="DO488" s="2"/>
      <c r="DP488" s="2"/>
      <c r="DQ488" s="2"/>
      <c r="DR488" s="2"/>
      <c r="DS488" s="2">
        <f>221.6*DS1</f>
        <v>3698504</v>
      </c>
      <c r="DT488" s="2"/>
      <c r="DU488" s="2"/>
      <c r="DV488" s="2"/>
      <c r="DW488" s="2"/>
      <c r="DX488" s="2"/>
      <c r="DY488" s="2"/>
      <c r="DZ488" s="2"/>
      <c r="EA488" s="2"/>
      <c r="EB488" s="2">
        <f>143.7*EB1</f>
        <v>703986.29999999993</v>
      </c>
      <c r="EC488" s="2"/>
      <c r="ED488" s="2"/>
      <c r="EE488" s="2">
        <f>188.5*EE1</f>
        <v>501975.5</v>
      </c>
      <c r="EF488" s="2"/>
      <c r="EG488" s="2">
        <f>198.5*EG1</f>
        <v>642941.5</v>
      </c>
      <c r="EH488" s="2"/>
      <c r="EI488" s="1">
        <f t="shared" ref="EI488:EI517" si="120">EJ488+ET488+FA488+FI488+FQ488+FZ488+GH488+GO488+GX488+HD488+HO488+HV488</f>
        <v>30275677.799999997</v>
      </c>
      <c r="EJ488" s="1">
        <f>494.4*EJ1</f>
        <v>3618019.1999999997</v>
      </c>
      <c r="ET488" s="1">
        <f>117.5*ET1</f>
        <v>991112.5</v>
      </c>
      <c r="FA488" s="1">
        <f>962.9*FA1</f>
        <v>3089946.1</v>
      </c>
      <c r="FI488" s="1">
        <f>469.3*FI1</f>
        <v>2906844.2</v>
      </c>
      <c r="FQ488" s="1">
        <f>666.6*FQ1</f>
        <v>6362030.4000000004</v>
      </c>
      <c r="FZ488" s="1">
        <f>444.8*FZ1</f>
        <v>2640777.6</v>
      </c>
      <c r="GH488" s="1">
        <f>268.9*GH1</f>
        <v>3000923.9999999995</v>
      </c>
      <c r="GO488" s="1">
        <f>299.6*GO1</f>
        <v>2976226.4000000004</v>
      </c>
      <c r="GX488" s="1">
        <f>131.8*GX$1</f>
        <v>1204388.4000000001</v>
      </c>
      <c r="HD488" s="1">
        <f>68.2*HD$1</f>
        <v>1252152</v>
      </c>
      <c r="HO488" s="1">
        <f>198.6*HO$1</f>
        <v>2233257</v>
      </c>
      <c r="HW488" s="4">
        <f t="shared" ref="HW488:HW517" si="121">HX488+IH488+IL488+IR488+IW488+JE488+JM488+JS488+JZ488+KK488+KP488+KV488+LG488+LJ488</f>
        <v>24194513.600000001</v>
      </c>
      <c r="HX488" s="1">
        <f>177.2*HX$1</f>
        <v>3857643.9999999995</v>
      </c>
      <c r="HY488" s="2"/>
      <c r="HZ488" s="2"/>
      <c r="IA488" s="2"/>
      <c r="IB488" s="2"/>
      <c r="IC488" s="2"/>
      <c r="ID488" s="2"/>
      <c r="IE488" s="2"/>
      <c r="IF488" s="2"/>
      <c r="IG488" s="2"/>
      <c r="IH488" s="1">
        <f>198.5*IH$1</f>
        <v>1041331</v>
      </c>
      <c r="II488" s="2"/>
      <c r="IJ488" s="2"/>
      <c r="IK488" s="2"/>
      <c r="IL488" s="1">
        <f>199.2*IL$1</f>
        <v>1309740</v>
      </c>
      <c r="IM488" s="2"/>
      <c r="IN488" s="2"/>
      <c r="IO488" s="2"/>
      <c r="IP488" s="2"/>
      <c r="IQ488" s="2"/>
      <c r="IR488" s="1">
        <f>209.7*IR$1</f>
        <v>1100086.2</v>
      </c>
      <c r="IS488" s="2"/>
      <c r="IT488" s="2"/>
      <c r="IU488" s="2"/>
      <c r="IV488" s="2"/>
      <c r="IW488" s="1">
        <f>131.8*IW$1</f>
        <v>2063988.0000000002</v>
      </c>
      <c r="IX488" s="2"/>
      <c r="IY488" s="2"/>
      <c r="IZ488" s="2"/>
      <c r="JA488" s="2"/>
      <c r="JB488" s="2"/>
      <c r="JC488" s="2"/>
      <c r="JD488" s="2"/>
      <c r="JE488" s="1">
        <f>124.4*JE$1</f>
        <v>1746576</v>
      </c>
      <c r="JF488" s="2"/>
      <c r="JG488" s="2"/>
      <c r="JH488" s="2"/>
      <c r="JI488" s="2"/>
      <c r="JJ488" s="2"/>
      <c r="JK488" s="2"/>
      <c r="JL488" s="2"/>
      <c r="JM488" s="1">
        <f>174.3*JM$1</f>
        <v>1426994.1</v>
      </c>
      <c r="JN488" s="2"/>
      <c r="JO488" s="2"/>
      <c r="JP488" s="2"/>
      <c r="JQ488" s="2"/>
      <c r="JR488" s="2"/>
      <c r="JS488" s="1">
        <f>152.9*JS$1</f>
        <v>1628385</v>
      </c>
      <c r="JT488" s="2"/>
      <c r="JU488" s="2"/>
      <c r="JV488" s="2"/>
      <c r="JW488" s="2"/>
      <c r="JX488" s="2"/>
      <c r="JY488" s="2"/>
      <c r="JZ488" s="1">
        <f>141.5*JZ$1</f>
        <v>3473825</v>
      </c>
      <c r="KA488" s="2"/>
      <c r="KB488" s="2"/>
      <c r="KC488" s="2"/>
      <c r="KD488" s="2"/>
      <c r="KE488" s="2"/>
      <c r="KF488" s="2"/>
      <c r="KG488" s="2"/>
      <c r="KH488" s="2"/>
      <c r="KI488" s="2"/>
      <c r="KJ488" s="2"/>
      <c r="KK488" s="1">
        <f>246.5*KK$1</f>
        <v>1326170</v>
      </c>
      <c r="KL488" s="2"/>
      <c r="KM488" s="2"/>
      <c r="KN488" s="2"/>
      <c r="KO488" s="2"/>
      <c r="KP488" s="1">
        <f>92.7*KP$1</f>
        <v>816316.20000000007</v>
      </c>
      <c r="KQ488" s="2"/>
      <c r="KR488" s="2"/>
      <c r="KS488" s="2"/>
      <c r="KT488" s="2"/>
      <c r="KU488" s="2"/>
      <c r="KV488" s="1">
        <f>116.8*KV$1</f>
        <v>2708592</v>
      </c>
      <c r="KW488" s="2"/>
      <c r="KX488" s="2"/>
      <c r="KY488" s="2"/>
      <c r="KZ488" s="2"/>
      <c r="LA488" s="2"/>
      <c r="LB488" s="2"/>
      <c r="LC488" s="2"/>
      <c r="LD488" s="2"/>
      <c r="LE488" s="2"/>
      <c r="LF488" s="2"/>
      <c r="LG488" s="1">
        <f>104.8*LG$1</f>
        <v>910921.6</v>
      </c>
      <c r="LH488" s="2"/>
      <c r="LI488" s="2"/>
      <c r="LJ488" s="1">
        <f>113.5*LJ$1</f>
        <v>783944.5</v>
      </c>
      <c r="LK488" s="2"/>
      <c r="LL488" s="2"/>
      <c r="LM488" s="2"/>
      <c r="LN488" s="2"/>
      <c r="LO488" s="1">
        <f t="shared" ref="LO488:LO517" si="122">LU488+LP488</f>
        <v>4885960.3000000007</v>
      </c>
      <c r="LP488" s="1">
        <f>850.7*LP$1</f>
        <v>1971071.9000000001</v>
      </c>
      <c r="LU488" s="1">
        <f>701.2*LU$1</f>
        <v>2914888.4000000004</v>
      </c>
    </row>
    <row r="489" spans="1:333">
      <c r="A489" s="1">
        <v>1852</v>
      </c>
      <c r="AG489" s="1">
        <f t="shared" si="118"/>
        <v>793645.25040000002</v>
      </c>
      <c r="BI489" s="4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HW489" s="4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  <c r="JY489" s="2"/>
      <c r="JZ489" s="2"/>
      <c r="KA489" s="2"/>
      <c r="KB489" s="2"/>
      <c r="KC489" s="2"/>
      <c r="KD489" s="2"/>
      <c r="KE489" s="2"/>
      <c r="KF489" s="2"/>
      <c r="KG489" s="2"/>
      <c r="KH489" s="2"/>
      <c r="KI489" s="2"/>
      <c r="KJ489" s="2"/>
      <c r="KK489" s="2"/>
      <c r="KL489" s="2"/>
      <c r="KM489" s="2"/>
      <c r="KN489" s="2"/>
      <c r="KO489" s="2"/>
      <c r="KP489" s="2"/>
      <c r="KQ489" s="2"/>
      <c r="KR489" s="2"/>
      <c r="KS489" s="2"/>
      <c r="KT489" s="2"/>
      <c r="KU489" s="2"/>
      <c r="KV489" s="2"/>
      <c r="KW489" s="2"/>
      <c r="KX489" s="2"/>
      <c r="KY489" s="2"/>
      <c r="KZ489" s="2"/>
      <c r="LA489" s="2"/>
      <c r="LB489" s="2"/>
      <c r="LC489" s="2"/>
      <c r="LD489" s="2"/>
      <c r="LE489" s="2"/>
      <c r="LF489" s="2"/>
      <c r="LG489" s="2"/>
      <c r="LH489" s="2"/>
      <c r="LI489" s="2"/>
      <c r="LJ489" s="2"/>
      <c r="LK489" s="2"/>
      <c r="LL489" s="2"/>
      <c r="LM489" s="2"/>
      <c r="LN489" s="2"/>
    </row>
    <row r="490" spans="1:333">
      <c r="A490" s="1">
        <v>1853</v>
      </c>
      <c r="AG490" s="1">
        <f t="shared" si="118"/>
        <v>796343.64425136009</v>
      </c>
      <c r="BI490" s="4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HW490" s="4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  <c r="JY490" s="2"/>
      <c r="JZ490" s="2"/>
      <c r="KA490" s="2"/>
      <c r="KB490" s="2"/>
      <c r="KC490" s="2"/>
      <c r="KD490" s="2"/>
      <c r="KE490" s="2"/>
      <c r="KF490" s="2"/>
      <c r="KG490" s="2"/>
      <c r="KH490" s="2"/>
      <c r="KI490" s="2"/>
      <c r="KJ490" s="2"/>
      <c r="KK490" s="2"/>
      <c r="KL490" s="2"/>
      <c r="KM490" s="2"/>
      <c r="KN490" s="2"/>
      <c r="KO490" s="2"/>
      <c r="KP490" s="2"/>
      <c r="KQ490" s="2"/>
      <c r="KR490" s="2"/>
      <c r="KS490" s="2"/>
      <c r="KT490" s="2"/>
      <c r="KU490" s="2"/>
      <c r="KV490" s="2"/>
      <c r="KW490" s="2"/>
      <c r="KX490" s="2"/>
      <c r="KY490" s="2"/>
      <c r="KZ490" s="2"/>
      <c r="LA490" s="2"/>
      <c r="LB490" s="2"/>
      <c r="LC490" s="2"/>
      <c r="LD490" s="2"/>
      <c r="LE490" s="2"/>
      <c r="LF490" s="2"/>
      <c r="LG490" s="2"/>
      <c r="LH490" s="2"/>
      <c r="LI490" s="2"/>
      <c r="LJ490" s="2"/>
      <c r="LK490" s="2"/>
      <c r="LL490" s="2"/>
      <c r="LM490" s="2"/>
      <c r="LN490" s="2"/>
    </row>
    <row r="491" spans="1:333">
      <c r="A491" s="1">
        <v>1854</v>
      </c>
      <c r="AG491" s="1">
        <f t="shared" si="118"/>
        <v>799051.21264181472</v>
      </c>
      <c r="BI491" s="4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HW491" s="4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  <c r="JY491" s="2"/>
      <c r="JZ491" s="2"/>
      <c r="KA491" s="2"/>
      <c r="KB491" s="2"/>
      <c r="KC491" s="2"/>
      <c r="KD491" s="2"/>
      <c r="KE491" s="2"/>
      <c r="KF491" s="2"/>
      <c r="KG491" s="2"/>
      <c r="KH491" s="2"/>
      <c r="KI491" s="2"/>
      <c r="KJ491" s="2"/>
      <c r="KK491" s="2"/>
      <c r="KL491" s="2"/>
      <c r="KM491" s="2"/>
      <c r="KN491" s="2"/>
      <c r="KO491" s="2"/>
      <c r="KP491" s="2"/>
      <c r="KQ491" s="2"/>
      <c r="KR491" s="2"/>
      <c r="KS491" s="2"/>
      <c r="KT491" s="2"/>
      <c r="KU491" s="2"/>
      <c r="KV491" s="2"/>
      <c r="KW491" s="2"/>
      <c r="KX491" s="2"/>
      <c r="KY491" s="2"/>
      <c r="KZ491" s="2"/>
      <c r="LA491" s="2"/>
      <c r="LB491" s="2"/>
      <c r="LC491" s="2"/>
      <c r="LD491" s="2"/>
      <c r="LE491" s="2"/>
      <c r="LF491" s="2"/>
      <c r="LG491" s="2"/>
      <c r="LH491" s="2"/>
      <c r="LI491" s="2"/>
      <c r="LJ491" s="2"/>
      <c r="LK491" s="2"/>
      <c r="LL491" s="2"/>
      <c r="LM491" s="2"/>
      <c r="LN491" s="2"/>
    </row>
    <row r="492" spans="1:333">
      <c r="A492" s="1">
        <v>1855</v>
      </c>
      <c r="AG492" s="1">
        <f t="shared" si="118"/>
        <v>801767.98676479689</v>
      </c>
      <c r="BI492" s="4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HW492" s="4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  <c r="JY492" s="2"/>
      <c r="JZ492" s="2"/>
      <c r="KA492" s="2"/>
      <c r="KB492" s="2"/>
      <c r="KC492" s="2"/>
      <c r="KD492" s="2"/>
      <c r="KE492" s="2"/>
      <c r="KF492" s="2"/>
      <c r="KG492" s="2"/>
      <c r="KH492" s="2"/>
      <c r="KI492" s="2"/>
      <c r="KJ492" s="2"/>
      <c r="KK492" s="2"/>
      <c r="KL492" s="2"/>
      <c r="KM492" s="2"/>
      <c r="KN492" s="2"/>
      <c r="KO492" s="2"/>
      <c r="KP492" s="2"/>
      <c r="KQ492" s="2"/>
      <c r="KR492" s="2"/>
      <c r="KS492" s="2"/>
      <c r="KT492" s="2"/>
      <c r="KU492" s="2"/>
      <c r="KV492" s="2"/>
      <c r="KW492" s="2"/>
      <c r="KX492" s="2"/>
      <c r="KY492" s="2"/>
      <c r="KZ492" s="2"/>
      <c r="LA492" s="2"/>
      <c r="LB492" s="2"/>
      <c r="LC492" s="2"/>
      <c r="LD492" s="2"/>
      <c r="LE492" s="2"/>
      <c r="LF492" s="2"/>
      <c r="LG492" s="2"/>
      <c r="LH492" s="2"/>
      <c r="LI492" s="2"/>
      <c r="LJ492" s="2"/>
      <c r="LK492" s="2"/>
      <c r="LL492" s="2"/>
      <c r="LM492" s="2"/>
      <c r="LN492" s="2"/>
    </row>
    <row r="493" spans="1:333">
      <c r="A493" s="1">
        <v>1856</v>
      </c>
      <c r="AG493" s="1">
        <f t="shared" si="118"/>
        <v>804493.99791979732</v>
      </c>
      <c r="BI493" s="4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HW493" s="4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  <c r="JY493" s="2"/>
      <c r="JZ493" s="2"/>
      <c r="KA493" s="2"/>
      <c r="KB493" s="2"/>
      <c r="KC493" s="2"/>
      <c r="KD493" s="2"/>
      <c r="KE493" s="2"/>
      <c r="KF493" s="2"/>
      <c r="KG493" s="2"/>
      <c r="KH493" s="2"/>
      <c r="KI493" s="2"/>
      <c r="KJ493" s="2"/>
      <c r="KK493" s="2"/>
      <c r="KL493" s="2"/>
      <c r="KM493" s="2"/>
      <c r="KN493" s="2"/>
      <c r="KO493" s="2"/>
      <c r="KP493" s="2"/>
      <c r="KQ493" s="2"/>
      <c r="KR493" s="2"/>
      <c r="KS493" s="2"/>
      <c r="KT493" s="2"/>
      <c r="KU493" s="2"/>
      <c r="KV493" s="2"/>
      <c r="KW493" s="2"/>
      <c r="KX493" s="2"/>
      <c r="KY493" s="2"/>
      <c r="KZ493" s="2"/>
      <c r="LA493" s="2"/>
      <c r="LB493" s="2"/>
      <c r="LC493" s="2"/>
      <c r="LD493" s="2"/>
      <c r="LE493" s="2"/>
      <c r="LF493" s="2"/>
      <c r="LG493" s="2"/>
      <c r="LH493" s="2"/>
      <c r="LI493" s="2"/>
      <c r="LJ493" s="2"/>
      <c r="LK493" s="2"/>
      <c r="LL493" s="2"/>
      <c r="LM493" s="2"/>
      <c r="LN493" s="2"/>
    </row>
    <row r="494" spans="1:333">
      <c r="A494" s="1">
        <v>1857</v>
      </c>
      <c r="AG494" s="1">
        <f t="shared" si="118"/>
        <v>807229.27751272463</v>
      </c>
      <c r="BI494" s="4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HW494" s="4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  <c r="JY494" s="2"/>
      <c r="JZ494" s="2"/>
      <c r="KA494" s="2"/>
      <c r="KB494" s="2"/>
      <c r="KC494" s="2"/>
      <c r="KD494" s="2"/>
      <c r="KE494" s="2"/>
      <c r="KF494" s="2"/>
      <c r="KG494" s="2"/>
      <c r="KH494" s="2"/>
      <c r="KI494" s="2"/>
      <c r="KJ494" s="2"/>
      <c r="KK494" s="2"/>
      <c r="KL494" s="2"/>
      <c r="KM494" s="2"/>
      <c r="KN494" s="2"/>
      <c r="KO494" s="2"/>
      <c r="KP494" s="2"/>
      <c r="KQ494" s="2"/>
      <c r="KR494" s="2"/>
      <c r="KS494" s="2"/>
      <c r="KT494" s="2"/>
      <c r="KU494" s="2"/>
      <c r="KV494" s="2"/>
      <c r="KW494" s="2"/>
      <c r="KX494" s="2"/>
      <c r="KY494" s="2"/>
      <c r="KZ494" s="2"/>
      <c r="LA494" s="2"/>
      <c r="LB494" s="2"/>
      <c r="LC494" s="2"/>
      <c r="LD494" s="2"/>
      <c r="LE494" s="2"/>
      <c r="LF494" s="2"/>
      <c r="LG494" s="2"/>
      <c r="LH494" s="2"/>
      <c r="LI494" s="2"/>
      <c r="LJ494" s="2"/>
      <c r="LK494" s="2"/>
      <c r="LL494" s="2"/>
      <c r="LM494" s="2"/>
      <c r="LN494" s="2"/>
    </row>
    <row r="495" spans="1:333">
      <c r="A495" s="1">
        <v>1858</v>
      </c>
      <c r="AG495" s="1">
        <f t="shared" si="118"/>
        <v>809973.85705626791</v>
      </c>
      <c r="BI495" s="4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HW495" s="4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  <c r="JY495" s="2"/>
      <c r="JZ495" s="2"/>
      <c r="KA495" s="2"/>
      <c r="KB495" s="2"/>
      <c r="KC495" s="2"/>
      <c r="KD495" s="2"/>
      <c r="KE495" s="2"/>
      <c r="KF495" s="2"/>
      <c r="KG495" s="2"/>
      <c r="KH495" s="2"/>
      <c r="KI495" s="2"/>
      <c r="KJ495" s="2"/>
      <c r="KK495" s="2"/>
      <c r="KL495" s="2"/>
      <c r="KM495" s="2"/>
      <c r="KN495" s="2"/>
      <c r="KO495" s="2"/>
      <c r="KP495" s="2"/>
      <c r="KQ495" s="2"/>
      <c r="KR495" s="2"/>
      <c r="KS495" s="2"/>
      <c r="KT495" s="2"/>
      <c r="KU495" s="2"/>
      <c r="KV495" s="2"/>
      <c r="KW495" s="2"/>
      <c r="KX495" s="2"/>
      <c r="KY495" s="2"/>
      <c r="KZ495" s="2"/>
      <c r="LA495" s="2"/>
      <c r="LB495" s="2"/>
      <c r="LC495" s="2"/>
      <c r="LD495" s="2"/>
      <c r="LE495" s="2"/>
      <c r="LF495" s="2"/>
      <c r="LG495" s="2"/>
      <c r="LH495" s="2"/>
      <c r="LI495" s="2"/>
      <c r="LJ495" s="2"/>
      <c r="LK495" s="2"/>
      <c r="LL495" s="2"/>
      <c r="LM495" s="2"/>
      <c r="LN495" s="2"/>
    </row>
    <row r="496" spans="1:333">
      <c r="A496" s="1">
        <v>1859</v>
      </c>
      <c r="AG496" s="1">
        <f t="shared" si="118"/>
        <v>812727.76817025931</v>
      </c>
      <c r="BI496" s="4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HW496" s="4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  <c r="JY496" s="2"/>
      <c r="JZ496" s="2"/>
      <c r="KA496" s="2"/>
      <c r="KB496" s="2"/>
      <c r="KC496" s="2"/>
      <c r="KD496" s="2"/>
      <c r="KE496" s="2"/>
      <c r="KF496" s="2"/>
      <c r="KG496" s="2"/>
      <c r="KH496" s="2"/>
      <c r="KI496" s="2"/>
      <c r="KJ496" s="2"/>
      <c r="KK496" s="2"/>
      <c r="KL496" s="2"/>
      <c r="KM496" s="2"/>
      <c r="KN496" s="2"/>
      <c r="KO496" s="2"/>
      <c r="KP496" s="2"/>
      <c r="KQ496" s="2"/>
      <c r="KR496" s="2"/>
      <c r="KS496" s="2"/>
      <c r="KT496" s="2"/>
      <c r="KU496" s="2"/>
      <c r="KV496" s="2"/>
      <c r="KW496" s="2"/>
      <c r="KX496" s="2"/>
      <c r="KY496" s="2"/>
      <c r="KZ496" s="2"/>
      <c r="LA496" s="2"/>
      <c r="LB496" s="2"/>
      <c r="LC496" s="2"/>
      <c r="LD496" s="2"/>
      <c r="LE496" s="2"/>
      <c r="LF496" s="2"/>
      <c r="LG496" s="2"/>
      <c r="LH496" s="2"/>
      <c r="LI496" s="2"/>
      <c r="LJ496" s="2"/>
      <c r="LK496" s="2"/>
      <c r="LL496" s="2"/>
      <c r="LM496" s="2"/>
      <c r="LN496" s="2"/>
    </row>
    <row r="497" spans="1:326">
      <c r="A497" s="1">
        <v>1860</v>
      </c>
      <c r="AG497" s="1">
        <f t="shared" si="118"/>
        <v>815491.04258203821</v>
      </c>
      <c r="BI497" s="4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HW497" s="4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  <c r="JY497" s="2"/>
      <c r="JZ497" s="2"/>
      <c r="KA497" s="2"/>
      <c r="KB497" s="2"/>
      <c r="KC497" s="2"/>
      <c r="KD497" s="2"/>
      <c r="KE497" s="2"/>
      <c r="KF497" s="2"/>
      <c r="KG497" s="2"/>
      <c r="KH497" s="2"/>
      <c r="KI497" s="2"/>
      <c r="KJ497" s="2"/>
      <c r="KK497" s="2"/>
      <c r="KL497" s="2"/>
      <c r="KM497" s="2"/>
      <c r="KN497" s="2"/>
      <c r="KO497" s="2"/>
      <c r="KP497" s="2"/>
      <c r="KQ497" s="2"/>
      <c r="KR497" s="2"/>
      <c r="KS497" s="2"/>
      <c r="KT497" s="2"/>
      <c r="KU497" s="2"/>
      <c r="KV497" s="2"/>
      <c r="KW497" s="2"/>
      <c r="KX497" s="2"/>
      <c r="KY497" s="2"/>
      <c r="KZ497" s="2"/>
      <c r="LA497" s="2"/>
      <c r="LB497" s="2"/>
      <c r="LC497" s="2"/>
      <c r="LD497" s="2"/>
      <c r="LE497" s="2"/>
      <c r="LF497" s="2"/>
      <c r="LG497" s="2"/>
      <c r="LH497" s="2"/>
      <c r="LI497" s="2"/>
      <c r="LJ497" s="2"/>
      <c r="LK497" s="2"/>
      <c r="LL497" s="2"/>
      <c r="LM497" s="2"/>
      <c r="LN497" s="2"/>
    </row>
    <row r="498" spans="1:326">
      <c r="A498" s="1">
        <v>1861</v>
      </c>
      <c r="AG498" s="1">
        <f t="shared" si="118"/>
        <v>818263.7121268172</v>
      </c>
      <c r="BI498" s="4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HW498" s="4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  <c r="JY498" s="2"/>
      <c r="JZ498" s="2"/>
      <c r="KA498" s="2"/>
      <c r="KB498" s="2"/>
      <c r="KC498" s="2"/>
      <c r="KD498" s="2"/>
      <c r="KE498" s="2"/>
      <c r="KF498" s="2"/>
      <c r="KG498" s="2"/>
      <c r="KH498" s="2"/>
      <c r="KI498" s="2"/>
      <c r="KJ498" s="2"/>
      <c r="KK498" s="2"/>
      <c r="KL498" s="2"/>
      <c r="KM498" s="2"/>
      <c r="KN498" s="2"/>
      <c r="KO498" s="2"/>
      <c r="KP498" s="2"/>
      <c r="KQ498" s="2"/>
      <c r="KR498" s="2"/>
      <c r="KS498" s="2"/>
      <c r="KT498" s="2"/>
      <c r="KU498" s="2"/>
      <c r="KV498" s="2"/>
      <c r="KW498" s="2"/>
      <c r="KX498" s="2"/>
      <c r="KY498" s="2"/>
      <c r="KZ498" s="2"/>
      <c r="LA498" s="2"/>
      <c r="LB498" s="2"/>
      <c r="LC498" s="2"/>
      <c r="LD498" s="2"/>
      <c r="LE498" s="2"/>
      <c r="LF498" s="2"/>
      <c r="LG498" s="2"/>
      <c r="LH498" s="2"/>
      <c r="LI498" s="2"/>
      <c r="LJ498" s="2"/>
      <c r="LK498" s="2"/>
      <c r="LL498" s="2"/>
      <c r="LM498" s="2"/>
      <c r="LN498" s="2"/>
    </row>
    <row r="499" spans="1:326">
      <c r="A499" s="1">
        <v>1862</v>
      </c>
      <c r="AG499" s="1">
        <f t="shared" si="118"/>
        <v>821045.8087480485</v>
      </c>
      <c r="BI499" s="4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HW499" s="4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  <c r="JY499" s="2"/>
      <c r="JZ499" s="2"/>
      <c r="KA499" s="2"/>
      <c r="KB499" s="2"/>
      <c r="KC499" s="2"/>
      <c r="KD499" s="2"/>
      <c r="KE499" s="2"/>
      <c r="KF499" s="2"/>
      <c r="KG499" s="2"/>
      <c r="KH499" s="2"/>
      <c r="KI499" s="2"/>
      <c r="KJ499" s="2"/>
      <c r="KK499" s="2"/>
      <c r="KL499" s="2"/>
      <c r="KM499" s="2"/>
      <c r="KN499" s="2"/>
      <c r="KO499" s="2"/>
      <c r="KP499" s="2"/>
      <c r="KQ499" s="2"/>
      <c r="KR499" s="2"/>
      <c r="KS499" s="2"/>
      <c r="KT499" s="2"/>
      <c r="KU499" s="2"/>
      <c r="KV499" s="2"/>
      <c r="KW499" s="2"/>
      <c r="KX499" s="2"/>
      <c r="KY499" s="2"/>
      <c r="KZ499" s="2"/>
      <c r="LA499" s="2"/>
      <c r="LB499" s="2"/>
      <c r="LC499" s="2"/>
      <c r="LD499" s="2"/>
      <c r="LE499" s="2"/>
      <c r="LF499" s="2"/>
      <c r="LG499" s="2"/>
      <c r="LH499" s="2"/>
      <c r="LI499" s="2"/>
      <c r="LJ499" s="2"/>
      <c r="LK499" s="2"/>
      <c r="LL499" s="2"/>
      <c r="LM499" s="2"/>
      <c r="LN499" s="2"/>
    </row>
    <row r="500" spans="1:326">
      <c r="A500" s="1">
        <v>1863</v>
      </c>
      <c r="AG500" s="1">
        <f t="shared" si="118"/>
        <v>823837.36449779198</v>
      </c>
      <c r="BI500" s="4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HW500" s="4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  <c r="JY500" s="2"/>
      <c r="JZ500" s="2"/>
      <c r="KA500" s="2"/>
      <c r="KB500" s="2"/>
      <c r="KC500" s="2"/>
      <c r="KD500" s="2"/>
      <c r="KE500" s="2"/>
      <c r="KF500" s="2"/>
      <c r="KG500" s="2"/>
      <c r="KH500" s="2"/>
      <c r="KI500" s="2"/>
      <c r="KJ500" s="2"/>
      <c r="KK500" s="2"/>
      <c r="KL500" s="2"/>
      <c r="KM500" s="2"/>
      <c r="KN500" s="2"/>
      <c r="KO500" s="2"/>
      <c r="KP500" s="2"/>
      <c r="KQ500" s="2"/>
      <c r="KR500" s="2"/>
      <c r="KS500" s="2"/>
      <c r="KT500" s="2"/>
      <c r="KU500" s="2"/>
      <c r="KV500" s="2"/>
      <c r="KW500" s="2"/>
      <c r="KX500" s="2"/>
      <c r="KY500" s="2"/>
      <c r="KZ500" s="2"/>
      <c r="LA500" s="2"/>
      <c r="LB500" s="2"/>
      <c r="LC500" s="2"/>
      <c r="LD500" s="2"/>
      <c r="LE500" s="2"/>
      <c r="LF500" s="2"/>
      <c r="LG500" s="2"/>
      <c r="LH500" s="2"/>
      <c r="LI500" s="2"/>
      <c r="LJ500" s="2"/>
      <c r="LK500" s="2"/>
      <c r="LL500" s="2"/>
      <c r="LM500" s="2"/>
      <c r="LN500" s="2"/>
    </row>
    <row r="501" spans="1:326">
      <c r="A501" s="1">
        <v>1864</v>
      </c>
      <c r="AG501" s="1">
        <f t="shared" si="118"/>
        <v>826638.4115370845</v>
      </c>
      <c r="BI501" s="4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HW501" s="4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  <c r="JY501" s="2"/>
      <c r="JZ501" s="2"/>
      <c r="KA501" s="2"/>
      <c r="KB501" s="2"/>
      <c r="KC501" s="2"/>
      <c r="KD501" s="2"/>
      <c r="KE501" s="2"/>
      <c r="KF501" s="2"/>
      <c r="KG501" s="2"/>
      <c r="KH501" s="2"/>
      <c r="KI501" s="2"/>
      <c r="KJ501" s="2"/>
      <c r="KK501" s="2"/>
      <c r="KL501" s="2"/>
      <c r="KM501" s="2"/>
      <c r="KN501" s="2"/>
      <c r="KO501" s="2"/>
      <c r="KP501" s="2"/>
      <c r="KQ501" s="2"/>
      <c r="KR501" s="2"/>
      <c r="KS501" s="2"/>
      <c r="KT501" s="2"/>
      <c r="KU501" s="2"/>
      <c r="KV501" s="2"/>
      <c r="KW501" s="2"/>
      <c r="KX501" s="2"/>
      <c r="KY501" s="2"/>
      <c r="KZ501" s="2"/>
      <c r="LA501" s="2"/>
      <c r="LB501" s="2"/>
      <c r="LC501" s="2"/>
      <c r="LD501" s="2"/>
      <c r="LE501" s="2"/>
      <c r="LF501" s="2"/>
      <c r="LG501" s="2"/>
      <c r="LH501" s="2"/>
      <c r="LI501" s="2"/>
      <c r="LJ501" s="2"/>
      <c r="LK501" s="2"/>
      <c r="LL501" s="2"/>
      <c r="LM501" s="2"/>
      <c r="LN501" s="2"/>
    </row>
    <row r="502" spans="1:326">
      <c r="A502" s="1">
        <v>1865</v>
      </c>
      <c r="AF502" s="1">
        <v>1172000</v>
      </c>
      <c r="AG502" s="1">
        <f t="shared" si="118"/>
        <v>829448.98213631066</v>
      </c>
      <c r="BI502" s="4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HW502" s="4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  <c r="JY502" s="2"/>
      <c r="JZ502" s="2"/>
      <c r="KA502" s="2"/>
      <c r="KB502" s="2"/>
      <c r="KC502" s="2"/>
      <c r="KD502" s="2"/>
      <c r="KE502" s="2"/>
      <c r="KF502" s="2"/>
      <c r="KG502" s="2"/>
      <c r="KH502" s="2"/>
      <c r="KI502" s="2"/>
      <c r="KJ502" s="2"/>
      <c r="KK502" s="2"/>
      <c r="KL502" s="2"/>
      <c r="KM502" s="2"/>
      <c r="KN502" s="2"/>
      <c r="KO502" s="2"/>
      <c r="KP502" s="2"/>
      <c r="KQ502" s="2"/>
      <c r="KR502" s="2"/>
      <c r="KS502" s="2"/>
      <c r="KT502" s="2"/>
      <c r="KU502" s="2"/>
      <c r="KV502" s="2"/>
      <c r="KW502" s="2"/>
      <c r="KX502" s="2"/>
      <c r="KY502" s="2"/>
      <c r="KZ502" s="2"/>
      <c r="LA502" s="2"/>
      <c r="LB502" s="2"/>
      <c r="LC502" s="2"/>
      <c r="LD502" s="2"/>
      <c r="LE502" s="2"/>
      <c r="LF502" s="2"/>
      <c r="LG502" s="2"/>
      <c r="LH502" s="2"/>
      <c r="LI502" s="2"/>
      <c r="LJ502" s="2"/>
      <c r="LK502" s="2"/>
      <c r="LL502" s="2"/>
      <c r="LM502" s="2"/>
      <c r="LN502" s="2"/>
    </row>
    <row r="503" spans="1:326">
      <c r="A503" s="1">
        <v>1866</v>
      </c>
      <c r="AF503" s="1">
        <f>AF502*1.002</f>
        <v>1174344</v>
      </c>
      <c r="AG503" s="1">
        <f t="shared" si="118"/>
        <v>832269.10867557419</v>
      </c>
      <c r="BI503" s="4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HW503" s="4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  <c r="JY503" s="2"/>
      <c r="JZ503" s="2"/>
      <c r="KA503" s="2"/>
      <c r="KB503" s="2"/>
      <c r="KC503" s="2"/>
      <c r="KD503" s="2"/>
      <c r="KE503" s="2"/>
      <c r="KF503" s="2"/>
      <c r="KG503" s="2"/>
      <c r="KH503" s="2"/>
      <c r="KI503" s="2"/>
      <c r="KJ503" s="2"/>
      <c r="KK503" s="2"/>
      <c r="KL503" s="2"/>
      <c r="KM503" s="2"/>
      <c r="KN503" s="2"/>
      <c r="KO503" s="2"/>
      <c r="KP503" s="2"/>
      <c r="KQ503" s="2"/>
      <c r="KR503" s="2"/>
      <c r="KS503" s="2"/>
      <c r="KT503" s="2"/>
      <c r="KU503" s="2"/>
      <c r="KV503" s="2"/>
      <c r="KW503" s="2"/>
      <c r="KX503" s="2"/>
      <c r="KY503" s="2"/>
      <c r="KZ503" s="2"/>
      <c r="LA503" s="2"/>
      <c r="LB503" s="2"/>
      <c r="LC503" s="2"/>
      <c r="LD503" s="2"/>
      <c r="LE503" s="2"/>
      <c r="LF503" s="2"/>
      <c r="LG503" s="2"/>
      <c r="LH503" s="2"/>
      <c r="LI503" s="2"/>
      <c r="LJ503" s="2"/>
      <c r="LK503" s="2"/>
      <c r="LL503" s="2"/>
      <c r="LM503" s="2"/>
      <c r="LN503" s="2"/>
    </row>
    <row r="504" spans="1:326">
      <c r="A504" s="1">
        <v>1867</v>
      </c>
      <c r="AF504" s="1">
        <f t="shared" ref="AF504:AF547" si="123">AF503*1.002</f>
        <v>1176692.6880000001</v>
      </c>
      <c r="AG504" s="1">
        <f t="shared" si="118"/>
        <v>835098.82364507124</v>
      </c>
      <c r="BI504" s="4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HW504" s="4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  <c r="JY504" s="2"/>
      <c r="JZ504" s="2"/>
      <c r="KA504" s="2"/>
      <c r="KB504" s="2"/>
      <c r="KC504" s="2"/>
      <c r="KD504" s="2"/>
      <c r="KE504" s="2"/>
      <c r="KF504" s="2"/>
      <c r="KG504" s="2"/>
      <c r="KH504" s="2"/>
      <c r="KI504" s="2"/>
      <c r="KJ504" s="2"/>
      <c r="KK504" s="2"/>
      <c r="KL504" s="2"/>
      <c r="KM504" s="2"/>
      <c r="KN504" s="2"/>
      <c r="KO504" s="2"/>
      <c r="KP504" s="2"/>
      <c r="KQ504" s="2"/>
      <c r="KR504" s="2"/>
      <c r="KS504" s="2"/>
      <c r="KT504" s="2"/>
      <c r="KU504" s="2"/>
      <c r="KV504" s="2"/>
      <c r="KW504" s="2"/>
      <c r="KX504" s="2"/>
      <c r="KY504" s="2"/>
      <c r="KZ504" s="2"/>
      <c r="LA504" s="2"/>
      <c r="LB504" s="2"/>
      <c r="LC504" s="2"/>
      <c r="LD504" s="2"/>
      <c r="LE504" s="2"/>
      <c r="LF504" s="2"/>
      <c r="LG504" s="2"/>
      <c r="LH504" s="2"/>
      <c r="LI504" s="2"/>
      <c r="LJ504" s="2"/>
      <c r="LK504" s="2"/>
      <c r="LL504" s="2"/>
      <c r="LM504" s="2"/>
      <c r="LN504" s="2"/>
    </row>
    <row r="505" spans="1:326">
      <c r="A505" s="1">
        <v>1868</v>
      </c>
      <c r="AF505" s="1">
        <f t="shared" si="123"/>
        <v>1179046.0733760002</v>
      </c>
      <c r="AG505" s="1">
        <f t="shared" si="118"/>
        <v>837938.1596454645</v>
      </c>
      <c r="BI505" s="4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HW505" s="4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  <c r="JY505" s="2"/>
      <c r="JZ505" s="2"/>
      <c r="KA505" s="2"/>
      <c r="KB505" s="2"/>
      <c r="KC505" s="2"/>
      <c r="KD505" s="2"/>
      <c r="KE505" s="2"/>
      <c r="KF505" s="2"/>
      <c r="KG505" s="2"/>
      <c r="KH505" s="2"/>
      <c r="KI505" s="2"/>
      <c r="KJ505" s="2"/>
      <c r="KK505" s="2"/>
      <c r="KL505" s="2"/>
      <c r="KM505" s="2"/>
      <c r="KN505" s="2"/>
      <c r="KO505" s="2"/>
      <c r="KP505" s="2"/>
      <c r="KQ505" s="2"/>
      <c r="KR505" s="2"/>
      <c r="KS505" s="2"/>
      <c r="KT505" s="2"/>
      <c r="KU505" s="2"/>
      <c r="KV505" s="2"/>
      <c r="KW505" s="2"/>
      <c r="KX505" s="2"/>
      <c r="KY505" s="2"/>
      <c r="KZ505" s="2"/>
      <c r="LA505" s="2"/>
      <c r="LB505" s="2"/>
      <c r="LC505" s="2"/>
      <c r="LD505" s="2"/>
      <c r="LE505" s="2"/>
      <c r="LF505" s="2"/>
      <c r="LG505" s="2"/>
      <c r="LH505" s="2"/>
      <c r="LI505" s="2"/>
      <c r="LJ505" s="2"/>
      <c r="LK505" s="2"/>
      <c r="LL505" s="2"/>
      <c r="LM505" s="2"/>
      <c r="LN505" s="2"/>
    </row>
    <row r="506" spans="1:326">
      <c r="A506" s="1">
        <v>1869</v>
      </c>
      <c r="AF506" s="1">
        <f t="shared" si="123"/>
        <v>1181404.1655227521</v>
      </c>
      <c r="AG506" s="1">
        <v>847000</v>
      </c>
      <c r="BI506" s="4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HW506" s="4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  <c r="JY506" s="2"/>
      <c r="JZ506" s="2"/>
      <c r="KA506" s="2"/>
      <c r="KB506" s="2"/>
      <c r="KC506" s="2"/>
      <c r="KD506" s="2"/>
      <c r="KE506" s="2"/>
      <c r="KF506" s="2"/>
      <c r="KG506" s="2"/>
      <c r="KH506" s="2"/>
      <c r="KI506" s="2"/>
      <c r="KJ506" s="2"/>
      <c r="KK506" s="2"/>
      <c r="KL506" s="2"/>
      <c r="KM506" s="2"/>
      <c r="KN506" s="2"/>
      <c r="KO506" s="2"/>
      <c r="KP506" s="2"/>
      <c r="KQ506" s="2"/>
      <c r="KR506" s="2"/>
      <c r="KS506" s="2"/>
      <c r="KT506" s="2"/>
      <c r="KU506" s="2"/>
      <c r="KV506" s="2"/>
      <c r="KW506" s="2"/>
      <c r="KX506" s="2"/>
      <c r="KY506" s="2"/>
      <c r="KZ506" s="2"/>
      <c r="LA506" s="2"/>
      <c r="LB506" s="2"/>
      <c r="LC506" s="2"/>
      <c r="LD506" s="2"/>
      <c r="LE506" s="2"/>
      <c r="LF506" s="2"/>
      <c r="LG506" s="2"/>
      <c r="LH506" s="2"/>
      <c r="LI506" s="2"/>
      <c r="LJ506" s="2"/>
      <c r="LK506" s="2"/>
      <c r="LL506" s="2"/>
      <c r="LM506" s="2"/>
      <c r="LN506" s="2"/>
    </row>
    <row r="507" spans="1:326">
      <c r="A507" s="1">
        <v>1870</v>
      </c>
      <c r="AF507" s="1">
        <f t="shared" si="123"/>
        <v>1183766.9738537977</v>
      </c>
      <c r="BI507" s="4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HW507" s="4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  <c r="JY507" s="2"/>
      <c r="JZ507" s="2"/>
      <c r="KA507" s="2"/>
      <c r="KB507" s="2"/>
      <c r="KC507" s="2"/>
      <c r="KD507" s="2"/>
      <c r="KE507" s="2"/>
      <c r="KF507" s="2"/>
      <c r="KG507" s="2"/>
      <c r="KH507" s="2"/>
      <c r="KI507" s="2"/>
      <c r="KJ507" s="2"/>
      <c r="KK507" s="2"/>
      <c r="KL507" s="2"/>
      <c r="KM507" s="2"/>
      <c r="KN507" s="2"/>
      <c r="KO507" s="2"/>
      <c r="KP507" s="2"/>
      <c r="KQ507" s="2"/>
      <c r="KR507" s="2"/>
      <c r="KS507" s="2"/>
      <c r="KT507" s="2"/>
      <c r="KU507" s="2"/>
      <c r="KV507" s="2"/>
      <c r="KW507" s="2"/>
      <c r="KX507" s="2"/>
      <c r="KY507" s="2"/>
      <c r="KZ507" s="2"/>
      <c r="LA507" s="2"/>
      <c r="LB507" s="2"/>
      <c r="LC507" s="2"/>
      <c r="LD507" s="2"/>
      <c r="LE507" s="2"/>
      <c r="LF507" s="2"/>
      <c r="LG507" s="2"/>
      <c r="LH507" s="2"/>
      <c r="LI507" s="2"/>
      <c r="LJ507" s="2"/>
      <c r="LK507" s="2"/>
      <c r="LL507" s="2"/>
      <c r="LM507" s="2"/>
      <c r="LN507" s="2"/>
    </row>
    <row r="508" spans="1:326">
      <c r="A508" s="1">
        <v>1871</v>
      </c>
      <c r="AF508" s="1">
        <f t="shared" si="123"/>
        <v>1186134.5078015053</v>
      </c>
      <c r="BI508" s="4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HW508" s="4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  <c r="JY508" s="2"/>
      <c r="JZ508" s="2"/>
      <c r="KA508" s="2"/>
      <c r="KB508" s="2"/>
      <c r="KC508" s="2"/>
      <c r="KD508" s="2"/>
      <c r="KE508" s="2"/>
      <c r="KF508" s="2"/>
      <c r="KG508" s="2"/>
      <c r="KH508" s="2"/>
      <c r="KI508" s="2"/>
      <c r="KJ508" s="2"/>
      <c r="KK508" s="2"/>
      <c r="KL508" s="2"/>
      <c r="KM508" s="2"/>
      <c r="KN508" s="2"/>
      <c r="KO508" s="2"/>
      <c r="KP508" s="2"/>
      <c r="KQ508" s="2"/>
      <c r="KR508" s="2"/>
      <c r="KS508" s="2"/>
      <c r="KT508" s="2"/>
      <c r="KU508" s="2"/>
      <c r="KV508" s="2"/>
      <c r="KW508" s="2"/>
      <c r="KX508" s="2"/>
      <c r="KY508" s="2"/>
      <c r="KZ508" s="2"/>
      <c r="LA508" s="2"/>
      <c r="LB508" s="2"/>
      <c r="LC508" s="2"/>
      <c r="LD508" s="2"/>
      <c r="LE508" s="2"/>
      <c r="LF508" s="2"/>
      <c r="LG508" s="2"/>
      <c r="LH508" s="2"/>
      <c r="LI508" s="2"/>
      <c r="LJ508" s="2"/>
      <c r="LK508" s="2"/>
      <c r="LL508" s="2"/>
      <c r="LM508" s="2"/>
      <c r="LN508" s="2"/>
    </row>
    <row r="509" spans="1:326">
      <c r="A509" s="1">
        <v>1872</v>
      </c>
      <c r="AF509" s="1">
        <f t="shared" si="123"/>
        <v>1188506.7768171083</v>
      </c>
      <c r="BI509" s="4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HW509" s="4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  <c r="JY509" s="2"/>
      <c r="JZ509" s="2"/>
      <c r="KA509" s="2"/>
      <c r="KB509" s="2"/>
      <c r="KC509" s="2"/>
      <c r="KD509" s="2"/>
      <c r="KE509" s="2"/>
      <c r="KF509" s="2"/>
      <c r="KG509" s="2"/>
      <c r="KH509" s="2"/>
      <c r="KI509" s="2"/>
      <c r="KJ509" s="2"/>
      <c r="KK509" s="2"/>
      <c r="KL509" s="2"/>
      <c r="KM509" s="2"/>
      <c r="KN509" s="2"/>
      <c r="KO509" s="2"/>
      <c r="KP509" s="2"/>
      <c r="KQ509" s="2"/>
      <c r="KR509" s="2"/>
      <c r="KS509" s="2"/>
      <c r="KT509" s="2"/>
      <c r="KU509" s="2"/>
      <c r="KV509" s="2"/>
      <c r="KW509" s="2"/>
      <c r="KX509" s="2"/>
      <c r="KY509" s="2"/>
      <c r="KZ509" s="2"/>
      <c r="LA509" s="2"/>
      <c r="LB509" s="2"/>
      <c r="LC509" s="2"/>
      <c r="LD509" s="2"/>
      <c r="LE509" s="2"/>
      <c r="LF509" s="2"/>
      <c r="LG509" s="2"/>
      <c r="LH509" s="2"/>
      <c r="LI509" s="2"/>
      <c r="LJ509" s="2"/>
      <c r="LK509" s="2"/>
      <c r="LL509" s="2"/>
      <c r="LM509" s="2"/>
      <c r="LN509" s="2"/>
    </row>
    <row r="510" spans="1:326">
      <c r="A510" s="1">
        <v>1873</v>
      </c>
      <c r="AF510" s="1">
        <f t="shared" si="123"/>
        <v>1190883.7903707426</v>
      </c>
      <c r="BI510" s="4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HW510" s="4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  <c r="JY510" s="2"/>
      <c r="JZ510" s="2"/>
      <c r="KA510" s="2"/>
      <c r="KB510" s="2"/>
      <c r="KC510" s="2"/>
      <c r="KD510" s="2"/>
      <c r="KE510" s="2"/>
      <c r="KF510" s="2"/>
      <c r="KG510" s="2"/>
      <c r="KH510" s="2"/>
      <c r="KI510" s="2"/>
      <c r="KJ510" s="2"/>
      <c r="KK510" s="2"/>
      <c r="KL510" s="2"/>
      <c r="KM510" s="2"/>
      <c r="KN510" s="2"/>
      <c r="KO510" s="2"/>
      <c r="KP510" s="2"/>
      <c r="KQ510" s="2"/>
      <c r="KR510" s="2"/>
      <c r="KS510" s="2"/>
      <c r="KT510" s="2"/>
      <c r="KU510" s="2"/>
      <c r="KV510" s="2"/>
      <c r="KW510" s="2"/>
      <c r="KX510" s="2"/>
      <c r="KY510" s="2"/>
      <c r="KZ510" s="2"/>
      <c r="LA510" s="2"/>
      <c r="LB510" s="2"/>
      <c r="LC510" s="2"/>
      <c r="LD510" s="2"/>
      <c r="LE510" s="2"/>
      <c r="LF510" s="2"/>
      <c r="LG510" s="2"/>
      <c r="LH510" s="2"/>
      <c r="LI510" s="2"/>
      <c r="LJ510" s="2"/>
      <c r="LK510" s="2"/>
      <c r="LL510" s="2"/>
      <c r="LM510" s="2"/>
      <c r="LN510" s="2"/>
    </row>
    <row r="511" spans="1:326">
      <c r="A511" s="1">
        <v>1874</v>
      </c>
      <c r="AF511" s="1">
        <f t="shared" si="123"/>
        <v>1193265.5579514841</v>
      </c>
      <c r="BI511" s="4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HW511" s="4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  <c r="JY511" s="2"/>
      <c r="JZ511" s="2"/>
      <c r="KA511" s="2"/>
      <c r="KB511" s="2"/>
      <c r="KC511" s="2"/>
      <c r="KD511" s="2"/>
      <c r="KE511" s="2"/>
      <c r="KF511" s="2"/>
      <c r="KG511" s="2"/>
      <c r="KH511" s="2"/>
      <c r="KI511" s="2"/>
      <c r="KJ511" s="2"/>
      <c r="KK511" s="2"/>
      <c r="KL511" s="2"/>
      <c r="KM511" s="2"/>
      <c r="KN511" s="2"/>
      <c r="KO511" s="2"/>
      <c r="KP511" s="2"/>
      <c r="KQ511" s="2"/>
      <c r="KR511" s="2"/>
      <c r="KS511" s="2"/>
      <c r="KT511" s="2"/>
      <c r="KU511" s="2"/>
      <c r="KV511" s="2"/>
      <c r="KW511" s="2"/>
      <c r="KX511" s="2"/>
      <c r="KY511" s="2"/>
      <c r="KZ511" s="2"/>
      <c r="LA511" s="2"/>
      <c r="LB511" s="2"/>
      <c r="LC511" s="2"/>
      <c r="LD511" s="2"/>
      <c r="LE511" s="2"/>
      <c r="LF511" s="2"/>
      <c r="LG511" s="2"/>
      <c r="LH511" s="2"/>
      <c r="LI511" s="2"/>
      <c r="LJ511" s="2"/>
      <c r="LK511" s="2"/>
      <c r="LL511" s="2"/>
      <c r="LM511" s="2"/>
      <c r="LN511" s="2"/>
    </row>
    <row r="512" spans="1:326">
      <c r="A512" s="1">
        <v>1875</v>
      </c>
      <c r="AF512" s="1">
        <f t="shared" si="123"/>
        <v>1195652.0890673872</v>
      </c>
      <c r="BI512" s="4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HW512" s="4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  <c r="JY512" s="2"/>
      <c r="JZ512" s="2"/>
      <c r="KA512" s="2"/>
      <c r="KB512" s="2"/>
      <c r="KC512" s="2"/>
      <c r="KD512" s="2"/>
      <c r="KE512" s="2"/>
      <c r="KF512" s="2"/>
      <c r="KG512" s="2"/>
      <c r="KH512" s="2"/>
      <c r="KI512" s="2"/>
      <c r="KJ512" s="2"/>
      <c r="KK512" s="2"/>
      <c r="KL512" s="2"/>
      <c r="KM512" s="2"/>
      <c r="KN512" s="2"/>
      <c r="KO512" s="2"/>
      <c r="KP512" s="2"/>
      <c r="KQ512" s="2"/>
      <c r="KR512" s="2"/>
      <c r="KS512" s="2"/>
      <c r="KT512" s="2"/>
      <c r="KU512" s="2"/>
      <c r="KV512" s="2"/>
      <c r="KW512" s="2"/>
      <c r="KX512" s="2"/>
      <c r="KY512" s="2"/>
      <c r="KZ512" s="2"/>
      <c r="LA512" s="2"/>
      <c r="LB512" s="2"/>
      <c r="LC512" s="2"/>
      <c r="LD512" s="2"/>
      <c r="LE512" s="2"/>
      <c r="LF512" s="2"/>
      <c r="LG512" s="2"/>
      <c r="LH512" s="2"/>
      <c r="LI512" s="2"/>
      <c r="LJ512" s="2"/>
      <c r="LK512" s="2"/>
      <c r="LL512" s="2"/>
      <c r="LM512" s="2"/>
      <c r="LN512" s="2"/>
    </row>
    <row r="513" spans="1:333">
      <c r="A513" s="1">
        <v>1876</v>
      </c>
      <c r="AF513" s="1">
        <f t="shared" si="123"/>
        <v>1198043.3932455219</v>
      </c>
      <c r="BI513" s="4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HW513" s="4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  <c r="JY513" s="2"/>
      <c r="JZ513" s="2"/>
      <c r="KA513" s="2"/>
      <c r="KB513" s="2"/>
      <c r="KC513" s="2"/>
      <c r="KD513" s="2"/>
      <c r="KE513" s="2"/>
      <c r="KF513" s="2"/>
      <c r="KG513" s="2"/>
      <c r="KH513" s="2"/>
      <c r="KI513" s="2"/>
      <c r="KJ513" s="2"/>
      <c r="KK513" s="2"/>
      <c r="KL513" s="2"/>
      <c r="KM513" s="2"/>
      <c r="KN513" s="2"/>
      <c r="KO513" s="2"/>
      <c r="KP513" s="2"/>
      <c r="KQ513" s="2"/>
      <c r="KR513" s="2"/>
      <c r="KS513" s="2"/>
      <c r="KT513" s="2"/>
      <c r="KU513" s="2"/>
      <c r="KV513" s="2"/>
      <c r="KW513" s="2"/>
      <c r="KX513" s="2"/>
      <c r="KY513" s="2"/>
      <c r="KZ513" s="2"/>
      <c r="LA513" s="2"/>
      <c r="LB513" s="2"/>
      <c r="LC513" s="2"/>
      <c r="LD513" s="2"/>
      <c r="LE513" s="2"/>
      <c r="LF513" s="2"/>
      <c r="LG513" s="2"/>
      <c r="LH513" s="2"/>
      <c r="LI513" s="2"/>
      <c r="LJ513" s="2"/>
      <c r="LK513" s="2"/>
      <c r="LL513" s="2"/>
      <c r="LM513" s="2"/>
      <c r="LN513" s="2"/>
    </row>
    <row r="514" spans="1:333">
      <c r="A514" s="1">
        <v>1877</v>
      </c>
      <c r="AF514" s="1">
        <f t="shared" si="123"/>
        <v>1200439.480032013</v>
      </c>
      <c r="BI514" s="4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HW514" s="4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  <c r="JY514" s="2"/>
      <c r="JZ514" s="2"/>
      <c r="KA514" s="2"/>
      <c r="KB514" s="2"/>
      <c r="KC514" s="2"/>
      <c r="KD514" s="2"/>
      <c r="KE514" s="2"/>
      <c r="KF514" s="2"/>
      <c r="KG514" s="2"/>
      <c r="KH514" s="2"/>
      <c r="KI514" s="2"/>
      <c r="KJ514" s="2"/>
      <c r="KK514" s="2"/>
      <c r="KL514" s="2"/>
      <c r="KM514" s="2"/>
      <c r="KN514" s="2"/>
      <c r="KO514" s="2"/>
      <c r="KP514" s="2"/>
      <c r="KQ514" s="2"/>
      <c r="KR514" s="2"/>
      <c r="KS514" s="2"/>
      <c r="KT514" s="2"/>
      <c r="KU514" s="2"/>
      <c r="KV514" s="2"/>
      <c r="KW514" s="2"/>
      <c r="KX514" s="2"/>
      <c r="KY514" s="2"/>
      <c r="KZ514" s="2"/>
      <c r="LA514" s="2"/>
      <c r="LB514" s="2"/>
      <c r="LC514" s="2"/>
      <c r="LD514" s="2"/>
      <c r="LE514" s="2"/>
      <c r="LF514" s="2"/>
      <c r="LG514" s="2"/>
      <c r="LH514" s="2"/>
      <c r="LI514" s="2"/>
      <c r="LJ514" s="2"/>
      <c r="LK514" s="2"/>
      <c r="LL514" s="2"/>
      <c r="LM514" s="2"/>
      <c r="LN514" s="2"/>
    </row>
    <row r="515" spans="1:333">
      <c r="A515" s="1">
        <v>1878</v>
      </c>
      <c r="AF515" s="1">
        <f t="shared" si="123"/>
        <v>1202840.3589920769</v>
      </c>
      <c r="BI515" s="4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HW515" s="4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  <c r="JY515" s="2"/>
      <c r="JZ515" s="2"/>
      <c r="KA515" s="2"/>
      <c r="KB515" s="2"/>
      <c r="KC515" s="2"/>
      <c r="KD515" s="2"/>
      <c r="KE515" s="2"/>
      <c r="KF515" s="2"/>
      <c r="KG515" s="2"/>
      <c r="KH515" s="2"/>
      <c r="KI515" s="2"/>
      <c r="KJ515" s="2"/>
      <c r="KK515" s="2"/>
      <c r="KL515" s="2"/>
      <c r="KM515" s="2"/>
      <c r="KN515" s="2"/>
      <c r="KO515" s="2"/>
      <c r="KP515" s="2"/>
      <c r="KQ515" s="2"/>
      <c r="KR515" s="2"/>
      <c r="KS515" s="2"/>
      <c r="KT515" s="2"/>
      <c r="KU515" s="2"/>
      <c r="KV515" s="2"/>
      <c r="KW515" s="2"/>
      <c r="KX515" s="2"/>
      <c r="KY515" s="2"/>
      <c r="KZ515" s="2"/>
      <c r="LA515" s="2"/>
      <c r="LB515" s="2"/>
      <c r="LC515" s="2"/>
      <c r="LD515" s="2"/>
      <c r="LE515" s="2"/>
      <c r="LF515" s="2"/>
      <c r="LG515" s="2"/>
      <c r="LH515" s="2"/>
      <c r="LI515" s="2"/>
      <c r="LJ515" s="2"/>
      <c r="LK515" s="2"/>
      <c r="LL515" s="2"/>
      <c r="LM515" s="2"/>
      <c r="LN515" s="2"/>
    </row>
    <row r="516" spans="1:333">
      <c r="A516" s="1">
        <v>1879</v>
      </c>
      <c r="AF516" s="1">
        <f t="shared" si="123"/>
        <v>1205246.0397100612</v>
      </c>
      <c r="BI516" s="4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HW516" s="4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  <c r="JY516" s="2"/>
      <c r="JZ516" s="2"/>
      <c r="KA516" s="2"/>
      <c r="KB516" s="2"/>
      <c r="KC516" s="2"/>
      <c r="KD516" s="2"/>
      <c r="KE516" s="2"/>
      <c r="KF516" s="2"/>
      <c r="KG516" s="2"/>
      <c r="KH516" s="2"/>
      <c r="KI516" s="2"/>
      <c r="KJ516" s="2"/>
      <c r="KK516" s="2"/>
      <c r="KL516" s="2"/>
      <c r="KM516" s="2"/>
      <c r="KN516" s="2"/>
      <c r="KO516" s="2"/>
      <c r="KP516" s="2"/>
      <c r="KQ516" s="2"/>
      <c r="KR516" s="2"/>
      <c r="KS516" s="2"/>
      <c r="KT516" s="2"/>
      <c r="KU516" s="2"/>
      <c r="KV516" s="2"/>
      <c r="KW516" s="2"/>
      <c r="KX516" s="2"/>
      <c r="KY516" s="2"/>
      <c r="KZ516" s="2"/>
      <c r="LA516" s="2"/>
      <c r="LB516" s="2"/>
      <c r="LC516" s="2"/>
      <c r="LD516" s="2"/>
      <c r="LE516" s="2"/>
      <c r="LF516" s="2"/>
      <c r="LG516" s="2"/>
      <c r="LH516" s="2"/>
      <c r="LI516" s="2"/>
      <c r="LJ516" s="2"/>
      <c r="LK516" s="2"/>
      <c r="LL516" s="2"/>
      <c r="LM516" s="2"/>
      <c r="LN516" s="2"/>
    </row>
    <row r="517" spans="1:333">
      <c r="A517" s="1">
        <v>1880</v>
      </c>
      <c r="B517" s="1">
        <f>C517+K517+U517+AD517+AH517+AG517+AT517+BC517+R517</f>
        <v>21555965.899999999</v>
      </c>
      <c r="C517" s="1">
        <f>213.2*C1</f>
        <v>1658909.2</v>
      </c>
      <c r="K517" s="1">
        <f>187.6*K1</f>
        <v>3575656</v>
      </c>
      <c r="R517" s="1">
        <f>145.9*R1</f>
        <v>1523196</v>
      </c>
      <c r="U517" s="1">
        <f>383.9*U1</f>
        <v>5996518</v>
      </c>
      <c r="AD517" s="1">
        <f>479.5*AD1</f>
        <v>3290808.5</v>
      </c>
      <c r="AF517" s="1">
        <f t="shared" si="123"/>
        <v>1207656.5317894812</v>
      </c>
      <c r="AG517" s="1">
        <f>727.6*AG1</f>
        <v>924052</v>
      </c>
      <c r="AH517" s="1">
        <f>350*AH1</f>
        <v>2366700</v>
      </c>
      <c r="AT517" s="1">
        <f>203.5*AT1</f>
        <v>1491248</v>
      </c>
      <c r="BC517" s="1">
        <f>157.8*BC1</f>
        <v>728878.20000000007</v>
      </c>
      <c r="BI517" s="4">
        <f t="shared" si="119"/>
        <v>25401882.900000002</v>
      </c>
      <c r="BJ517" s="2">
        <f>190.3*BJ1</f>
        <v>2816440</v>
      </c>
      <c r="BK517" s="2"/>
      <c r="BL517" s="2"/>
      <c r="BM517" s="2"/>
      <c r="BN517" s="2"/>
      <c r="BO517" s="2"/>
      <c r="BP517" s="2"/>
      <c r="BQ517" s="2">
        <f>231.6*BQ1</f>
        <v>3471684</v>
      </c>
      <c r="BR517" s="2"/>
      <c r="BS517" s="2"/>
      <c r="BT517" s="2"/>
      <c r="BU517" s="2"/>
      <c r="BV517" s="2"/>
      <c r="BW517" s="2">
        <f>117.4*BW1</f>
        <v>1112834.6000000001</v>
      </c>
      <c r="BX517" s="2"/>
      <c r="BY517" s="2"/>
      <c r="BZ517" s="2">
        <f>161.7*BZ1</f>
        <v>3841991.9999999995</v>
      </c>
      <c r="CA517" s="2"/>
      <c r="CB517" s="2"/>
      <c r="CC517" s="2"/>
      <c r="CD517" s="2"/>
      <c r="CE517" s="2"/>
      <c r="CF517" s="2"/>
      <c r="CG517" s="2"/>
      <c r="CH517" s="2">
        <f>118.8*CH1</f>
        <v>1317492</v>
      </c>
      <c r="CI517" s="2"/>
      <c r="CJ517" s="2"/>
      <c r="CK517" s="2"/>
      <c r="CL517" s="2">
        <f>235.5*CL1</f>
        <v>5310525</v>
      </c>
      <c r="CM517" s="2"/>
      <c r="CN517" s="2"/>
      <c r="CO517" s="2"/>
      <c r="CP517" s="2"/>
      <c r="CQ517" s="2"/>
      <c r="CR517" s="2"/>
      <c r="CS517" s="2"/>
      <c r="CT517" s="2">
        <f>170*CT1</f>
        <v>541960</v>
      </c>
      <c r="CU517" s="2"/>
      <c r="CV517" s="2"/>
      <c r="CW517" s="2"/>
      <c r="CX517" s="2">
        <f>51.7*CX1</f>
        <v>504953.9</v>
      </c>
      <c r="CY517" s="2"/>
      <c r="CZ517" s="2"/>
      <c r="DA517" s="2"/>
      <c r="DB517" s="2"/>
      <c r="DC517" s="2"/>
      <c r="DD517" s="2"/>
      <c r="DE517" s="2">
        <f>74.2*DE1</f>
        <v>852558</v>
      </c>
      <c r="DF517" s="2"/>
      <c r="DG517" s="2"/>
      <c r="DH517" s="2"/>
      <c r="DI517" s="2"/>
      <c r="DJ517" s="2"/>
      <c r="DK517" s="2"/>
      <c r="DL517" s="2">
        <f>59.2*DL1</f>
        <v>684352</v>
      </c>
      <c r="DM517" s="2"/>
      <c r="DN517" s="2"/>
      <c r="DO517" s="2"/>
      <c r="DP517" s="2"/>
      <c r="DQ517" s="2"/>
      <c r="DR517" s="2"/>
      <c r="DS517" s="2">
        <f>240.2*DS1</f>
        <v>4008938</v>
      </c>
      <c r="DT517" s="2"/>
      <c r="DU517" s="2"/>
      <c r="DV517" s="2"/>
      <c r="DW517" s="2"/>
      <c r="DX517" s="2"/>
      <c r="DY517" s="2"/>
      <c r="DZ517" s="2"/>
      <c r="EA517" s="2"/>
      <c r="EB517" s="2">
        <f>62.9*EB1</f>
        <v>308147.09999999998</v>
      </c>
      <c r="EC517" s="2"/>
      <c r="ED517" s="2"/>
      <c r="EE517" s="2">
        <f>206.9*EE1</f>
        <v>550974.70000000007</v>
      </c>
      <c r="EF517" s="2"/>
      <c r="EG517" s="2">
        <f>24.4*EG1</f>
        <v>79031.599999999991</v>
      </c>
      <c r="EH517" s="2"/>
      <c r="EI517" s="1">
        <f t="shared" si="120"/>
        <v>16028889.1</v>
      </c>
      <c r="EJ517" s="1">
        <f>116.6*EJ1</f>
        <v>853278.79999999993</v>
      </c>
      <c r="ET517" s="1">
        <f>60.8*ET1</f>
        <v>512848</v>
      </c>
      <c r="FA517" s="1">
        <f>354*FA1</f>
        <v>1135986</v>
      </c>
      <c r="FI517" s="1">
        <f>123.8*FI1</f>
        <v>766817.2</v>
      </c>
      <c r="FQ517" s="1">
        <f>279.9*FQ1</f>
        <v>2671365.5999999996</v>
      </c>
      <c r="FZ517" s="1">
        <f>309.2*FZ1</f>
        <v>1835720.4</v>
      </c>
      <c r="GH517" s="1">
        <f>189.9*GH1</f>
        <v>2119284</v>
      </c>
      <c r="GO517" s="1">
        <f>201.6*GO1</f>
        <v>2002694.4</v>
      </c>
      <c r="GX517" s="1">
        <f>76.9*GX$1</f>
        <v>702712.20000000007</v>
      </c>
      <c r="HD517" s="1">
        <f>50.2*HD$1</f>
        <v>921672</v>
      </c>
      <c r="HO517" s="1">
        <f>222.9*HO$1</f>
        <v>2506510.5</v>
      </c>
      <c r="HW517" s="4">
        <f t="shared" si="121"/>
        <v>13285297.200000001</v>
      </c>
      <c r="HX517" s="1">
        <f>90.2*HX$1</f>
        <v>1963654</v>
      </c>
      <c r="HY517" s="2"/>
      <c r="HZ517" s="2"/>
      <c r="IA517" s="2"/>
      <c r="IB517" s="2"/>
      <c r="IC517" s="2"/>
      <c r="ID517" s="2"/>
      <c r="IE517" s="2"/>
      <c r="IF517" s="2"/>
      <c r="IG517" s="2"/>
      <c r="IH517" s="1">
        <f>70.9*IH$1</f>
        <v>371941.4</v>
      </c>
      <c r="II517" s="2"/>
      <c r="IJ517" s="2"/>
      <c r="IK517" s="2"/>
      <c r="IL517" s="1">
        <f>80.9*IL$1</f>
        <v>531917.5</v>
      </c>
      <c r="IM517" s="2"/>
      <c r="IN517" s="2"/>
      <c r="IO517" s="2"/>
      <c r="IP517" s="2"/>
      <c r="IQ517" s="2"/>
      <c r="IR517" s="1">
        <f>95.1*IR$1</f>
        <v>498894.6</v>
      </c>
      <c r="IS517" s="2"/>
      <c r="IT517" s="2"/>
      <c r="IU517" s="2"/>
      <c r="IV517" s="2"/>
      <c r="IW517" s="1">
        <f>84.7*IW$1</f>
        <v>1326402</v>
      </c>
      <c r="IX517" s="2"/>
      <c r="IY517" s="2"/>
      <c r="IZ517" s="2"/>
      <c r="JA517" s="2"/>
      <c r="JB517" s="2"/>
      <c r="JC517" s="2"/>
      <c r="JD517" s="2"/>
      <c r="JE517" s="1">
        <f>89.2*JE$1</f>
        <v>1252368</v>
      </c>
      <c r="JF517" s="2"/>
      <c r="JG517" s="2"/>
      <c r="JH517" s="2"/>
      <c r="JI517" s="2"/>
      <c r="JJ517" s="2"/>
      <c r="JK517" s="2"/>
      <c r="JL517" s="2"/>
      <c r="JM517" s="1">
        <f>60.2*JM$1</f>
        <v>492857.4</v>
      </c>
      <c r="JN517" s="2"/>
      <c r="JO517" s="2"/>
      <c r="JP517" s="2"/>
      <c r="JQ517" s="2"/>
      <c r="JR517" s="2"/>
      <c r="JS517" s="1">
        <f>100.4*JS$1</f>
        <v>1069260</v>
      </c>
      <c r="JT517" s="2"/>
      <c r="JU517" s="2"/>
      <c r="JV517" s="2"/>
      <c r="JW517" s="2"/>
      <c r="JX517" s="2"/>
      <c r="JY517" s="2"/>
      <c r="JZ517" s="1">
        <f>63.1*JZ$1</f>
        <v>1549105</v>
      </c>
      <c r="KA517" s="2"/>
      <c r="KB517" s="2"/>
      <c r="KC517" s="2"/>
      <c r="KD517" s="2"/>
      <c r="KE517" s="2"/>
      <c r="KF517" s="2"/>
      <c r="KG517" s="2"/>
      <c r="KH517" s="2"/>
      <c r="KI517" s="2"/>
      <c r="KJ517" s="2"/>
      <c r="KK517" s="1">
        <f>101.3*KK$1</f>
        <v>544994</v>
      </c>
      <c r="KL517" s="2"/>
      <c r="KM517" s="2"/>
      <c r="KN517" s="2"/>
      <c r="KO517" s="2"/>
      <c r="KP517" s="1">
        <f>79.9*KP$1</f>
        <v>703599.4</v>
      </c>
      <c r="KQ517" s="2"/>
      <c r="KR517" s="2"/>
      <c r="KS517" s="2"/>
      <c r="KT517" s="2"/>
      <c r="KU517" s="2"/>
      <c r="KV517" s="1">
        <f>74.3*KV$1</f>
        <v>1723017</v>
      </c>
      <c r="KW517" s="2"/>
      <c r="KX517" s="2"/>
      <c r="KY517" s="2"/>
      <c r="KZ517" s="2"/>
      <c r="LA517" s="2"/>
      <c r="LB517" s="2"/>
      <c r="LC517" s="2"/>
      <c r="LD517" s="2"/>
      <c r="LE517" s="2"/>
      <c r="LF517" s="2"/>
      <c r="LG517" s="1">
        <f>74.8*LG$1</f>
        <v>650161.6</v>
      </c>
      <c r="LH517" s="2"/>
      <c r="LI517" s="2"/>
      <c r="LJ517" s="1">
        <f>87.9*LJ$1</f>
        <v>607125.30000000005</v>
      </c>
      <c r="LK517" s="2"/>
      <c r="LL517" s="2"/>
      <c r="LM517" s="2"/>
      <c r="LN517" s="2"/>
      <c r="LO517" s="1">
        <f t="shared" si="122"/>
        <v>3926890.0999999996</v>
      </c>
      <c r="LP517" s="1">
        <f>593.4*LP$1</f>
        <v>1374907.8</v>
      </c>
      <c r="LU517" s="1">
        <f>613.9*LU$1</f>
        <v>2551982.2999999998</v>
      </c>
    </row>
    <row r="518" spans="1:333">
      <c r="A518" s="1">
        <v>1881</v>
      </c>
      <c r="AF518" s="1">
        <f t="shared" si="123"/>
        <v>1210071.8448530601</v>
      </c>
      <c r="BI518" s="4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HW518" s="4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  <c r="JY518" s="2"/>
      <c r="JZ518" s="2"/>
      <c r="KA518" s="2"/>
      <c r="KB518" s="2"/>
      <c r="KC518" s="2"/>
      <c r="KD518" s="2"/>
      <c r="KE518" s="2"/>
      <c r="KF518" s="2"/>
      <c r="KG518" s="2"/>
      <c r="KH518" s="2"/>
      <c r="KI518" s="2"/>
      <c r="KJ518" s="2"/>
      <c r="KK518" s="2"/>
      <c r="KL518" s="2"/>
      <c r="KM518" s="2"/>
      <c r="KN518" s="2"/>
      <c r="KO518" s="2"/>
      <c r="KP518" s="2"/>
      <c r="KQ518" s="2"/>
      <c r="KR518" s="2"/>
      <c r="KS518" s="2"/>
      <c r="KT518" s="2"/>
      <c r="KU518" s="2"/>
      <c r="KV518" s="2"/>
      <c r="KW518" s="2"/>
      <c r="KX518" s="2"/>
      <c r="KY518" s="2"/>
      <c r="KZ518" s="2"/>
      <c r="LA518" s="2"/>
      <c r="LB518" s="2"/>
      <c r="LC518" s="2"/>
      <c r="LD518" s="2"/>
      <c r="LE518" s="2"/>
      <c r="LF518" s="2"/>
      <c r="LG518" s="2"/>
      <c r="LH518" s="2"/>
      <c r="LI518" s="2"/>
      <c r="LJ518" s="2"/>
      <c r="LK518" s="2"/>
      <c r="LL518" s="2"/>
      <c r="LM518" s="2"/>
      <c r="LN518" s="2"/>
    </row>
    <row r="519" spans="1:333">
      <c r="A519" s="1">
        <v>1882</v>
      </c>
      <c r="AF519" s="1">
        <f t="shared" si="123"/>
        <v>1212491.9885427663</v>
      </c>
      <c r="BI519" s="4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HW519" s="4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  <c r="JY519" s="2"/>
      <c r="JZ519" s="2"/>
      <c r="KA519" s="2"/>
      <c r="KB519" s="2"/>
      <c r="KC519" s="2"/>
      <c r="KD519" s="2"/>
      <c r="KE519" s="2"/>
      <c r="KF519" s="2"/>
      <c r="KG519" s="2"/>
      <c r="KH519" s="2"/>
      <c r="KI519" s="2"/>
      <c r="KJ519" s="2"/>
      <c r="KK519" s="2"/>
      <c r="KL519" s="2"/>
      <c r="KM519" s="2"/>
      <c r="KN519" s="2"/>
      <c r="KO519" s="2"/>
      <c r="KP519" s="2"/>
      <c r="KQ519" s="2"/>
      <c r="KR519" s="2"/>
      <c r="KS519" s="2"/>
      <c r="KT519" s="2"/>
      <c r="KU519" s="2"/>
      <c r="KV519" s="2"/>
      <c r="KW519" s="2"/>
      <c r="KX519" s="2"/>
      <c r="KY519" s="2"/>
      <c r="KZ519" s="2"/>
      <c r="LA519" s="2"/>
      <c r="LB519" s="2"/>
      <c r="LC519" s="2"/>
      <c r="LD519" s="2"/>
      <c r="LE519" s="2"/>
      <c r="LF519" s="2"/>
      <c r="LG519" s="2"/>
      <c r="LH519" s="2"/>
      <c r="LI519" s="2"/>
      <c r="LJ519" s="2"/>
      <c r="LK519" s="2"/>
      <c r="LL519" s="2"/>
      <c r="LM519" s="2"/>
      <c r="LN519" s="2"/>
    </row>
    <row r="520" spans="1:333">
      <c r="A520" s="1">
        <v>1883</v>
      </c>
      <c r="AF520" s="1">
        <f t="shared" si="123"/>
        <v>1214916.9725198518</v>
      </c>
      <c r="BI520" s="4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HW520" s="4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  <c r="JY520" s="2"/>
      <c r="JZ520" s="2"/>
      <c r="KA520" s="2"/>
      <c r="KB520" s="2"/>
      <c r="KC520" s="2"/>
      <c r="KD520" s="2"/>
      <c r="KE520" s="2"/>
      <c r="KF520" s="2"/>
      <c r="KG520" s="2"/>
      <c r="KH520" s="2"/>
      <c r="KI520" s="2"/>
      <c r="KJ520" s="2"/>
      <c r="KK520" s="2"/>
      <c r="KL520" s="2"/>
      <c r="KM520" s="2"/>
      <c r="KN520" s="2"/>
      <c r="KO520" s="2"/>
      <c r="KP520" s="2"/>
      <c r="KQ520" s="2"/>
      <c r="KR520" s="2"/>
      <c r="KS520" s="2"/>
      <c r="KT520" s="2"/>
      <c r="KU520" s="2"/>
      <c r="KV520" s="2"/>
      <c r="KW520" s="2"/>
      <c r="KX520" s="2"/>
      <c r="KY520" s="2"/>
      <c r="KZ520" s="2"/>
      <c r="LA520" s="2"/>
      <c r="LB520" s="2"/>
      <c r="LC520" s="2"/>
      <c r="LD520" s="2"/>
      <c r="LE520" s="2"/>
      <c r="LF520" s="2"/>
      <c r="LG520" s="2"/>
      <c r="LH520" s="2"/>
      <c r="LI520" s="2"/>
      <c r="LJ520" s="2"/>
      <c r="LK520" s="2"/>
      <c r="LL520" s="2"/>
      <c r="LM520" s="2"/>
      <c r="LN520" s="2"/>
    </row>
    <row r="521" spans="1:333">
      <c r="A521" s="1">
        <v>1884</v>
      </c>
      <c r="AF521" s="1">
        <f t="shared" si="123"/>
        <v>1217346.8064648914</v>
      </c>
      <c r="BI521" s="4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HW521" s="4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  <c r="JY521" s="2"/>
      <c r="JZ521" s="2"/>
      <c r="KA521" s="2"/>
      <c r="KB521" s="2"/>
      <c r="KC521" s="2"/>
      <c r="KD521" s="2"/>
      <c r="KE521" s="2"/>
      <c r="KF521" s="2"/>
      <c r="KG521" s="2"/>
      <c r="KH521" s="2"/>
      <c r="KI521" s="2"/>
      <c r="KJ521" s="2"/>
      <c r="KK521" s="2"/>
      <c r="KL521" s="2"/>
      <c r="KM521" s="2"/>
      <c r="KN521" s="2"/>
      <c r="KO521" s="2"/>
      <c r="KP521" s="2"/>
      <c r="KQ521" s="2"/>
      <c r="KR521" s="2"/>
      <c r="KS521" s="2"/>
      <c r="KT521" s="2"/>
      <c r="KU521" s="2"/>
      <c r="KV521" s="2"/>
      <c r="KW521" s="2"/>
      <c r="KX521" s="2"/>
      <c r="KY521" s="2"/>
      <c r="KZ521" s="2"/>
      <c r="LA521" s="2"/>
      <c r="LB521" s="2"/>
      <c r="LC521" s="2"/>
      <c r="LD521" s="2"/>
      <c r="LE521" s="2"/>
      <c r="LF521" s="2"/>
      <c r="LG521" s="2"/>
      <c r="LH521" s="2"/>
      <c r="LI521" s="2"/>
      <c r="LJ521" s="2"/>
      <c r="LK521" s="2"/>
      <c r="LL521" s="2"/>
      <c r="LM521" s="2"/>
      <c r="LN521" s="2"/>
    </row>
    <row r="522" spans="1:333">
      <c r="A522" s="1">
        <v>1885</v>
      </c>
      <c r="AF522" s="1">
        <f t="shared" si="123"/>
        <v>1219781.5000778213</v>
      </c>
      <c r="BI522" s="4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HC522" s="1">
        <v>133519</v>
      </c>
      <c r="HW522" s="4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  <c r="JY522" s="2"/>
      <c r="JZ522" s="2"/>
      <c r="KA522" s="2"/>
      <c r="KB522" s="2"/>
      <c r="KC522" s="2"/>
      <c r="KD522" s="2"/>
      <c r="KE522" s="2"/>
      <c r="KF522" s="2"/>
      <c r="KG522" s="2"/>
      <c r="KH522" s="2"/>
      <c r="KI522" s="2"/>
      <c r="KJ522" s="2"/>
      <c r="KK522" s="2"/>
      <c r="KL522" s="2"/>
      <c r="KM522" s="2"/>
      <c r="KN522" s="2"/>
      <c r="KO522" s="2"/>
      <c r="KP522" s="2"/>
      <c r="KQ522" s="2"/>
      <c r="KR522" s="2"/>
      <c r="KS522" s="2"/>
      <c r="KT522" s="2"/>
      <c r="KU522" s="2"/>
      <c r="KV522" s="2"/>
      <c r="KW522" s="2"/>
      <c r="KX522" s="2"/>
      <c r="KY522" s="2"/>
      <c r="KZ522" s="2"/>
      <c r="LA522" s="2"/>
      <c r="LB522" s="2"/>
      <c r="LC522" s="2"/>
      <c r="LD522" s="2"/>
      <c r="LE522" s="2"/>
      <c r="LF522" s="2"/>
      <c r="LG522" s="2"/>
      <c r="LH522" s="2"/>
      <c r="LI522" s="2"/>
      <c r="LJ522" s="2"/>
      <c r="LK522" s="2"/>
      <c r="LL522" s="2"/>
      <c r="LM522" s="2"/>
      <c r="LN522" s="2"/>
    </row>
    <row r="523" spans="1:333">
      <c r="A523" s="1">
        <v>1886</v>
      </c>
      <c r="AF523" s="1">
        <f t="shared" si="123"/>
        <v>1222221.0630779769</v>
      </c>
      <c r="BI523" s="4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HW523" s="4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  <c r="JY523" s="2"/>
      <c r="JZ523" s="2"/>
      <c r="KA523" s="2"/>
      <c r="KB523" s="2"/>
      <c r="KC523" s="2"/>
      <c r="KD523" s="2"/>
      <c r="KE523" s="2"/>
      <c r="KF523" s="2"/>
      <c r="KG523" s="2"/>
      <c r="KH523" s="2"/>
      <c r="KI523" s="2"/>
      <c r="KJ523" s="2"/>
      <c r="KK523" s="2"/>
      <c r="KL523" s="2"/>
      <c r="KM523" s="2"/>
      <c r="KN523" s="2"/>
      <c r="KO523" s="2"/>
      <c r="KP523" s="2"/>
      <c r="KQ523" s="2"/>
      <c r="KR523" s="2"/>
      <c r="KS523" s="2"/>
      <c r="KT523" s="2"/>
      <c r="KU523" s="2"/>
      <c r="KV523" s="2"/>
      <c r="KW523" s="2"/>
      <c r="KX523" s="2"/>
      <c r="KY523" s="2"/>
      <c r="KZ523" s="2"/>
      <c r="LA523" s="2"/>
      <c r="LB523" s="2"/>
      <c r="LC523" s="2"/>
      <c r="LD523" s="2"/>
      <c r="LE523" s="2"/>
      <c r="LF523" s="2"/>
      <c r="LG523" s="2"/>
      <c r="LH523" s="2"/>
      <c r="LI523" s="2"/>
      <c r="LJ523" s="2"/>
      <c r="LK523" s="2"/>
      <c r="LL523" s="2"/>
      <c r="LM523" s="2"/>
      <c r="LN523" s="2"/>
    </row>
    <row r="524" spans="1:333">
      <c r="A524" s="1">
        <v>1887</v>
      </c>
      <c r="AF524" s="1">
        <f t="shared" si="123"/>
        <v>1224665.505204133</v>
      </c>
      <c r="BI524" s="4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HW524" s="4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  <c r="JY524" s="2"/>
      <c r="JZ524" s="2"/>
      <c r="KA524" s="2"/>
      <c r="KB524" s="2"/>
      <c r="KC524" s="2"/>
      <c r="KD524" s="2"/>
      <c r="KE524" s="2"/>
      <c r="KF524" s="2"/>
      <c r="KG524" s="2"/>
      <c r="KH524" s="2"/>
      <c r="KI524" s="2"/>
      <c r="KJ524" s="2"/>
      <c r="KK524" s="2"/>
      <c r="KL524" s="2"/>
      <c r="KM524" s="2"/>
      <c r="KN524" s="2"/>
      <c r="KO524" s="2"/>
      <c r="KP524" s="2"/>
      <c r="KQ524" s="2"/>
      <c r="KR524" s="2"/>
      <c r="KS524" s="2"/>
      <c r="KT524" s="2"/>
      <c r="KU524" s="2"/>
      <c r="KV524" s="2"/>
      <c r="KW524" s="2"/>
      <c r="KX524" s="2"/>
      <c r="KY524" s="2"/>
      <c r="KZ524" s="2"/>
      <c r="LA524" s="2"/>
      <c r="LB524" s="2"/>
      <c r="LC524" s="2"/>
      <c r="LD524" s="2"/>
      <c r="LE524" s="2"/>
      <c r="LF524" s="2"/>
      <c r="LG524" s="2"/>
      <c r="LH524" s="2"/>
      <c r="LI524" s="2"/>
      <c r="LJ524" s="2"/>
      <c r="LK524" s="2"/>
      <c r="LL524" s="2"/>
      <c r="LM524" s="2"/>
      <c r="LN524" s="2"/>
    </row>
    <row r="525" spans="1:333">
      <c r="A525" s="1">
        <v>1888</v>
      </c>
      <c r="AF525" s="1">
        <f t="shared" si="123"/>
        <v>1227114.8362145412</v>
      </c>
      <c r="BI525" s="4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HW525" s="4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  <c r="JY525" s="2"/>
      <c r="JZ525" s="2"/>
      <c r="KA525" s="2"/>
      <c r="KB525" s="2"/>
      <c r="KC525" s="2"/>
      <c r="KD525" s="2"/>
      <c r="KE525" s="2"/>
      <c r="KF525" s="2"/>
      <c r="KG525" s="2"/>
      <c r="KH525" s="2"/>
      <c r="KI525" s="2"/>
      <c r="KJ525" s="2"/>
      <c r="KK525" s="2"/>
      <c r="KL525" s="2"/>
      <c r="KM525" s="2"/>
      <c r="KN525" s="2"/>
      <c r="KO525" s="2"/>
      <c r="KP525" s="2"/>
      <c r="KQ525" s="2"/>
      <c r="KR525" s="2"/>
      <c r="KS525" s="2"/>
      <c r="KT525" s="2"/>
      <c r="KU525" s="2"/>
      <c r="KV525" s="2"/>
      <c r="KW525" s="2"/>
      <c r="KX525" s="2"/>
      <c r="KY525" s="2"/>
      <c r="KZ525" s="2"/>
      <c r="LA525" s="2"/>
      <c r="LB525" s="2"/>
      <c r="LC525" s="2"/>
      <c r="LD525" s="2"/>
      <c r="LE525" s="2"/>
      <c r="LF525" s="2"/>
      <c r="LG525" s="2"/>
      <c r="LH525" s="2"/>
      <c r="LI525" s="2"/>
      <c r="LJ525" s="2"/>
      <c r="LK525" s="2"/>
      <c r="LL525" s="2"/>
      <c r="LM525" s="2"/>
      <c r="LN525" s="2"/>
    </row>
    <row r="526" spans="1:333">
      <c r="A526" s="1">
        <v>1889</v>
      </c>
      <c r="AF526" s="1">
        <f t="shared" si="123"/>
        <v>1229569.0658869704</v>
      </c>
      <c r="BI526" s="4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HW526" s="4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  <c r="JY526" s="2"/>
      <c r="JZ526" s="2"/>
      <c r="KA526" s="2"/>
      <c r="KB526" s="2"/>
      <c r="KC526" s="2"/>
      <c r="KD526" s="2"/>
      <c r="KE526" s="2"/>
      <c r="KF526" s="2"/>
      <c r="KG526" s="2"/>
      <c r="KH526" s="2"/>
      <c r="KI526" s="2"/>
      <c r="KJ526" s="2"/>
      <c r="KK526" s="2"/>
      <c r="KL526" s="2"/>
      <c r="KM526" s="2"/>
      <c r="KN526" s="2"/>
      <c r="KO526" s="2"/>
      <c r="KP526" s="2"/>
      <c r="KQ526" s="2"/>
      <c r="KR526" s="2"/>
      <c r="KS526" s="2"/>
      <c r="KT526" s="2"/>
      <c r="KU526" s="2"/>
      <c r="KV526" s="2"/>
      <c r="KW526" s="2"/>
      <c r="KX526" s="2"/>
      <c r="KY526" s="2"/>
      <c r="KZ526" s="2"/>
      <c r="LA526" s="2"/>
      <c r="LB526" s="2"/>
      <c r="LC526" s="2"/>
      <c r="LD526" s="2"/>
      <c r="LE526" s="2"/>
      <c r="LF526" s="2"/>
      <c r="LG526" s="2"/>
      <c r="LH526" s="2"/>
      <c r="LI526" s="2"/>
      <c r="LJ526" s="2"/>
      <c r="LK526" s="2"/>
      <c r="LL526" s="2"/>
      <c r="LM526" s="2"/>
      <c r="LN526" s="2"/>
    </row>
    <row r="527" spans="1:333">
      <c r="A527" s="1">
        <v>1890</v>
      </c>
      <c r="AF527" s="1">
        <f t="shared" si="123"/>
        <v>1232028.2040187444</v>
      </c>
      <c r="BI527" s="4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HW527" s="4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  <c r="JY527" s="2"/>
      <c r="JZ527" s="2"/>
      <c r="KA527" s="2"/>
      <c r="KB527" s="2"/>
      <c r="KC527" s="2"/>
      <c r="KD527" s="2"/>
      <c r="KE527" s="2"/>
      <c r="KF527" s="2"/>
      <c r="KG527" s="2"/>
      <c r="KH527" s="2"/>
      <c r="KI527" s="2"/>
      <c r="KJ527" s="2"/>
      <c r="KK527" s="2"/>
      <c r="KL527" s="2"/>
      <c r="KM527" s="2"/>
      <c r="KN527" s="2"/>
      <c r="KO527" s="2"/>
      <c r="KP527" s="2"/>
      <c r="KQ527" s="2"/>
      <c r="KR527" s="2"/>
      <c r="KS527" s="2"/>
      <c r="KT527" s="2"/>
      <c r="KU527" s="2"/>
      <c r="KV527" s="2"/>
      <c r="KW527" s="2"/>
      <c r="KX527" s="2"/>
      <c r="KY527" s="2"/>
      <c r="KZ527" s="2"/>
      <c r="LA527" s="2"/>
      <c r="LB527" s="2"/>
      <c r="LC527" s="2"/>
      <c r="LD527" s="2"/>
      <c r="LE527" s="2"/>
      <c r="LF527" s="2"/>
      <c r="LG527" s="2"/>
      <c r="LH527" s="2"/>
      <c r="LI527" s="2"/>
      <c r="LJ527" s="2"/>
      <c r="LK527" s="2"/>
      <c r="LL527" s="2"/>
      <c r="LM527" s="2"/>
      <c r="LN527" s="2"/>
    </row>
    <row r="528" spans="1:333">
      <c r="A528" s="1">
        <v>1891</v>
      </c>
      <c r="AF528" s="1">
        <f t="shared" si="123"/>
        <v>1234492.2604267818</v>
      </c>
      <c r="BI528" s="4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HW528" s="4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  <c r="JY528" s="2"/>
      <c r="JZ528" s="2"/>
      <c r="KA528" s="2"/>
      <c r="KB528" s="2"/>
      <c r="KC528" s="2"/>
      <c r="KD528" s="2"/>
      <c r="KE528" s="2"/>
      <c r="KF528" s="2"/>
      <c r="KG528" s="2"/>
      <c r="KH528" s="2"/>
      <c r="KI528" s="2"/>
      <c r="KJ528" s="2"/>
      <c r="KK528" s="2"/>
      <c r="KL528" s="2"/>
      <c r="KM528" s="2"/>
      <c r="KN528" s="2"/>
      <c r="KO528" s="2"/>
      <c r="KP528" s="2"/>
      <c r="KQ528" s="2"/>
      <c r="KR528" s="2"/>
      <c r="KS528" s="2"/>
      <c r="KT528" s="2"/>
      <c r="KU528" s="2"/>
      <c r="KV528" s="2"/>
      <c r="KW528" s="2"/>
      <c r="KX528" s="2"/>
      <c r="KY528" s="2"/>
      <c r="KZ528" s="2"/>
      <c r="LA528" s="2"/>
      <c r="LB528" s="2"/>
      <c r="LC528" s="2"/>
      <c r="LD528" s="2"/>
      <c r="LE528" s="2"/>
      <c r="LF528" s="2"/>
      <c r="LG528" s="2"/>
      <c r="LH528" s="2"/>
      <c r="LI528" s="2"/>
      <c r="LJ528" s="2"/>
      <c r="LK528" s="2"/>
      <c r="LL528" s="2"/>
      <c r="LM528" s="2"/>
      <c r="LN528" s="2"/>
    </row>
    <row r="529" spans="1:326">
      <c r="A529" s="1">
        <v>1892</v>
      </c>
      <c r="AF529" s="1">
        <f t="shared" si="123"/>
        <v>1236961.2449476353</v>
      </c>
      <c r="BI529" s="4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HW529" s="4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  <c r="JY529" s="2"/>
      <c r="JZ529" s="2"/>
      <c r="KA529" s="2"/>
      <c r="KB529" s="2"/>
      <c r="KC529" s="2"/>
      <c r="KD529" s="2"/>
      <c r="KE529" s="2"/>
      <c r="KF529" s="2"/>
      <c r="KG529" s="2"/>
      <c r="KH529" s="2"/>
      <c r="KI529" s="2"/>
      <c r="KJ529" s="2"/>
      <c r="KK529" s="2"/>
      <c r="KL529" s="2"/>
      <c r="KM529" s="2"/>
      <c r="KN529" s="2"/>
      <c r="KO529" s="2"/>
      <c r="KP529" s="2"/>
      <c r="KQ529" s="2"/>
      <c r="KR529" s="2"/>
      <c r="KS529" s="2"/>
      <c r="KT529" s="2"/>
      <c r="KU529" s="2"/>
      <c r="KV529" s="2"/>
      <c r="KW529" s="2"/>
      <c r="KX529" s="2"/>
      <c r="KY529" s="2"/>
      <c r="KZ529" s="2"/>
      <c r="LA529" s="2"/>
      <c r="LB529" s="2"/>
      <c r="LC529" s="2"/>
      <c r="LD529" s="2"/>
      <c r="LE529" s="2"/>
      <c r="LF529" s="2"/>
      <c r="LG529" s="2"/>
      <c r="LH529" s="2"/>
      <c r="LI529" s="2"/>
      <c r="LJ529" s="2"/>
      <c r="LK529" s="2"/>
      <c r="LL529" s="2"/>
      <c r="LM529" s="2"/>
      <c r="LN529" s="2"/>
    </row>
    <row r="530" spans="1:326">
      <c r="A530" s="1">
        <v>1893</v>
      </c>
      <c r="AF530" s="1">
        <f t="shared" si="123"/>
        <v>1239435.1674375306</v>
      </c>
      <c r="BI530" s="4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HW530" s="4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  <c r="JY530" s="2"/>
      <c r="JZ530" s="2"/>
      <c r="KA530" s="2"/>
      <c r="KB530" s="2"/>
      <c r="KC530" s="2"/>
      <c r="KD530" s="2"/>
      <c r="KE530" s="2"/>
      <c r="KF530" s="2"/>
      <c r="KG530" s="2"/>
      <c r="KH530" s="2"/>
      <c r="KI530" s="2"/>
      <c r="KJ530" s="2"/>
      <c r="KK530" s="2"/>
      <c r="KL530" s="2"/>
      <c r="KM530" s="2"/>
      <c r="KN530" s="2"/>
      <c r="KO530" s="2"/>
      <c r="KP530" s="2"/>
      <c r="KQ530" s="2"/>
      <c r="KR530" s="2"/>
      <c r="KS530" s="2"/>
      <c r="KT530" s="2"/>
      <c r="KU530" s="2"/>
      <c r="KV530" s="2"/>
      <c r="KW530" s="2"/>
      <c r="KX530" s="2"/>
      <c r="KY530" s="2"/>
      <c r="KZ530" s="2"/>
      <c r="LA530" s="2"/>
      <c r="LB530" s="2"/>
      <c r="LC530" s="2"/>
      <c r="LD530" s="2"/>
      <c r="LE530" s="2"/>
      <c r="LF530" s="2"/>
      <c r="LG530" s="2"/>
      <c r="LH530" s="2"/>
      <c r="LI530" s="2"/>
      <c r="LJ530" s="2"/>
      <c r="LK530" s="2"/>
      <c r="LL530" s="2"/>
      <c r="LM530" s="2"/>
      <c r="LN530" s="2"/>
    </row>
    <row r="531" spans="1:326">
      <c r="A531" s="1">
        <v>1894</v>
      </c>
      <c r="AF531" s="1">
        <f t="shared" si="123"/>
        <v>1241914.0377724057</v>
      </c>
      <c r="BI531" s="4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HW531" s="4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  <c r="JY531" s="2"/>
      <c r="JZ531" s="2"/>
      <c r="KA531" s="2"/>
      <c r="KB531" s="2"/>
      <c r="KC531" s="2"/>
      <c r="KD531" s="2"/>
      <c r="KE531" s="2"/>
      <c r="KF531" s="2"/>
      <c r="KG531" s="2"/>
      <c r="KH531" s="2"/>
      <c r="KI531" s="2"/>
      <c r="KJ531" s="2"/>
      <c r="KK531" s="2"/>
      <c r="KL531" s="2"/>
      <c r="KM531" s="2"/>
      <c r="KN531" s="2"/>
      <c r="KO531" s="2"/>
      <c r="KP531" s="2"/>
      <c r="KQ531" s="2"/>
      <c r="KR531" s="2"/>
      <c r="KS531" s="2"/>
      <c r="KT531" s="2"/>
      <c r="KU531" s="2"/>
      <c r="KV531" s="2"/>
      <c r="KW531" s="2"/>
      <c r="KX531" s="2"/>
      <c r="KY531" s="2"/>
      <c r="KZ531" s="2"/>
      <c r="LA531" s="2"/>
      <c r="LB531" s="2"/>
      <c r="LC531" s="2"/>
      <c r="LD531" s="2"/>
      <c r="LE531" s="2"/>
      <c r="LF531" s="2"/>
      <c r="LG531" s="2"/>
      <c r="LH531" s="2"/>
      <c r="LI531" s="2"/>
      <c r="LJ531" s="2"/>
      <c r="LK531" s="2"/>
      <c r="LL531" s="2"/>
      <c r="LM531" s="2"/>
      <c r="LN531" s="2"/>
    </row>
    <row r="532" spans="1:326">
      <c r="A532" s="1">
        <v>1895</v>
      </c>
      <c r="AF532" s="1">
        <f t="shared" si="123"/>
        <v>1244397.8658479506</v>
      </c>
      <c r="BI532" s="4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HW532" s="4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  <c r="JY532" s="2"/>
      <c r="JZ532" s="2"/>
      <c r="KA532" s="2"/>
      <c r="KB532" s="2"/>
      <c r="KC532" s="2"/>
      <c r="KD532" s="2"/>
      <c r="KE532" s="2"/>
      <c r="KF532" s="2"/>
      <c r="KG532" s="2"/>
      <c r="KH532" s="2"/>
      <c r="KI532" s="2"/>
      <c r="KJ532" s="2"/>
      <c r="KK532" s="2"/>
      <c r="KL532" s="2"/>
      <c r="KM532" s="2"/>
      <c r="KN532" s="2"/>
      <c r="KO532" s="2"/>
      <c r="KP532" s="2"/>
      <c r="KQ532" s="2"/>
      <c r="KR532" s="2"/>
      <c r="KS532" s="2"/>
      <c r="KT532" s="2"/>
      <c r="KU532" s="2"/>
      <c r="KV532" s="2"/>
      <c r="KW532" s="2"/>
      <c r="KX532" s="2"/>
      <c r="KY532" s="2"/>
      <c r="KZ532" s="2"/>
      <c r="LA532" s="2"/>
      <c r="LB532" s="2"/>
      <c r="LC532" s="2"/>
      <c r="LD532" s="2"/>
      <c r="LE532" s="2"/>
      <c r="LF532" s="2"/>
      <c r="LG532" s="2"/>
      <c r="LH532" s="2"/>
      <c r="LI532" s="2"/>
      <c r="LJ532" s="2"/>
      <c r="LK532" s="2"/>
      <c r="LL532" s="2"/>
      <c r="LM532" s="2"/>
      <c r="LN532" s="2"/>
    </row>
    <row r="533" spans="1:326">
      <c r="A533" s="1">
        <v>1896</v>
      </c>
      <c r="AF533" s="1">
        <f t="shared" si="123"/>
        <v>1246886.6615796464</v>
      </c>
      <c r="BI533" s="4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HW533" s="4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  <c r="JY533" s="2"/>
      <c r="JZ533" s="2"/>
      <c r="KA533" s="2"/>
      <c r="KB533" s="2"/>
      <c r="KC533" s="2"/>
      <c r="KD533" s="2"/>
      <c r="KE533" s="2"/>
      <c r="KF533" s="2"/>
      <c r="KG533" s="2"/>
      <c r="KH533" s="2"/>
      <c r="KI533" s="2"/>
      <c r="KJ533" s="2"/>
      <c r="KK533" s="2"/>
      <c r="KL533" s="2"/>
      <c r="KM533" s="2"/>
      <c r="KN533" s="2"/>
      <c r="KO533" s="2"/>
      <c r="KP533" s="2"/>
      <c r="KQ533" s="2"/>
      <c r="KR533" s="2"/>
      <c r="KS533" s="2"/>
      <c r="KT533" s="2"/>
      <c r="KU533" s="2"/>
      <c r="KV533" s="2"/>
      <c r="KW533" s="2"/>
      <c r="KX533" s="2"/>
      <c r="KY533" s="2"/>
      <c r="KZ533" s="2"/>
      <c r="LA533" s="2"/>
      <c r="LB533" s="2"/>
      <c r="LC533" s="2"/>
      <c r="LD533" s="2"/>
      <c r="LE533" s="2"/>
      <c r="LF533" s="2"/>
      <c r="LG533" s="2"/>
      <c r="LH533" s="2"/>
      <c r="LI533" s="2"/>
      <c r="LJ533" s="2"/>
      <c r="LK533" s="2"/>
      <c r="LL533" s="2"/>
      <c r="LM533" s="2"/>
      <c r="LN533" s="2"/>
    </row>
    <row r="534" spans="1:326">
      <c r="A534" s="1">
        <v>1897</v>
      </c>
      <c r="AF534" s="1">
        <f t="shared" si="123"/>
        <v>1249380.4349028056</v>
      </c>
      <c r="BI534" s="4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HW534" s="4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  <c r="JY534" s="2"/>
      <c r="JZ534" s="2"/>
      <c r="KA534" s="2"/>
      <c r="KB534" s="2"/>
      <c r="KC534" s="2"/>
      <c r="KD534" s="2"/>
      <c r="KE534" s="2"/>
      <c r="KF534" s="2"/>
      <c r="KG534" s="2"/>
      <c r="KH534" s="2"/>
      <c r="KI534" s="2"/>
      <c r="KJ534" s="2"/>
      <c r="KK534" s="2"/>
      <c r="KL534" s="2"/>
      <c r="KM534" s="2"/>
      <c r="KN534" s="2"/>
      <c r="KO534" s="2"/>
      <c r="KP534" s="2"/>
      <c r="KQ534" s="2"/>
      <c r="KR534" s="2"/>
      <c r="KS534" s="2"/>
      <c r="KT534" s="2"/>
      <c r="KU534" s="2"/>
      <c r="KV534" s="2"/>
      <c r="KW534" s="2"/>
      <c r="KX534" s="2"/>
      <c r="KY534" s="2"/>
      <c r="KZ534" s="2"/>
      <c r="LA534" s="2"/>
      <c r="LB534" s="2"/>
      <c r="LC534" s="2"/>
      <c r="LD534" s="2"/>
      <c r="LE534" s="2"/>
      <c r="LF534" s="2"/>
      <c r="LG534" s="2"/>
      <c r="LH534" s="2"/>
      <c r="LI534" s="2"/>
      <c r="LJ534" s="2"/>
      <c r="LK534" s="2"/>
      <c r="LL534" s="2"/>
      <c r="LM534" s="2"/>
      <c r="LN534" s="2"/>
    </row>
    <row r="535" spans="1:326">
      <c r="A535" s="1">
        <v>1898</v>
      </c>
      <c r="AF535" s="1">
        <f t="shared" si="123"/>
        <v>1251879.1957726113</v>
      </c>
      <c r="BI535" s="4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HW535" s="4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  <c r="JY535" s="2"/>
      <c r="JZ535" s="2"/>
      <c r="KA535" s="2"/>
      <c r="KB535" s="2"/>
      <c r="KC535" s="2"/>
      <c r="KD535" s="2"/>
      <c r="KE535" s="2"/>
      <c r="KF535" s="2"/>
      <c r="KG535" s="2"/>
      <c r="KH535" s="2"/>
      <c r="KI535" s="2"/>
      <c r="KJ535" s="2"/>
      <c r="KK535" s="2"/>
      <c r="KL535" s="2"/>
      <c r="KM535" s="2"/>
      <c r="KN535" s="2"/>
      <c r="KO535" s="2"/>
      <c r="KP535" s="2"/>
      <c r="KQ535" s="2"/>
      <c r="KR535" s="2"/>
      <c r="KS535" s="2"/>
      <c r="KT535" s="2"/>
      <c r="KU535" s="2"/>
      <c r="KV535" s="2"/>
      <c r="KW535" s="2"/>
      <c r="KX535" s="2"/>
      <c r="KY535" s="2"/>
      <c r="KZ535" s="2"/>
      <c r="LA535" s="2"/>
      <c r="LB535" s="2"/>
      <c r="LC535" s="2"/>
      <c r="LD535" s="2"/>
      <c r="LE535" s="2"/>
      <c r="LF535" s="2"/>
      <c r="LG535" s="2"/>
      <c r="LH535" s="2"/>
      <c r="LI535" s="2"/>
      <c r="LJ535" s="2"/>
      <c r="LK535" s="2"/>
      <c r="LL535" s="2"/>
      <c r="LM535" s="2"/>
      <c r="LN535" s="2"/>
    </row>
    <row r="536" spans="1:326">
      <c r="A536" s="1">
        <v>1899</v>
      </c>
      <c r="AF536" s="1">
        <f t="shared" si="123"/>
        <v>1254382.9541641565</v>
      </c>
      <c r="BI536" s="4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HW536" s="4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  <c r="JY536" s="2"/>
      <c r="JZ536" s="2"/>
      <c r="KA536" s="2"/>
      <c r="KB536" s="2"/>
      <c r="KC536" s="2"/>
      <c r="KD536" s="2"/>
      <c r="KE536" s="2"/>
      <c r="KF536" s="2"/>
      <c r="KG536" s="2"/>
      <c r="KH536" s="2"/>
      <c r="KI536" s="2"/>
      <c r="KJ536" s="2"/>
      <c r="KK536" s="2"/>
      <c r="KL536" s="2"/>
      <c r="KM536" s="2"/>
      <c r="KN536" s="2"/>
      <c r="KO536" s="2"/>
      <c r="KP536" s="2"/>
      <c r="KQ536" s="2"/>
      <c r="KR536" s="2"/>
      <c r="KS536" s="2"/>
      <c r="KT536" s="2"/>
      <c r="KU536" s="2"/>
      <c r="KV536" s="2"/>
      <c r="KW536" s="2"/>
      <c r="KX536" s="2"/>
      <c r="KY536" s="2"/>
      <c r="KZ536" s="2"/>
      <c r="LA536" s="2"/>
      <c r="LB536" s="2"/>
      <c r="LC536" s="2"/>
      <c r="LD536" s="2"/>
      <c r="LE536" s="2"/>
      <c r="LF536" s="2"/>
      <c r="LG536" s="2"/>
      <c r="LH536" s="2"/>
      <c r="LI536" s="2"/>
      <c r="LJ536" s="2"/>
      <c r="LK536" s="2"/>
      <c r="LL536" s="2"/>
      <c r="LM536" s="2"/>
      <c r="LN536" s="2"/>
    </row>
    <row r="537" spans="1:326">
      <c r="A537" s="1">
        <v>1900</v>
      </c>
      <c r="AF537" s="1">
        <f t="shared" si="123"/>
        <v>1256891.7200724848</v>
      </c>
      <c r="BI537" s="4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HW537" s="4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  <c r="JY537" s="2"/>
      <c r="JZ537" s="2"/>
      <c r="KA537" s="2"/>
      <c r="KB537" s="2"/>
      <c r="KC537" s="2"/>
      <c r="KD537" s="2"/>
      <c r="KE537" s="2"/>
      <c r="KF537" s="2"/>
      <c r="KG537" s="2"/>
      <c r="KH537" s="2"/>
      <c r="KI537" s="2"/>
      <c r="KJ537" s="2"/>
      <c r="KK537" s="2"/>
      <c r="KL537" s="2"/>
      <c r="KM537" s="2"/>
      <c r="KN537" s="2"/>
      <c r="KO537" s="2"/>
      <c r="KP537" s="2"/>
      <c r="KQ537" s="2"/>
      <c r="KR537" s="2"/>
      <c r="KS537" s="2"/>
      <c r="KT537" s="2"/>
      <c r="KU537" s="2"/>
      <c r="KV537" s="2"/>
      <c r="KW537" s="2"/>
      <c r="KX537" s="2"/>
      <c r="KY537" s="2"/>
      <c r="KZ537" s="2"/>
      <c r="LA537" s="2"/>
      <c r="LB537" s="2"/>
      <c r="LC537" s="2"/>
      <c r="LD537" s="2"/>
      <c r="LE537" s="2"/>
      <c r="LF537" s="2"/>
      <c r="LG537" s="2"/>
      <c r="LH537" s="2"/>
      <c r="LI537" s="2"/>
      <c r="LJ537" s="2"/>
      <c r="LK537" s="2"/>
      <c r="LL537" s="2"/>
      <c r="LM537" s="2"/>
      <c r="LN537" s="2"/>
    </row>
    <row r="538" spans="1:326">
      <c r="A538" s="1">
        <v>1901</v>
      </c>
      <c r="AF538" s="1">
        <f t="shared" si="123"/>
        <v>1259405.5035126298</v>
      </c>
      <c r="BI538" s="4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HW538" s="4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  <c r="JY538" s="2"/>
      <c r="JZ538" s="2"/>
      <c r="KA538" s="2"/>
      <c r="KB538" s="2"/>
      <c r="KC538" s="2"/>
      <c r="KD538" s="2"/>
      <c r="KE538" s="2"/>
      <c r="KF538" s="2"/>
      <c r="KG538" s="2"/>
      <c r="KH538" s="2"/>
      <c r="KI538" s="2"/>
      <c r="KJ538" s="2"/>
      <c r="KK538" s="2"/>
      <c r="KL538" s="2"/>
      <c r="KM538" s="2"/>
      <c r="KN538" s="2"/>
      <c r="KO538" s="2"/>
      <c r="KP538" s="2"/>
      <c r="KQ538" s="2"/>
      <c r="KR538" s="2"/>
      <c r="KS538" s="2"/>
      <c r="KT538" s="2"/>
      <c r="KU538" s="2"/>
      <c r="KV538" s="2"/>
      <c r="KW538" s="2"/>
      <c r="KX538" s="2"/>
      <c r="KY538" s="2"/>
      <c r="KZ538" s="2"/>
      <c r="LA538" s="2"/>
      <c r="LB538" s="2"/>
      <c r="LC538" s="2"/>
      <c r="LD538" s="2"/>
      <c r="LE538" s="2"/>
      <c r="LF538" s="2"/>
      <c r="LG538" s="2"/>
      <c r="LH538" s="2"/>
      <c r="LI538" s="2"/>
      <c r="LJ538" s="2"/>
      <c r="LK538" s="2"/>
      <c r="LL538" s="2"/>
      <c r="LM538" s="2"/>
      <c r="LN538" s="2"/>
    </row>
    <row r="539" spans="1:326">
      <c r="A539" s="1">
        <v>1902</v>
      </c>
      <c r="AF539" s="1">
        <f t="shared" si="123"/>
        <v>1261924.314519655</v>
      </c>
      <c r="BI539" s="4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HW539" s="4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  <c r="JY539" s="2"/>
      <c r="JZ539" s="2"/>
      <c r="KA539" s="2"/>
      <c r="KB539" s="2"/>
      <c r="KC539" s="2"/>
      <c r="KD539" s="2"/>
      <c r="KE539" s="2"/>
      <c r="KF539" s="2"/>
      <c r="KG539" s="2"/>
      <c r="KH539" s="2"/>
      <c r="KI539" s="2"/>
      <c r="KJ539" s="2"/>
      <c r="KK539" s="2"/>
      <c r="KL539" s="2"/>
      <c r="KM539" s="2"/>
      <c r="KN539" s="2"/>
      <c r="KO539" s="2"/>
      <c r="KP539" s="2"/>
      <c r="KQ539" s="2"/>
      <c r="KR539" s="2"/>
      <c r="KS539" s="2"/>
      <c r="KT539" s="2"/>
      <c r="KU539" s="2"/>
      <c r="KV539" s="2"/>
      <c r="KW539" s="2"/>
      <c r="KX539" s="2"/>
      <c r="KY539" s="2"/>
      <c r="KZ539" s="2"/>
      <c r="LA539" s="2"/>
      <c r="LB539" s="2"/>
      <c r="LC539" s="2"/>
      <c r="LD539" s="2"/>
      <c r="LE539" s="2"/>
      <c r="LF539" s="2"/>
      <c r="LG539" s="2"/>
      <c r="LH539" s="2"/>
      <c r="LI539" s="2"/>
      <c r="LJ539" s="2"/>
      <c r="LK539" s="2"/>
      <c r="LL539" s="2"/>
      <c r="LM539" s="2"/>
      <c r="LN539" s="2"/>
    </row>
    <row r="540" spans="1:326">
      <c r="A540" s="1">
        <v>1903</v>
      </c>
      <c r="AF540" s="1">
        <f t="shared" si="123"/>
        <v>1264448.1631486942</v>
      </c>
      <c r="BI540" s="4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HW540" s="4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  <c r="JY540" s="2"/>
      <c r="JZ540" s="2"/>
      <c r="KA540" s="2"/>
      <c r="KB540" s="2"/>
      <c r="KC540" s="2"/>
      <c r="KD540" s="2"/>
      <c r="KE540" s="2"/>
      <c r="KF540" s="2"/>
      <c r="KG540" s="2"/>
      <c r="KH540" s="2"/>
      <c r="KI540" s="2"/>
      <c r="KJ540" s="2"/>
      <c r="KK540" s="2"/>
      <c r="KL540" s="2"/>
      <c r="KM540" s="2"/>
      <c r="KN540" s="2"/>
      <c r="KO540" s="2"/>
      <c r="KP540" s="2"/>
      <c r="KQ540" s="2"/>
      <c r="KR540" s="2"/>
      <c r="KS540" s="2"/>
      <c r="KT540" s="2"/>
      <c r="KU540" s="2"/>
      <c r="KV540" s="2"/>
      <c r="KW540" s="2"/>
      <c r="KX540" s="2"/>
      <c r="KY540" s="2"/>
      <c r="KZ540" s="2"/>
      <c r="LA540" s="2"/>
      <c r="LB540" s="2"/>
      <c r="LC540" s="2"/>
      <c r="LD540" s="2"/>
      <c r="LE540" s="2"/>
      <c r="LF540" s="2"/>
      <c r="LG540" s="2"/>
      <c r="LH540" s="2"/>
      <c r="LI540" s="2"/>
      <c r="LJ540" s="2"/>
      <c r="LK540" s="2"/>
      <c r="LL540" s="2"/>
      <c r="LM540" s="2"/>
      <c r="LN540" s="2"/>
    </row>
    <row r="541" spans="1:326">
      <c r="A541" s="1">
        <v>1904</v>
      </c>
      <c r="AF541" s="1">
        <f t="shared" si="123"/>
        <v>1266977.0594749916</v>
      </c>
      <c r="BI541" s="4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HW541" s="4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  <c r="JY541" s="2"/>
      <c r="JZ541" s="2"/>
      <c r="KA541" s="2"/>
      <c r="KB541" s="2"/>
      <c r="KC541" s="2"/>
      <c r="KD541" s="2"/>
      <c r="KE541" s="2"/>
      <c r="KF541" s="2"/>
      <c r="KG541" s="2"/>
      <c r="KH541" s="2"/>
      <c r="KI541" s="2"/>
      <c r="KJ541" s="2"/>
      <c r="KK541" s="2"/>
      <c r="KL541" s="2"/>
      <c r="KM541" s="2"/>
      <c r="KN541" s="2"/>
      <c r="KO541" s="2"/>
      <c r="KP541" s="2"/>
      <c r="KQ541" s="2"/>
      <c r="KR541" s="2"/>
      <c r="KS541" s="2"/>
      <c r="KT541" s="2"/>
      <c r="KU541" s="2"/>
      <c r="KV541" s="2"/>
      <c r="KW541" s="2"/>
      <c r="KX541" s="2"/>
      <c r="KY541" s="2"/>
      <c r="KZ541" s="2"/>
      <c r="LA541" s="2"/>
      <c r="LB541" s="2"/>
      <c r="LC541" s="2"/>
      <c r="LD541" s="2"/>
      <c r="LE541" s="2"/>
      <c r="LF541" s="2"/>
      <c r="LG541" s="2"/>
      <c r="LH541" s="2"/>
      <c r="LI541" s="2"/>
      <c r="LJ541" s="2"/>
      <c r="LK541" s="2"/>
      <c r="LL541" s="2"/>
      <c r="LM541" s="2"/>
      <c r="LN541" s="2"/>
    </row>
    <row r="542" spans="1:326">
      <c r="A542" s="1">
        <v>1905</v>
      </c>
      <c r="AF542" s="1">
        <f t="shared" si="123"/>
        <v>1269511.0135939417</v>
      </c>
      <c r="BI542" s="4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HW542" s="4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  <c r="JY542" s="2"/>
      <c r="JZ542" s="2"/>
      <c r="KA542" s="2"/>
      <c r="KB542" s="2"/>
      <c r="KC542" s="2"/>
      <c r="KD542" s="2"/>
      <c r="KE542" s="2"/>
      <c r="KF542" s="2"/>
      <c r="KG542" s="2"/>
      <c r="KH542" s="2"/>
      <c r="KI542" s="2"/>
      <c r="KJ542" s="2"/>
      <c r="KK542" s="2"/>
      <c r="KL542" s="2"/>
      <c r="KM542" s="2"/>
      <c r="KN542" s="2"/>
      <c r="KO542" s="2"/>
      <c r="KP542" s="2"/>
      <c r="KQ542" s="2"/>
      <c r="KR542" s="2"/>
      <c r="KS542" s="2"/>
      <c r="KT542" s="2"/>
      <c r="KU542" s="2"/>
      <c r="KV542" s="2"/>
      <c r="KW542" s="2"/>
      <c r="KX542" s="2"/>
      <c r="KY542" s="2"/>
      <c r="KZ542" s="2"/>
      <c r="LA542" s="2"/>
      <c r="LB542" s="2"/>
      <c r="LC542" s="2"/>
      <c r="LD542" s="2"/>
      <c r="LE542" s="2"/>
      <c r="LF542" s="2"/>
      <c r="LG542" s="2"/>
      <c r="LH542" s="2"/>
      <c r="LI542" s="2"/>
      <c r="LJ542" s="2"/>
      <c r="LK542" s="2"/>
      <c r="LL542" s="2"/>
      <c r="LM542" s="2"/>
      <c r="LN542" s="2"/>
    </row>
    <row r="543" spans="1:326">
      <c r="A543" s="1">
        <v>1906</v>
      </c>
      <c r="AF543" s="1">
        <f t="shared" si="123"/>
        <v>1272050.0356211297</v>
      </c>
      <c r="BI543" s="4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HW543" s="4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  <c r="JY543" s="2"/>
      <c r="JZ543" s="2"/>
      <c r="KA543" s="2"/>
      <c r="KB543" s="2"/>
      <c r="KC543" s="2"/>
      <c r="KD543" s="2"/>
      <c r="KE543" s="2"/>
      <c r="KF543" s="2"/>
      <c r="KG543" s="2"/>
      <c r="KH543" s="2"/>
      <c r="KI543" s="2"/>
      <c r="KJ543" s="2"/>
      <c r="KK543" s="2"/>
      <c r="KL543" s="2"/>
      <c r="KM543" s="2"/>
      <c r="KN543" s="2"/>
      <c r="KO543" s="2"/>
      <c r="KP543" s="2"/>
      <c r="KQ543" s="2"/>
      <c r="KR543" s="2"/>
      <c r="KS543" s="2"/>
      <c r="KT543" s="2"/>
      <c r="KU543" s="2"/>
      <c r="KV543" s="2"/>
      <c r="KW543" s="2"/>
      <c r="KX543" s="2"/>
      <c r="KY543" s="2"/>
      <c r="KZ543" s="2"/>
      <c r="LA543" s="2"/>
      <c r="LB543" s="2"/>
      <c r="LC543" s="2"/>
      <c r="LD543" s="2"/>
      <c r="LE543" s="2"/>
      <c r="LF543" s="2"/>
      <c r="LG543" s="2"/>
      <c r="LH543" s="2"/>
      <c r="LI543" s="2"/>
      <c r="LJ543" s="2"/>
      <c r="LK543" s="2"/>
      <c r="LL543" s="2"/>
      <c r="LM543" s="2"/>
      <c r="LN543" s="2"/>
    </row>
    <row r="544" spans="1:326">
      <c r="A544" s="1">
        <v>1907</v>
      </c>
      <c r="AF544" s="1">
        <f t="shared" si="123"/>
        <v>1274594.135692372</v>
      </c>
      <c r="BI544" s="4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HW544" s="4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  <c r="JY544" s="2"/>
      <c r="JZ544" s="2"/>
      <c r="KA544" s="2"/>
      <c r="KB544" s="2"/>
      <c r="KC544" s="2"/>
      <c r="KD544" s="2"/>
      <c r="KE544" s="2"/>
      <c r="KF544" s="2"/>
      <c r="KG544" s="2"/>
      <c r="KH544" s="2"/>
      <c r="KI544" s="2"/>
      <c r="KJ544" s="2"/>
      <c r="KK544" s="2"/>
      <c r="KL544" s="2"/>
      <c r="KM544" s="2"/>
      <c r="KN544" s="2"/>
      <c r="KO544" s="2"/>
      <c r="KP544" s="2"/>
      <c r="KQ544" s="2"/>
      <c r="KR544" s="2"/>
      <c r="KS544" s="2"/>
      <c r="KT544" s="2"/>
      <c r="KU544" s="2"/>
      <c r="KV544" s="2"/>
      <c r="KW544" s="2"/>
      <c r="KX544" s="2"/>
      <c r="KY544" s="2"/>
      <c r="KZ544" s="2"/>
      <c r="LA544" s="2"/>
      <c r="LB544" s="2"/>
      <c r="LC544" s="2"/>
      <c r="LD544" s="2"/>
      <c r="LE544" s="2"/>
      <c r="LF544" s="2"/>
      <c r="LG544" s="2"/>
      <c r="LH544" s="2"/>
      <c r="LI544" s="2"/>
      <c r="LJ544" s="2"/>
      <c r="LK544" s="2"/>
      <c r="LL544" s="2"/>
      <c r="LM544" s="2"/>
      <c r="LN544" s="2"/>
    </row>
    <row r="545" spans="1:333">
      <c r="A545" s="1">
        <v>1908</v>
      </c>
      <c r="AF545" s="1">
        <f t="shared" si="123"/>
        <v>1277143.3239637567</v>
      </c>
      <c r="BI545" s="4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HW545" s="4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  <c r="JY545" s="2"/>
      <c r="JZ545" s="2"/>
      <c r="KA545" s="2"/>
      <c r="KB545" s="2"/>
      <c r="KC545" s="2"/>
      <c r="KD545" s="2"/>
      <c r="KE545" s="2"/>
      <c r="KF545" s="2"/>
      <c r="KG545" s="2"/>
      <c r="KH545" s="2"/>
      <c r="KI545" s="2"/>
      <c r="KJ545" s="2"/>
      <c r="KK545" s="2"/>
      <c r="KL545" s="2"/>
      <c r="KM545" s="2"/>
      <c r="KN545" s="2"/>
      <c r="KO545" s="2"/>
      <c r="KP545" s="2"/>
      <c r="KQ545" s="2"/>
      <c r="KR545" s="2"/>
      <c r="KS545" s="2"/>
      <c r="KT545" s="2"/>
      <c r="KU545" s="2"/>
      <c r="KV545" s="2"/>
      <c r="KW545" s="2"/>
      <c r="KX545" s="2"/>
      <c r="KY545" s="2"/>
      <c r="KZ545" s="2"/>
      <c r="LA545" s="2"/>
      <c r="LB545" s="2"/>
      <c r="LC545" s="2"/>
      <c r="LD545" s="2"/>
      <c r="LE545" s="2"/>
      <c r="LF545" s="2"/>
      <c r="LG545" s="2"/>
      <c r="LH545" s="2"/>
      <c r="LI545" s="2"/>
      <c r="LJ545" s="2"/>
      <c r="LK545" s="2"/>
      <c r="LL545" s="2"/>
      <c r="LM545" s="2"/>
      <c r="LN545" s="2"/>
    </row>
    <row r="546" spans="1:333">
      <c r="A546" s="1">
        <v>1909</v>
      </c>
      <c r="AF546" s="1">
        <f t="shared" si="123"/>
        <v>1279697.6106116842</v>
      </c>
      <c r="BI546" s="4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HW546" s="4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  <c r="JY546" s="2"/>
      <c r="JZ546" s="2"/>
      <c r="KA546" s="2"/>
      <c r="KB546" s="2"/>
      <c r="KC546" s="2"/>
      <c r="KD546" s="2"/>
      <c r="KE546" s="2"/>
      <c r="KF546" s="2"/>
      <c r="KG546" s="2"/>
      <c r="KH546" s="2"/>
      <c r="KI546" s="2"/>
      <c r="KJ546" s="2"/>
      <c r="KK546" s="2"/>
      <c r="KL546" s="2"/>
      <c r="KM546" s="2"/>
      <c r="KN546" s="2"/>
      <c r="KO546" s="2"/>
      <c r="KP546" s="2"/>
      <c r="KQ546" s="2"/>
      <c r="KR546" s="2"/>
      <c r="KS546" s="2"/>
      <c r="KT546" s="2"/>
      <c r="KU546" s="2"/>
      <c r="KV546" s="2"/>
      <c r="KW546" s="2"/>
      <c r="KX546" s="2"/>
      <c r="KY546" s="2"/>
      <c r="KZ546" s="2"/>
      <c r="LA546" s="2"/>
      <c r="LB546" s="2"/>
      <c r="LC546" s="2"/>
      <c r="LD546" s="2"/>
      <c r="LE546" s="2"/>
      <c r="LF546" s="2"/>
      <c r="LG546" s="2"/>
      <c r="LH546" s="2"/>
      <c r="LI546" s="2"/>
      <c r="LJ546" s="2"/>
      <c r="LK546" s="2"/>
      <c r="LL546" s="2"/>
      <c r="LM546" s="2"/>
      <c r="LN546" s="2"/>
    </row>
    <row r="547" spans="1:333">
      <c r="A547" s="1">
        <v>1910</v>
      </c>
      <c r="B547" s="1">
        <f>C547+K547+U547+AD547+AH547+AG547+AT547+BC547+R547</f>
        <v>24365901.299999997</v>
      </c>
      <c r="C547" s="1">
        <f>262.8*C1</f>
        <v>2044846.8</v>
      </c>
      <c r="K547" s="1">
        <f>203.5*K1</f>
        <v>3878710</v>
      </c>
      <c r="R547" s="1">
        <f>162.8*R1</f>
        <v>1699632.0000000002</v>
      </c>
      <c r="U547" s="1">
        <f>363.2*U1</f>
        <v>5673184</v>
      </c>
      <c r="AD547" s="1">
        <f>535.8*AD1</f>
        <v>3677195.4</v>
      </c>
      <c r="AF547" s="1">
        <f t="shared" si="123"/>
        <v>1282257.0058329075</v>
      </c>
      <c r="AG547" s="1">
        <f>884.3*AG1</f>
        <v>1123061</v>
      </c>
      <c r="AH547" s="1">
        <f>373.9*AH1</f>
        <v>2528311.7999999998</v>
      </c>
      <c r="AT547" s="1">
        <f>316.3*AT1</f>
        <v>2317846.4</v>
      </c>
      <c r="BC547" s="1">
        <f>308.1*BC1</f>
        <v>1423113.9000000001</v>
      </c>
      <c r="BI547" s="4">
        <f t="shared" ref="BI547" si="124">BJ547+BQ547+BW547+BZ547+CH547+CL547+CT547+CX547+DE547+DL547+DS547+EB547+EE547+EG547</f>
        <v>29536451.199999996</v>
      </c>
      <c r="BJ547" s="2">
        <f>192.5*BJ1</f>
        <v>2849000</v>
      </c>
      <c r="BK547" s="2"/>
      <c r="BL547" s="2"/>
      <c r="BM547" s="2"/>
      <c r="BN547" s="2"/>
      <c r="BO547" s="2"/>
      <c r="BP547" s="2"/>
      <c r="BQ547" s="2">
        <f>241.6*BQ1</f>
        <v>3621584</v>
      </c>
      <c r="BR547" s="2"/>
      <c r="BS547" s="2"/>
      <c r="BT547" s="2"/>
      <c r="BU547" s="2"/>
      <c r="BV547" s="2"/>
      <c r="BW547" s="2">
        <f>136.8*BW1</f>
        <v>1296727.2000000002</v>
      </c>
      <c r="BX547" s="2"/>
      <c r="BY547" s="2"/>
      <c r="BZ547" s="2">
        <f>201.1*BZ1</f>
        <v>4778136</v>
      </c>
      <c r="CA547" s="2"/>
      <c r="CB547" s="2"/>
      <c r="CC547" s="2"/>
      <c r="CD547" s="2"/>
      <c r="CE547" s="2"/>
      <c r="CF547" s="2"/>
      <c r="CG547" s="2"/>
      <c r="CH547" s="2">
        <f>156.8*CH1</f>
        <v>1738912.0000000002</v>
      </c>
      <c r="CI547" s="2"/>
      <c r="CJ547" s="2"/>
      <c r="CK547" s="2"/>
      <c r="CL547" s="2">
        <f>269.4*CL1</f>
        <v>6074969.9999999991</v>
      </c>
      <c r="CM547" s="2"/>
      <c r="CN547" s="2"/>
      <c r="CO547" s="2"/>
      <c r="CP547" s="2"/>
      <c r="CQ547" s="2"/>
      <c r="CR547" s="2"/>
      <c r="CS547" s="2"/>
      <c r="CT547" s="2">
        <f>269.8*CT1</f>
        <v>860122.4</v>
      </c>
      <c r="CU547" s="2"/>
      <c r="CV547" s="2"/>
      <c r="CW547" s="2"/>
      <c r="CX547" s="2">
        <f>74.6*CX1</f>
        <v>728618.2</v>
      </c>
      <c r="CY547" s="2"/>
      <c r="CZ547" s="2"/>
      <c r="DA547" s="2"/>
      <c r="DB547" s="2"/>
      <c r="DC547" s="2"/>
      <c r="DD547" s="2"/>
      <c r="DE547" s="2">
        <f>91.6*DE1</f>
        <v>1052484</v>
      </c>
      <c r="DF547" s="2"/>
      <c r="DG547" s="2"/>
      <c r="DH547" s="2"/>
      <c r="DI547" s="2"/>
      <c r="DJ547" s="2"/>
      <c r="DK547" s="2"/>
      <c r="DL547" s="2">
        <f>71.2*DL1</f>
        <v>823072</v>
      </c>
      <c r="DM547" s="2"/>
      <c r="DN547" s="2"/>
      <c r="DO547" s="2"/>
      <c r="DP547" s="2"/>
      <c r="DQ547" s="2"/>
      <c r="DR547" s="2"/>
      <c r="DS547" s="2">
        <f>260.1*DS1</f>
        <v>4341069</v>
      </c>
      <c r="DT547" s="2"/>
      <c r="DU547" s="2"/>
      <c r="DV547" s="2"/>
      <c r="DW547" s="2"/>
      <c r="DX547" s="2"/>
      <c r="DY547" s="2"/>
      <c r="DZ547" s="2"/>
      <c r="EA547" s="2"/>
      <c r="EB547" s="2">
        <f>99.2*EB1</f>
        <v>485980.8</v>
      </c>
      <c r="EC547" s="2"/>
      <c r="ED547" s="2"/>
      <c r="EE547" s="2">
        <f>227.9*EE1</f>
        <v>606897.70000000007</v>
      </c>
      <c r="EF547" s="2"/>
      <c r="EG547" s="2">
        <f>86.1*EG1</f>
        <v>278877.89999999997</v>
      </c>
      <c r="EH547" s="2"/>
      <c r="EI547" s="1">
        <f t="shared" ref="EI547" si="125">EJ547+ET547+FA547+FI547+FQ547+FZ547+GH547+GO547+GX547+HD547+HO547+HV547</f>
        <v>18490995.899999999</v>
      </c>
      <c r="EJ547" s="1">
        <f>164*EJ1</f>
        <v>1200152</v>
      </c>
      <c r="ET547" s="1">
        <f>72.8*ET1</f>
        <v>614068</v>
      </c>
      <c r="FA547" s="1">
        <f>383*FA1</f>
        <v>1229047</v>
      </c>
      <c r="FI547" s="1">
        <f>182.4*FI1</f>
        <v>1129785.6000000001</v>
      </c>
      <c r="FQ547" s="1">
        <f>294.8*FQ1</f>
        <v>2813571.2</v>
      </c>
      <c r="FZ547" s="1">
        <f>344.3*FZ1</f>
        <v>2044109.1</v>
      </c>
      <c r="GH547" s="1">
        <f>208*GH1</f>
        <v>2321280</v>
      </c>
      <c r="GO547" s="1">
        <f>236.6*GO1</f>
        <v>2350384.4</v>
      </c>
      <c r="GX547" s="1">
        <f>102.2*GX$1</f>
        <v>933903.6</v>
      </c>
      <c r="HD547" s="1">
        <f>57.2*HD$1</f>
        <v>1050192</v>
      </c>
      <c r="HO547" s="1">
        <f>249.4*HO$1</f>
        <v>2804503</v>
      </c>
      <c r="HW547" s="4">
        <f t="shared" ref="HW547" si="126">HX547+IH547+IL547+IR547+IW547+JE547+JM547+JS547+JZ547+KK547+KP547+KV547+LG547+LJ547</f>
        <v>14922285.300000001</v>
      </c>
      <c r="HX547" s="1">
        <f>99.4*HX$1</f>
        <v>2163938</v>
      </c>
      <c r="HY547" s="2"/>
      <c r="HZ547" s="2"/>
      <c r="IA547" s="2"/>
      <c r="IB547" s="2"/>
      <c r="IC547" s="2"/>
      <c r="ID547" s="2"/>
      <c r="IE547" s="2"/>
      <c r="IF547" s="2"/>
      <c r="IG547" s="2"/>
      <c r="IH547" s="1">
        <f>81.2*IH$1</f>
        <v>425975.2</v>
      </c>
      <c r="II547" s="2"/>
      <c r="IJ547" s="2"/>
      <c r="IK547" s="2"/>
      <c r="IL547" s="1">
        <f>91.3*IL$1</f>
        <v>600297.5</v>
      </c>
      <c r="IM547" s="2"/>
      <c r="IN547" s="2"/>
      <c r="IO547" s="2"/>
      <c r="IP547" s="2"/>
      <c r="IQ547" s="2"/>
      <c r="IR547" s="1">
        <f>104.1*IR$1</f>
        <v>546108.6</v>
      </c>
      <c r="IS547" s="2"/>
      <c r="IT547" s="2"/>
      <c r="IU547" s="2"/>
      <c r="IV547" s="2"/>
      <c r="IW547" s="1">
        <f>97.2*IW$1</f>
        <v>1522152</v>
      </c>
      <c r="IX547" s="2"/>
      <c r="IY547" s="2"/>
      <c r="IZ547" s="2"/>
      <c r="JA547" s="2"/>
      <c r="JB547" s="2"/>
      <c r="JC547" s="2"/>
      <c r="JD547" s="2"/>
      <c r="JE547" s="1">
        <f>100.4*JE$1</f>
        <v>1409616</v>
      </c>
      <c r="JF547" s="2"/>
      <c r="JG547" s="2"/>
      <c r="JH547" s="2"/>
      <c r="JI547" s="2"/>
      <c r="JJ547" s="2"/>
      <c r="JK547" s="2"/>
      <c r="JL547" s="2"/>
      <c r="JM547" s="1">
        <f>65.8*JM$1</f>
        <v>538704.6</v>
      </c>
      <c r="JN547" s="2"/>
      <c r="JO547" s="2"/>
      <c r="JP547" s="2"/>
      <c r="JQ547" s="2"/>
      <c r="JR547" s="2"/>
      <c r="JS547" s="1">
        <f>111.9*JS$1</f>
        <v>1191735</v>
      </c>
      <c r="JT547" s="2"/>
      <c r="JU547" s="2"/>
      <c r="JV547" s="2"/>
      <c r="JW547" s="2"/>
      <c r="JX547" s="2"/>
      <c r="JY547" s="2"/>
      <c r="JZ547" s="1">
        <f>75.4*JZ$1</f>
        <v>1851070.0000000002</v>
      </c>
      <c r="KA547" s="2"/>
      <c r="KB547" s="2"/>
      <c r="KC547" s="2"/>
      <c r="KD547" s="2"/>
      <c r="KE547" s="2"/>
      <c r="KF547" s="2"/>
      <c r="KG547" s="2"/>
      <c r="KH547" s="2"/>
      <c r="KI547" s="2"/>
      <c r="KJ547" s="2"/>
      <c r="KK547" s="1">
        <f>109.5*KK$1</f>
        <v>589110</v>
      </c>
      <c r="KL547" s="2"/>
      <c r="KM547" s="2"/>
      <c r="KN547" s="2"/>
      <c r="KO547" s="2"/>
      <c r="KP547" s="1">
        <f>92.8*KP$1</f>
        <v>817196.79999999993</v>
      </c>
      <c r="KQ547" s="2"/>
      <c r="KR547" s="2"/>
      <c r="KS547" s="2"/>
      <c r="KT547" s="2"/>
      <c r="KU547" s="2"/>
      <c r="KV547" s="1">
        <f>81.6*KV$1</f>
        <v>1892303.9999999998</v>
      </c>
      <c r="KW547" s="2"/>
      <c r="KX547" s="2"/>
      <c r="KY547" s="2"/>
      <c r="KZ547" s="2"/>
      <c r="LA547" s="2"/>
      <c r="LB547" s="2"/>
      <c r="LC547" s="2"/>
      <c r="LD547" s="2"/>
      <c r="LE547" s="2"/>
      <c r="LF547" s="2"/>
      <c r="LG547" s="1">
        <f>81.8*LG$1</f>
        <v>711005.6</v>
      </c>
      <c r="LH547" s="2"/>
      <c r="LI547" s="2"/>
      <c r="LJ547" s="1">
        <f>96*LJ$1</f>
        <v>663072</v>
      </c>
      <c r="LK547" s="2"/>
      <c r="LL547" s="2"/>
      <c r="LM547" s="2"/>
      <c r="LN547" s="2"/>
      <c r="LO547" s="1">
        <f t="shared" ref="LO547" si="127">LU547+LP547</f>
        <v>3647895</v>
      </c>
      <c r="LP547" s="1">
        <f>536.5*LP$1</f>
        <v>1243070.5</v>
      </c>
      <c r="LU547" s="1">
        <f>578.5*LU$1</f>
        <v>2404824.5</v>
      </c>
    </row>
    <row r="548" spans="1:333">
      <c r="A548" s="1">
        <v>1911</v>
      </c>
      <c r="BI548" s="4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J548" s="1">
        <v>1520928</v>
      </c>
      <c r="EK548" s="1">
        <v>377559</v>
      </c>
      <c r="EL548" s="1">
        <v>302728</v>
      </c>
      <c r="EM548" s="1">
        <v>360205</v>
      </c>
      <c r="EN548" s="1">
        <v>167880</v>
      </c>
      <c r="EO548" s="1">
        <v>104655</v>
      </c>
      <c r="EP548" s="1">
        <v>55430</v>
      </c>
      <c r="EQ548" s="1">
        <v>41333</v>
      </c>
      <c r="ER548" s="1">
        <v>466388</v>
      </c>
      <c r="ES548" s="1">
        <v>64500</v>
      </c>
      <c r="HW548" s="4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  <c r="JY548" s="2"/>
      <c r="JZ548" s="2"/>
      <c r="KA548" s="2"/>
      <c r="KB548" s="2"/>
      <c r="KC548" s="2"/>
      <c r="KD548" s="2"/>
      <c r="KE548" s="2"/>
      <c r="KF548" s="2"/>
      <c r="KG548" s="2"/>
      <c r="KH548" s="2"/>
      <c r="KI548" s="2"/>
      <c r="KJ548" s="2"/>
      <c r="KK548" s="2"/>
      <c r="KL548" s="2"/>
      <c r="KM548" s="2"/>
      <c r="KN548" s="2"/>
      <c r="KO548" s="2"/>
      <c r="KP548" s="2"/>
      <c r="KQ548" s="2"/>
      <c r="KR548" s="2"/>
      <c r="KS548" s="2"/>
      <c r="KT548" s="2"/>
      <c r="KU548" s="2"/>
      <c r="KV548" s="2"/>
      <c r="KW548" s="2"/>
      <c r="KX548" s="2"/>
      <c r="KY548" s="2"/>
      <c r="KZ548" s="2"/>
      <c r="LA548" s="2"/>
      <c r="LB548" s="2"/>
      <c r="LC548" s="2"/>
      <c r="LD548" s="2"/>
      <c r="LE548" s="2"/>
      <c r="LF548" s="2"/>
      <c r="LG548" s="2"/>
      <c r="LH548" s="2"/>
      <c r="LI548" s="2"/>
      <c r="LJ548" s="2"/>
      <c r="LK548" s="2"/>
      <c r="LL548" s="2"/>
      <c r="LM548" s="2"/>
      <c r="LN548" s="2"/>
    </row>
    <row r="549" spans="1:333">
      <c r="A549" s="1">
        <v>1912</v>
      </c>
      <c r="BI549" s="4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HW549" s="4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  <c r="JY549" s="2"/>
      <c r="JZ549" s="2"/>
      <c r="KA549" s="2"/>
      <c r="KB549" s="2"/>
      <c r="KC549" s="2"/>
      <c r="KD549" s="2"/>
      <c r="KE549" s="2"/>
      <c r="KF549" s="2"/>
      <c r="KG549" s="2"/>
      <c r="KH549" s="2"/>
      <c r="KI549" s="2"/>
      <c r="KJ549" s="2"/>
      <c r="KK549" s="2"/>
      <c r="KL549" s="2"/>
      <c r="KM549" s="2"/>
      <c r="KN549" s="2"/>
      <c r="KO549" s="2"/>
      <c r="KP549" s="2"/>
      <c r="KQ549" s="2"/>
      <c r="KR549" s="2"/>
      <c r="KS549" s="2"/>
      <c r="KT549" s="2"/>
      <c r="KU549" s="2"/>
      <c r="KV549" s="2"/>
      <c r="KW549" s="2"/>
      <c r="KX549" s="2"/>
      <c r="KY549" s="2"/>
      <c r="KZ549" s="2"/>
      <c r="LA549" s="2"/>
      <c r="LB549" s="2"/>
      <c r="LC549" s="2"/>
      <c r="LD549" s="2"/>
      <c r="LE549" s="2"/>
      <c r="LF549" s="2"/>
      <c r="LG549" s="2"/>
      <c r="LH549" s="2"/>
      <c r="LI549" s="2"/>
      <c r="LJ549" s="2"/>
      <c r="LK549" s="2"/>
      <c r="LL549" s="2"/>
      <c r="LM549" s="2"/>
      <c r="LN549" s="2"/>
    </row>
    <row r="550" spans="1:333">
      <c r="A550" s="1">
        <v>1913</v>
      </c>
      <c r="BI550" s="4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HW550" s="4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  <c r="JY550" s="2"/>
      <c r="JZ550" s="2"/>
      <c r="KA550" s="2"/>
      <c r="KB550" s="2"/>
      <c r="KC550" s="2"/>
      <c r="KD550" s="2"/>
      <c r="KE550" s="2"/>
      <c r="KF550" s="2"/>
      <c r="KG550" s="2"/>
      <c r="KH550" s="2"/>
      <c r="KI550" s="2"/>
      <c r="KJ550" s="2"/>
      <c r="KK550" s="2"/>
      <c r="KL550" s="2"/>
      <c r="KM550" s="2"/>
      <c r="KN550" s="2"/>
      <c r="KO550" s="2"/>
      <c r="KP550" s="2"/>
      <c r="KQ550" s="2"/>
      <c r="KR550" s="2"/>
      <c r="KS550" s="2"/>
      <c r="KT550" s="2"/>
      <c r="KU550" s="2"/>
      <c r="KV550" s="2"/>
      <c r="KW550" s="2"/>
      <c r="KX550" s="2"/>
      <c r="KY550" s="2"/>
      <c r="KZ550" s="2"/>
      <c r="LA550" s="2"/>
      <c r="LB550" s="2"/>
      <c r="LC550" s="2"/>
      <c r="LD550" s="2"/>
      <c r="LE550" s="2"/>
      <c r="LF550" s="2"/>
      <c r="LG550" s="2"/>
      <c r="LH550" s="2"/>
      <c r="LI550" s="2"/>
      <c r="LJ550" s="2"/>
      <c r="LK550" s="2"/>
      <c r="LL550" s="2"/>
      <c r="LM550" s="2"/>
      <c r="LN550" s="2"/>
    </row>
    <row r="551" spans="1:333">
      <c r="BI551" s="4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HW551" s="10"/>
    </row>
    <row r="552" spans="1:333">
      <c r="BI552" s="4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HW552" s="10"/>
    </row>
    <row r="553" spans="1:333">
      <c r="BI553" s="4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HW553" s="10"/>
    </row>
    <row r="554" spans="1:333">
      <c r="BI554" s="4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HW554" s="10"/>
    </row>
    <row r="555" spans="1:333">
      <c r="BI555" s="4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HW555" s="10"/>
    </row>
    <row r="556" spans="1:333">
      <c r="BI556" s="4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HW556" s="10"/>
    </row>
    <row r="557" spans="1:333">
      <c r="BI557" s="4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HW557" s="10"/>
    </row>
    <row r="558" spans="1:333">
      <c r="BI558" s="4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HW558" s="10"/>
    </row>
    <row r="559" spans="1:333">
      <c r="BI559" s="4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HW559" s="10"/>
    </row>
    <row r="560" spans="1:333">
      <c r="BI560" s="4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HW560" s="10"/>
    </row>
    <row r="561" spans="61:231">
      <c r="BI561" s="4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HW561" s="10"/>
    </row>
    <row r="562" spans="61:231">
      <c r="BI562" s="4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HW562" s="10"/>
    </row>
    <row r="563" spans="61:231">
      <c r="BI563" s="4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HW563" s="10"/>
    </row>
    <row r="564" spans="61:231">
      <c r="BI564" s="4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HW564" s="10"/>
    </row>
    <row r="565" spans="61:231">
      <c r="BI565" s="4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HW565" s="10"/>
    </row>
    <row r="566" spans="61:231">
      <c r="BI566" s="4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HW566" s="10"/>
    </row>
    <row r="567" spans="61:231">
      <c r="BI567" s="4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HW567" s="10"/>
    </row>
    <row r="568" spans="61:231">
      <c r="BI568" s="4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HW568" s="10"/>
    </row>
    <row r="569" spans="61:231">
      <c r="BI569" s="4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HW569" s="10"/>
    </row>
    <row r="570" spans="61:231">
      <c r="BI570" s="4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HW570" s="10"/>
    </row>
    <row r="571" spans="61:231">
      <c r="BI571" s="4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HW571" s="10"/>
    </row>
    <row r="572" spans="61:231">
      <c r="BI572" s="4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HW572" s="10"/>
    </row>
    <row r="573" spans="61:231">
      <c r="BI573" s="4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HW573" s="10"/>
    </row>
    <row r="574" spans="61:231">
      <c r="BI574" s="4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HW574" s="10"/>
    </row>
    <row r="575" spans="61:231">
      <c r="BI575" s="4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HW575" s="10"/>
    </row>
    <row r="576" spans="61:231">
      <c r="BI576" s="4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HW576" s="10"/>
    </row>
    <row r="577" spans="61:231">
      <c r="BI577" s="4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HW577" s="10"/>
    </row>
    <row r="578" spans="61:231">
      <c r="BI578" s="4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HW578" s="10"/>
    </row>
    <row r="579" spans="61:231">
      <c r="BI579" s="4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HW579" s="10"/>
    </row>
    <row r="580" spans="61:231">
      <c r="BI580" s="4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HW580" s="10"/>
    </row>
    <row r="581" spans="61:231">
      <c r="BI581" s="4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HW581" s="10"/>
    </row>
    <row r="582" spans="61:231">
      <c r="BI582" s="4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HW582" s="10"/>
    </row>
    <row r="583" spans="61:231">
      <c r="BI583" s="4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HW583" s="10"/>
    </row>
    <row r="584" spans="61:231">
      <c r="BI584" s="4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HW584" s="10"/>
    </row>
    <row r="585" spans="61:231">
      <c r="BI585" s="4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HW585" s="10"/>
    </row>
    <row r="586" spans="61:231">
      <c r="BI586" s="4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HW586" s="10"/>
    </row>
    <row r="587" spans="61:231">
      <c r="BI587" s="4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HW587" s="10"/>
    </row>
    <row r="588" spans="61:231">
      <c r="BI588" s="4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HW588" s="10"/>
    </row>
    <row r="589" spans="61:231">
      <c r="BI589" s="4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HW589" s="10"/>
    </row>
    <row r="590" spans="61:231">
      <c r="BI590" s="4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HW590" s="10"/>
    </row>
    <row r="591" spans="61:231">
      <c r="BI591" s="4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HW591" s="10"/>
    </row>
    <row r="592" spans="61:231">
      <c r="BI592" s="4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HW592" s="10"/>
    </row>
    <row r="593" spans="61:231">
      <c r="BI593" s="4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HW593" s="10"/>
    </row>
    <row r="594" spans="61:231">
      <c r="BI594" s="4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HW594" s="10"/>
    </row>
    <row r="595" spans="61:231">
      <c r="BI595" s="4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HW595" s="10"/>
    </row>
    <row r="596" spans="61:231">
      <c r="BI596" s="4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HW596" s="10"/>
    </row>
    <row r="597" spans="61:231">
      <c r="BI597" s="4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HW597" s="10"/>
    </row>
    <row r="598" spans="61:231">
      <c r="BI598" s="4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HW598" s="10"/>
    </row>
    <row r="599" spans="61:231">
      <c r="BI599" s="4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HW599" s="10"/>
    </row>
    <row r="600" spans="61:231">
      <c r="BI600" s="4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HW600" s="10"/>
    </row>
    <row r="601" spans="61:231">
      <c r="BI601" s="4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HW601" s="10"/>
    </row>
    <row r="602" spans="61:231">
      <c r="BI602" s="4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HW602" s="10"/>
    </row>
    <row r="603" spans="61:231">
      <c r="BI603" s="4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HW603" s="10"/>
    </row>
    <row r="604" spans="61:231">
      <c r="BI604" s="4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HW604" s="10"/>
    </row>
    <row r="605" spans="61:231">
      <c r="BI605" s="4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HW605" s="10"/>
    </row>
    <row r="606" spans="61:231">
      <c r="BI606" s="4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HW606" s="10"/>
    </row>
    <row r="607" spans="61:231">
      <c r="BI607" s="4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HW607" s="10"/>
    </row>
    <row r="608" spans="61:231">
      <c r="BI608" s="4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HW608" s="10"/>
    </row>
    <row r="609" spans="61:231">
      <c r="BI609" s="4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HW609" s="10"/>
    </row>
    <row r="610" spans="61:231">
      <c r="BI610" s="4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HW610" s="10"/>
    </row>
    <row r="611" spans="61:231">
      <c r="BI611" s="4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HW611" s="10"/>
    </row>
    <row r="612" spans="61:231">
      <c r="BI612" s="4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HW612" s="10"/>
    </row>
    <row r="613" spans="61:231">
      <c r="BI613" s="4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HW613" s="10"/>
    </row>
    <row r="614" spans="61:231">
      <c r="BI614" s="4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HW614" s="10"/>
    </row>
    <row r="615" spans="61:231">
      <c r="BI615" s="4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HW615" s="10"/>
    </row>
    <row r="616" spans="61:231">
      <c r="BI616" s="4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HW616" s="10"/>
    </row>
    <row r="617" spans="61:231">
      <c r="BI617" s="4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HW617" s="10"/>
    </row>
    <row r="618" spans="61:231">
      <c r="BI618" s="4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HW618" s="10"/>
    </row>
    <row r="619" spans="61:231">
      <c r="BI619" s="4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HW619" s="10"/>
    </row>
    <row r="620" spans="61:231">
      <c r="BI620" s="4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HW620" s="10"/>
    </row>
    <row r="621" spans="61:231">
      <c r="BI621" s="4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HW621" s="10"/>
    </row>
    <row r="622" spans="61:231">
      <c r="BI622" s="4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HW622" s="10"/>
    </row>
    <row r="623" spans="61:231">
      <c r="BI623" s="4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HW623" s="10"/>
    </row>
    <row r="624" spans="61:231">
      <c r="BI624" s="4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HW624" s="10"/>
    </row>
    <row r="625" spans="61:231">
      <c r="BI625" s="4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HW625" s="10"/>
    </row>
    <row r="626" spans="61:231">
      <c r="BI626" s="4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HW626" s="10"/>
    </row>
    <row r="627" spans="61:231">
      <c r="BI627" s="4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HW627" s="10"/>
    </row>
    <row r="628" spans="61:231">
      <c r="BI628" s="4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HW628" s="10"/>
    </row>
    <row r="629" spans="61:231">
      <c r="BI629" s="4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HW629" s="10"/>
    </row>
    <row r="630" spans="61:231">
      <c r="BI630" s="4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</row>
    <row r="631" spans="61:231">
      <c r="BI631" s="4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</row>
    <row r="632" spans="61:231">
      <c r="BI632" s="4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</row>
    <row r="633" spans="61:231">
      <c r="BI633" s="4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</row>
    <row r="634" spans="61:231">
      <c r="BI634" s="4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</row>
    <row r="635" spans="61:231">
      <c r="BI635" s="4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</row>
    <row r="636" spans="61:231">
      <c r="BI636" s="4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</row>
    <row r="637" spans="61:231">
      <c r="BI637" s="4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</row>
    <row r="638" spans="61:231">
      <c r="BI638" s="4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</row>
    <row r="639" spans="61:231">
      <c r="BI639" s="4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</row>
    <row r="640" spans="61:231">
      <c r="BI640" s="4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</row>
    <row r="641" spans="61:148">
      <c r="BI641" s="4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</row>
    <row r="642" spans="61:148">
      <c r="BI642" s="4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</row>
    <row r="643" spans="61:148">
      <c r="BI643" s="4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</row>
    <row r="644" spans="61:148">
      <c r="BI644" s="4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</row>
    <row r="645" spans="61:148">
      <c r="BI645" s="4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</row>
    <row r="646" spans="61:148">
      <c r="BI646" s="4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</row>
    <row r="647" spans="61:148">
      <c r="BI647" s="4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</row>
    <row r="648" spans="61:148">
      <c r="BI648" s="4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</row>
    <row r="649" spans="61:148">
      <c r="BI649" s="4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</row>
    <row r="650" spans="61:148">
      <c r="BI650" s="4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</row>
    <row r="651" spans="61:148">
      <c r="BI651" s="4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</row>
    <row r="652" spans="61:148">
      <c r="BI652" s="4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</row>
    <row r="653" spans="61:148">
      <c r="BI653" s="4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</row>
    <row r="654" spans="61:148">
      <c r="BI654" s="4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</row>
    <row r="655" spans="61:148">
      <c r="BI655" s="4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</row>
    <row r="656" spans="61:148">
      <c r="BI656" s="4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</row>
    <row r="657" spans="61:148">
      <c r="BI657" s="4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</row>
    <row r="658" spans="61:148">
      <c r="BI658" s="4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</row>
    <row r="659" spans="61:148">
      <c r="BI659" s="4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5C0AB-0B88-4F03-9004-CB0C680AC5DF}">
  <dimension ref="A1:ME551"/>
  <sheetViews>
    <sheetView tabSelected="1" workbookViewId="0">
      <selection activeCell="P8" sqref="P8"/>
    </sheetView>
  </sheetViews>
  <sheetFormatPr defaultRowHeight="14.4"/>
  <sheetData>
    <row r="1" spans="1:343">
      <c r="B1" t="s">
        <v>0</v>
      </c>
      <c r="C1">
        <v>7781</v>
      </c>
      <c r="D1">
        <v>9183</v>
      </c>
      <c r="K1">
        <v>19060</v>
      </c>
      <c r="L1">
        <v>29023</v>
      </c>
      <c r="R1">
        <v>10440</v>
      </c>
      <c r="U1">
        <v>15620</v>
      </c>
      <c r="V1">
        <v>20560</v>
      </c>
      <c r="AD1">
        <v>6863</v>
      </c>
      <c r="AG1">
        <v>1270</v>
      </c>
      <c r="AH1">
        <v>6762</v>
      </c>
      <c r="AI1">
        <v>8267</v>
      </c>
      <c r="AT1">
        <v>7328</v>
      </c>
      <c r="AU1">
        <v>6464</v>
      </c>
      <c r="BC1">
        <v>4619</v>
      </c>
      <c r="BD1">
        <v>3616</v>
      </c>
      <c r="BI1" t="s">
        <v>61</v>
      </c>
      <c r="BJ1">
        <v>14800</v>
      </c>
      <c r="BK1">
        <v>14860</v>
      </c>
      <c r="BQ1">
        <v>14990</v>
      </c>
      <c r="BR1">
        <v>24270</v>
      </c>
      <c r="BW1">
        <v>9479</v>
      </c>
      <c r="BZ1">
        <v>23760</v>
      </c>
      <c r="CA1">
        <v>57150</v>
      </c>
      <c r="CH1">
        <v>11090</v>
      </c>
      <c r="CL1">
        <v>22550</v>
      </c>
      <c r="CT1">
        <v>3188</v>
      </c>
      <c r="CU1">
        <v>3147</v>
      </c>
      <c r="CX1">
        <v>9767</v>
      </c>
      <c r="CY1">
        <v>10030</v>
      </c>
      <c r="DE1">
        <v>11490</v>
      </c>
      <c r="DF1">
        <v>11110</v>
      </c>
      <c r="DL1">
        <v>11560</v>
      </c>
      <c r="DM1">
        <v>11500</v>
      </c>
      <c r="DS1">
        <v>16690</v>
      </c>
      <c r="DT1">
        <v>10290</v>
      </c>
      <c r="EB1">
        <v>4899</v>
      </c>
      <c r="EE1">
        <v>2663</v>
      </c>
      <c r="EG1">
        <v>3239</v>
      </c>
      <c r="EH1">
        <v>3521</v>
      </c>
      <c r="EI1" t="s">
        <v>148</v>
      </c>
      <c r="EJ1">
        <v>7318</v>
      </c>
      <c r="EK1">
        <v>7774</v>
      </c>
      <c r="ET1">
        <v>8435</v>
      </c>
      <c r="EU1">
        <v>8291</v>
      </c>
      <c r="FA1">
        <v>3209</v>
      </c>
      <c r="FB1">
        <v>3276</v>
      </c>
      <c r="FI1">
        <v>6194</v>
      </c>
      <c r="FJ1">
        <v>6219</v>
      </c>
      <c r="FQ1">
        <v>9544</v>
      </c>
      <c r="FR1">
        <v>9402</v>
      </c>
      <c r="FZ1">
        <v>5937</v>
      </c>
      <c r="GA1">
        <v>6337</v>
      </c>
      <c r="GH1">
        <v>11160</v>
      </c>
      <c r="GI1">
        <v>11270</v>
      </c>
      <c r="GO1">
        <v>9934</v>
      </c>
      <c r="GP1">
        <v>9824</v>
      </c>
      <c r="GX1">
        <v>9138</v>
      </c>
      <c r="GY1">
        <v>9279</v>
      </c>
      <c r="HD1">
        <v>18360</v>
      </c>
      <c r="HE1">
        <v>18140</v>
      </c>
      <c r="HO1">
        <v>11245</v>
      </c>
      <c r="HP1">
        <v>11101</v>
      </c>
      <c r="HW1" t="s">
        <v>249</v>
      </c>
      <c r="HX1">
        <v>21770</v>
      </c>
      <c r="HY1">
        <v>22100</v>
      </c>
      <c r="IH1">
        <v>5246</v>
      </c>
      <c r="II1">
        <v>5482</v>
      </c>
      <c r="IL1">
        <v>6575</v>
      </c>
      <c r="IM1">
        <v>6350</v>
      </c>
      <c r="IR1">
        <v>5246</v>
      </c>
      <c r="IS1">
        <v>5177</v>
      </c>
      <c r="IW1">
        <v>15660</v>
      </c>
      <c r="IX1">
        <v>15450</v>
      </c>
      <c r="JE1">
        <v>14040</v>
      </c>
      <c r="JF1">
        <v>14070</v>
      </c>
      <c r="JM1">
        <v>8187</v>
      </c>
      <c r="JN1">
        <v>8366</v>
      </c>
      <c r="JS1">
        <v>10650</v>
      </c>
      <c r="JT1">
        <v>10390</v>
      </c>
      <c r="JZ1">
        <v>24550</v>
      </c>
      <c r="KA1">
        <v>24360</v>
      </c>
      <c r="KK1">
        <v>5380</v>
      </c>
      <c r="KL1">
        <v>5610</v>
      </c>
      <c r="KP1">
        <v>8806</v>
      </c>
      <c r="KQ1">
        <v>8781</v>
      </c>
      <c r="KV1">
        <v>23190</v>
      </c>
      <c r="KW1">
        <v>32220</v>
      </c>
      <c r="LG1">
        <v>8692</v>
      </c>
      <c r="LJ1">
        <v>6907</v>
      </c>
      <c r="LK1">
        <v>6966</v>
      </c>
      <c r="LO1" t="s">
        <v>348</v>
      </c>
      <c r="LP1">
        <v>2317</v>
      </c>
      <c r="LU1">
        <v>4157</v>
      </c>
      <c r="LV1">
        <v>4244</v>
      </c>
    </row>
    <row r="2" spans="1:343">
      <c r="C2" t="s">
        <v>1</v>
      </c>
      <c r="K2" t="s">
        <v>2</v>
      </c>
      <c r="R2" t="s">
        <v>3</v>
      </c>
      <c r="U2" t="s">
        <v>4</v>
      </c>
      <c r="AD2" t="s">
        <v>5</v>
      </c>
      <c r="AG2" t="s">
        <v>6</v>
      </c>
      <c r="AH2" t="s">
        <v>7</v>
      </c>
      <c r="AT2" t="s">
        <v>8</v>
      </c>
      <c r="BC2" t="s">
        <v>9</v>
      </c>
      <c r="BJ2" t="s">
        <v>62</v>
      </c>
      <c r="BQ2" t="s">
        <v>63</v>
      </c>
      <c r="BW2" t="s">
        <v>64</v>
      </c>
      <c r="BZ2" t="s">
        <v>65</v>
      </c>
      <c r="CH2" t="s">
        <v>66</v>
      </c>
      <c r="CL2" t="s">
        <v>67</v>
      </c>
      <c r="CT2" t="s">
        <v>68</v>
      </c>
      <c r="CX2" t="s">
        <v>69</v>
      </c>
      <c r="DE2" t="s">
        <v>70</v>
      </c>
      <c r="DL2" t="s">
        <v>71</v>
      </c>
      <c r="DS2" t="s">
        <v>72</v>
      </c>
      <c r="EB2" t="s">
        <v>73</v>
      </c>
      <c r="EE2" t="s">
        <v>74</v>
      </c>
      <c r="EG2" t="s">
        <v>75</v>
      </c>
      <c r="EJ2" t="s">
        <v>149</v>
      </c>
      <c r="ET2" t="s">
        <v>150</v>
      </c>
      <c r="FA2" t="s">
        <v>151</v>
      </c>
      <c r="FI2" t="s">
        <v>152</v>
      </c>
      <c r="FQ2" t="s">
        <v>153</v>
      </c>
      <c r="FZ2" t="s">
        <v>154</v>
      </c>
      <c r="GH2" t="s">
        <v>155</v>
      </c>
      <c r="GO2" t="s">
        <v>156</v>
      </c>
      <c r="GX2" t="s">
        <v>157</v>
      </c>
      <c r="HD2" t="s">
        <v>158</v>
      </c>
      <c r="HO2" t="s">
        <v>159</v>
      </c>
      <c r="HV2" t="s">
        <v>160</v>
      </c>
      <c r="HX2" t="s">
        <v>250</v>
      </c>
      <c r="IH2" t="s">
        <v>251</v>
      </c>
      <c r="IL2" t="s">
        <v>252</v>
      </c>
      <c r="IR2" t="s">
        <v>253</v>
      </c>
      <c r="IW2" t="s">
        <v>254</v>
      </c>
      <c r="JE2" t="s">
        <v>255</v>
      </c>
      <c r="JM2" t="s">
        <v>256</v>
      </c>
      <c r="JS2" t="s">
        <v>257</v>
      </c>
      <c r="JZ2" t="s">
        <v>258</v>
      </c>
      <c r="KK2" t="s">
        <v>259</v>
      </c>
      <c r="KP2" t="s">
        <v>260</v>
      </c>
      <c r="KV2" t="s">
        <v>261</v>
      </c>
      <c r="LG2" t="s">
        <v>262</v>
      </c>
      <c r="LJ2" t="s">
        <v>263</v>
      </c>
      <c r="LP2" t="s">
        <v>349</v>
      </c>
      <c r="LU2" t="s">
        <v>350</v>
      </c>
    </row>
    <row r="3" spans="1:343"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  <c r="I3" t="s">
        <v>16</v>
      </c>
      <c r="J3" t="s">
        <v>17</v>
      </c>
      <c r="L3" t="s">
        <v>18</v>
      </c>
      <c r="M3" t="s">
        <v>19</v>
      </c>
      <c r="N3" t="s">
        <v>20</v>
      </c>
      <c r="O3" t="s">
        <v>21</v>
      </c>
      <c r="P3" t="s">
        <v>22</v>
      </c>
      <c r="Q3" t="s">
        <v>23</v>
      </c>
      <c r="S3" t="s">
        <v>24</v>
      </c>
      <c r="T3" t="s">
        <v>25</v>
      </c>
      <c r="V3" t="s">
        <v>26</v>
      </c>
      <c r="W3" t="s">
        <v>27</v>
      </c>
      <c r="X3" t="s">
        <v>28</v>
      </c>
      <c r="Y3" t="s">
        <v>29</v>
      </c>
      <c r="Z3" t="s">
        <v>30</v>
      </c>
      <c r="AA3" t="s">
        <v>31</v>
      </c>
      <c r="AB3" t="s">
        <v>32</v>
      </c>
      <c r="AC3" t="s">
        <v>33</v>
      </c>
      <c r="AE3" t="s">
        <v>34</v>
      </c>
      <c r="AF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  <c r="AZ3" t="s">
        <v>52</v>
      </c>
      <c r="BA3" t="s">
        <v>53</v>
      </c>
      <c r="BB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K3" t="s">
        <v>76</v>
      </c>
      <c r="BL3" t="s">
        <v>77</v>
      </c>
      <c r="BM3" t="s">
        <v>78</v>
      </c>
      <c r="BN3" t="s">
        <v>79</v>
      </c>
      <c r="BO3" t="s">
        <v>80</v>
      </c>
      <c r="BP3" t="s">
        <v>81</v>
      </c>
      <c r="BR3" t="s">
        <v>82</v>
      </c>
      <c r="BS3" t="s">
        <v>83</v>
      </c>
      <c r="BT3" t="s">
        <v>84</v>
      </c>
      <c r="BU3" t="s">
        <v>85</v>
      </c>
      <c r="BV3" t="s">
        <v>86</v>
      </c>
      <c r="BW3" t="s">
        <v>87</v>
      </c>
      <c r="BX3" t="s">
        <v>88</v>
      </c>
      <c r="BY3" t="s">
        <v>89</v>
      </c>
      <c r="CA3" t="s">
        <v>90</v>
      </c>
      <c r="CB3" t="s">
        <v>91</v>
      </c>
      <c r="CC3" t="s">
        <v>92</v>
      </c>
      <c r="CD3" t="s">
        <v>93</v>
      </c>
      <c r="CE3" t="s">
        <v>94</v>
      </c>
      <c r="CF3" t="s">
        <v>95</v>
      </c>
      <c r="CG3" t="s">
        <v>96</v>
      </c>
      <c r="CH3" t="s">
        <v>97</v>
      </c>
      <c r="CI3" t="s">
        <v>98</v>
      </c>
      <c r="CJ3" t="s">
        <v>99</v>
      </c>
      <c r="CK3" t="s">
        <v>100</v>
      </c>
      <c r="CM3" t="s">
        <v>101</v>
      </c>
      <c r="CN3" t="s">
        <v>102</v>
      </c>
      <c r="CO3" t="s">
        <v>103</v>
      </c>
      <c r="CP3" t="s">
        <v>104</v>
      </c>
      <c r="CQ3" t="s">
        <v>105</v>
      </c>
      <c r="CR3" t="s">
        <v>106</v>
      </c>
      <c r="CS3" t="s">
        <v>107</v>
      </c>
      <c r="CU3" t="s">
        <v>108</v>
      </c>
      <c r="CV3" t="s">
        <v>109</v>
      </c>
      <c r="CW3" t="s">
        <v>110</v>
      </c>
      <c r="CY3" t="s">
        <v>111</v>
      </c>
      <c r="CZ3" t="s">
        <v>112</v>
      </c>
      <c r="DA3" t="s">
        <v>113</v>
      </c>
      <c r="DB3" t="s">
        <v>114</v>
      </c>
      <c r="DC3" t="s">
        <v>115</v>
      </c>
      <c r="DD3" t="s">
        <v>116</v>
      </c>
      <c r="DF3" t="s">
        <v>117</v>
      </c>
      <c r="DG3" t="s">
        <v>118</v>
      </c>
      <c r="DH3" t="s">
        <v>119</v>
      </c>
      <c r="DI3" t="s">
        <v>120</v>
      </c>
      <c r="DJ3" t="s">
        <v>121</v>
      </c>
      <c r="DK3" t="s">
        <v>122</v>
      </c>
      <c r="DM3" t="s">
        <v>123</v>
      </c>
      <c r="DN3" t="s">
        <v>124</v>
      </c>
      <c r="DO3" t="s">
        <v>125</v>
      </c>
      <c r="DP3" t="s">
        <v>126</v>
      </c>
      <c r="DQ3" t="s">
        <v>127</v>
      </c>
      <c r="DR3" t="s">
        <v>128</v>
      </c>
      <c r="DT3" t="s">
        <v>129</v>
      </c>
      <c r="DU3" t="s">
        <v>130</v>
      </c>
      <c r="DV3" t="s">
        <v>131</v>
      </c>
      <c r="DW3" t="s">
        <v>132</v>
      </c>
      <c r="DX3" t="s">
        <v>133</v>
      </c>
      <c r="DY3" t="s">
        <v>134</v>
      </c>
      <c r="DZ3" t="s">
        <v>135</v>
      </c>
      <c r="EA3" t="s">
        <v>136</v>
      </c>
      <c r="EC3" t="s">
        <v>137</v>
      </c>
      <c r="ED3" t="s">
        <v>138</v>
      </c>
      <c r="EF3" t="s">
        <v>139</v>
      </c>
      <c r="EG3" t="s">
        <v>140</v>
      </c>
      <c r="EH3" t="s">
        <v>141</v>
      </c>
      <c r="EK3" t="s">
        <v>161</v>
      </c>
      <c r="EL3" t="s">
        <v>162</v>
      </c>
      <c r="EM3" t="s">
        <v>163</v>
      </c>
      <c r="EN3" t="s">
        <v>164</v>
      </c>
      <c r="EO3" t="s">
        <v>165</v>
      </c>
      <c r="EP3" t="s">
        <v>166</v>
      </c>
      <c r="EQ3" t="s">
        <v>167</v>
      </c>
      <c r="ER3" t="s">
        <v>168</v>
      </c>
      <c r="ES3" t="s">
        <v>169</v>
      </c>
      <c r="EU3" t="s">
        <v>115</v>
      </c>
      <c r="EV3" t="s">
        <v>170</v>
      </c>
      <c r="EW3" t="s">
        <v>171</v>
      </c>
      <c r="EX3" t="s">
        <v>172</v>
      </c>
      <c r="EY3" t="s">
        <v>173</v>
      </c>
      <c r="EZ3" t="s">
        <v>174</v>
      </c>
      <c r="FB3" t="s">
        <v>175</v>
      </c>
      <c r="FC3" t="s">
        <v>176</v>
      </c>
      <c r="FD3" t="s">
        <v>177</v>
      </c>
      <c r="FE3" t="s">
        <v>178</v>
      </c>
      <c r="FF3" t="s">
        <v>179</v>
      </c>
      <c r="FG3" t="s">
        <v>180</v>
      </c>
      <c r="FH3" t="s">
        <v>181</v>
      </c>
      <c r="FJ3" t="s">
        <v>182</v>
      </c>
      <c r="FK3" t="s">
        <v>183</v>
      </c>
      <c r="FL3" t="s">
        <v>184</v>
      </c>
      <c r="FM3" t="s">
        <v>185</v>
      </c>
      <c r="FN3" t="s">
        <v>186</v>
      </c>
      <c r="FO3" t="s">
        <v>187</v>
      </c>
      <c r="FP3" t="s">
        <v>188</v>
      </c>
      <c r="FR3" t="s">
        <v>189</v>
      </c>
      <c r="FS3" t="s">
        <v>190</v>
      </c>
      <c r="FT3" t="s">
        <v>191</v>
      </c>
      <c r="FU3" t="s">
        <v>192</v>
      </c>
      <c r="FV3" t="s">
        <v>193</v>
      </c>
      <c r="FW3" t="s">
        <v>194</v>
      </c>
      <c r="FX3" t="s">
        <v>195</v>
      </c>
      <c r="FY3" t="s">
        <v>196</v>
      </c>
      <c r="GA3" t="s">
        <v>197</v>
      </c>
      <c r="GB3" t="s">
        <v>198</v>
      </c>
      <c r="GC3" t="s">
        <v>199</v>
      </c>
      <c r="GD3" t="s">
        <v>200</v>
      </c>
      <c r="GE3" t="s">
        <v>201</v>
      </c>
      <c r="GF3" t="s">
        <v>202</v>
      </c>
      <c r="GG3" t="s">
        <v>203</v>
      </c>
      <c r="GI3" t="s">
        <v>204</v>
      </c>
      <c r="GJ3" t="s">
        <v>205</v>
      </c>
      <c r="GK3" t="s">
        <v>206</v>
      </c>
      <c r="GL3" t="s">
        <v>207</v>
      </c>
      <c r="GM3" t="s">
        <v>208</v>
      </c>
      <c r="GN3" t="s">
        <v>122</v>
      </c>
      <c r="GP3" t="s">
        <v>209</v>
      </c>
      <c r="GQ3" t="s">
        <v>210</v>
      </c>
      <c r="GR3" t="s">
        <v>211</v>
      </c>
      <c r="GS3" t="s">
        <v>212</v>
      </c>
      <c r="GT3" t="s">
        <v>213</v>
      </c>
      <c r="GU3" t="s">
        <v>214</v>
      </c>
      <c r="GV3" t="s">
        <v>215</v>
      </c>
      <c r="GW3" t="s">
        <v>216</v>
      </c>
      <c r="GY3" t="s">
        <v>217</v>
      </c>
      <c r="GZ3" t="s">
        <v>218</v>
      </c>
      <c r="HA3" t="s">
        <v>219</v>
      </c>
      <c r="HB3" t="s">
        <v>220</v>
      </c>
      <c r="HC3" t="s">
        <v>221</v>
      </c>
      <c r="HE3" t="s">
        <v>222</v>
      </c>
      <c r="HF3" t="s">
        <v>223</v>
      </c>
      <c r="HG3" t="s">
        <v>224</v>
      </c>
      <c r="HH3" t="s">
        <v>225</v>
      </c>
      <c r="HI3" t="s">
        <v>226</v>
      </c>
      <c r="HJ3" t="s">
        <v>227</v>
      </c>
      <c r="HK3" t="s">
        <v>228</v>
      </c>
      <c r="HL3" t="s">
        <v>229</v>
      </c>
      <c r="HM3" t="s">
        <v>230</v>
      </c>
      <c r="HN3" t="s">
        <v>231</v>
      </c>
      <c r="HP3" t="s">
        <v>232</v>
      </c>
      <c r="HQ3" t="s">
        <v>233</v>
      </c>
      <c r="HR3" t="s">
        <v>234</v>
      </c>
      <c r="HS3" t="s">
        <v>235</v>
      </c>
      <c r="HT3" t="s">
        <v>236</v>
      </c>
      <c r="HU3" t="s">
        <v>237</v>
      </c>
      <c r="HY3" t="s">
        <v>264</v>
      </c>
      <c r="HZ3" t="s">
        <v>265</v>
      </c>
      <c r="IA3" t="s">
        <v>266</v>
      </c>
      <c r="IB3" t="s">
        <v>267</v>
      </c>
      <c r="IC3" t="s">
        <v>268</v>
      </c>
      <c r="ID3" t="s">
        <v>269</v>
      </c>
      <c r="IE3" t="s">
        <v>270</v>
      </c>
      <c r="IF3" t="s">
        <v>271</v>
      </c>
      <c r="IG3" t="s">
        <v>272</v>
      </c>
      <c r="II3" t="s">
        <v>273</v>
      </c>
      <c r="IJ3" t="s">
        <v>274</v>
      </c>
      <c r="IK3" t="s">
        <v>196</v>
      </c>
      <c r="IM3" t="s">
        <v>275</v>
      </c>
      <c r="IN3" t="s">
        <v>276</v>
      </c>
      <c r="IO3" t="s">
        <v>277</v>
      </c>
      <c r="IP3" t="s">
        <v>278</v>
      </c>
      <c r="IQ3" t="s">
        <v>279</v>
      </c>
      <c r="IS3" t="s">
        <v>280</v>
      </c>
      <c r="IT3" t="s">
        <v>281</v>
      </c>
      <c r="IU3" t="s">
        <v>282</v>
      </c>
      <c r="IV3" t="s">
        <v>283</v>
      </c>
      <c r="IX3" t="s">
        <v>284</v>
      </c>
      <c r="IY3" t="s">
        <v>285</v>
      </c>
      <c r="IZ3" t="s">
        <v>286</v>
      </c>
      <c r="JA3" t="s">
        <v>287</v>
      </c>
      <c r="JB3" t="s">
        <v>288</v>
      </c>
      <c r="JC3" t="s">
        <v>289</v>
      </c>
      <c r="JD3" t="s">
        <v>290</v>
      </c>
      <c r="JF3" t="s">
        <v>291</v>
      </c>
      <c r="JG3" t="s">
        <v>292</v>
      </c>
      <c r="JH3" t="s">
        <v>293</v>
      </c>
      <c r="JI3" t="s">
        <v>294</v>
      </c>
      <c r="JJ3" t="s">
        <v>295</v>
      </c>
      <c r="JK3" t="s">
        <v>296</v>
      </c>
      <c r="JL3" t="s">
        <v>297</v>
      </c>
      <c r="JN3" t="s">
        <v>298</v>
      </c>
      <c r="JO3" t="s">
        <v>299</v>
      </c>
      <c r="JP3" t="s">
        <v>168</v>
      </c>
      <c r="JQ3" t="s">
        <v>300</v>
      </c>
      <c r="JR3" t="s">
        <v>301</v>
      </c>
      <c r="JT3" t="s">
        <v>302</v>
      </c>
      <c r="JU3" t="s">
        <v>303</v>
      </c>
      <c r="JV3" t="s">
        <v>304</v>
      </c>
      <c r="JW3" t="s">
        <v>305</v>
      </c>
      <c r="JX3" t="s">
        <v>306</v>
      </c>
      <c r="JY3" t="s">
        <v>307</v>
      </c>
      <c r="KA3" t="s">
        <v>308</v>
      </c>
      <c r="KB3" t="s">
        <v>309</v>
      </c>
      <c r="KC3" t="s">
        <v>310</v>
      </c>
      <c r="KD3" t="s">
        <v>311</v>
      </c>
      <c r="KE3" t="s">
        <v>312</v>
      </c>
      <c r="KF3" t="s">
        <v>227</v>
      </c>
      <c r="KG3" t="s">
        <v>313</v>
      </c>
      <c r="KH3" t="s">
        <v>314</v>
      </c>
      <c r="KI3" t="s">
        <v>315</v>
      </c>
      <c r="KJ3" t="s">
        <v>316</v>
      </c>
      <c r="KL3" t="s">
        <v>317</v>
      </c>
      <c r="KM3" t="s">
        <v>318</v>
      </c>
      <c r="KN3" t="s">
        <v>319</v>
      </c>
      <c r="KO3" t="s">
        <v>320</v>
      </c>
      <c r="KQ3" t="s">
        <v>321</v>
      </c>
      <c r="KR3" t="s">
        <v>322</v>
      </c>
      <c r="KS3" t="s">
        <v>323</v>
      </c>
      <c r="KT3" t="s">
        <v>324</v>
      </c>
      <c r="KU3" t="s">
        <v>325</v>
      </c>
      <c r="KW3" t="s">
        <v>326</v>
      </c>
      <c r="KX3" t="s">
        <v>327</v>
      </c>
      <c r="KY3" t="s">
        <v>328</v>
      </c>
      <c r="KZ3" t="s">
        <v>329</v>
      </c>
      <c r="LA3" t="s">
        <v>330</v>
      </c>
      <c r="LB3" t="s">
        <v>331</v>
      </c>
      <c r="LC3" t="s">
        <v>332</v>
      </c>
      <c r="LD3" t="s">
        <v>333</v>
      </c>
      <c r="LE3" t="s">
        <v>334</v>
      </c>
      <c r="LF3" t="s">
        <v>335</v>
      </c>
      <c r="LH3" t="s">
        <v>336</v>
      </c>
      <c r="LI3" t="s">
        <v>337</v>
      </c>
      <c r="LK3" t="s">
        <v>338</v>
      </c>
      <c r="LL3" t="s">
        <v>339</v>
      </c>
      <c r="LM3" t="s">
        <v>340</v>
      </c>
      <c r="LN3" t="s">
        <v>341</v>
      </c>
      <c r="LQ3" t="s">
        <v>351</v>
      </c>
      <c r="LR3" t="s">
        <v>352</v>
      </c>
      <c r="LS3" t="s">
        <v>353</v>
      </c>
      <c r="LT3" t="s">
        <v>354</v>
      </c>
      <c r="LV3" t="s">
        <v>355</v>
      </c>
      <c r="LW3" t="s">
        <v>356</v>
      </c>
      <c r="LX3" t="s">
        <v>357</v>
      </c>
      <c r="LY3" t="s">
        <v>358</v>
      </c>
      <c r="LZ3" t="s">
        <v>359</v>
      </c>
      <c r="MA3" t="s">
        <v>360</v>
      </c>
      <c r="MB3" t="s">
        <v>361</v>
      </c>
      <c r="MC3" t="s">
        <v>362</v>
      </c>
    </row>
    <row r="4" spans="1:343">
      <c r="B4" t="s">
        <v>0</v>
      </c>
      <c r="C4" t="s">
        <v>1</v>
      </c>
      <c r="D4" t="s">
        <v>11</v>
      </c>
      <c r="E4" t="s">
        <v>12</v>
      </c>
      <c r="F4" t="s">
        <v>13</v>
      </c>
      <c r="G4" t="s">
        <v>14</v>
      </c>
      <c r="H4" t="s">
        <v>15</v>
      </c>
      <c r="I4" t="s">
        <v>16</v>
      </c>
      <c r="J4" t="s">
        <v>17</v>
      </c>
      <c r="K4" t="s">
        <v>2</v>
      </c>
      <c r="L4" t="s">
        <v>18</v>
      </c>
      <c r="M4" t="s">
        <v>19</v>
      </c>
      <c r="N4" t="s">
        <v>20</v>
      </c>
      <c r="O4" t="s">
        <v>21</v>
      </c>
      <c r="P4" t="s">
        <v>22</v>
      </c>
      <c r="Q4" t="s">
        <v>23</v>
      </c>
      <c r="R4" t="s">
        <v>3</v>
      </c>
      <c r="S4" t="s">
        <v>24</v>
      </c>
      <c r="T4" t="s">
        <v>25</v>
      </c>
      <c r="U4" t="s">
        <v>4</v>
      </c>
      <c r="V4" t="s">
        <v>26</v>
      </c>
      <c r="W4" t="s">
        <v>27</v>
      </c>
      <c r="X4" t="s">
        <v>60</v>
      </c>
      <c r="Y4" t="s">
        <v>29</v>
      </c>
      <c r="Z4" t="s">
        <v>30</v>
      </c>
      <c r="AA4" t="s">
        <v>31</v>
      </c>
      <c r="AB4" t="s">
        <v>32</v>
      </c>
      <c r="AC4" t="s">
        <v>33</v>
      </c>
      <c r="AD4" t="s">
        <v>5</v>
      </c>
      <c r="AE4" t="s">
        <v>34</v>
      </c>
      <c r="AF4" t="s">
        <v>35</v>
      </c>
      <c r="AG4" t="s">
        <v>6</v>
      </c>
      <c r="AH4" t="s">
        <v>7</v>
      </c>
      <c r="AI4" t="s">
        <v>36</v>
      </c>
      <c r="AJ4" t="s">
        <v>37</v>
      </c>
      <c r="AK4" t="s">
        <v>38</v>
      </c>
      <c r="AL4" t="s">
        <v>39</v>
      </c>
      <c r="AM4" t="s">
        <v>40</v>
      </c>
      <c r="AN4" t="s">
        <v>41</v>
      </c>
      <c r="AO4" t="s">
        <v>42</v>
      </c>
      <c r="AP4" t="s">
        <v>43</v>
      </c>
      <c r="AQ4" t="s">
        <v>44</v>
      </c>
      <c r="AR4" t="s">
        <v>45</v>
      </c>
      <c r="AS4" t="s">
        <v>46</v>
      </c>
      <c r="AT4" t="s">
        <v>8</v>
      </c>
      <c r="AU4" t="s">
        <v>47</v>
      </c>
      <c r="AV4" t="s">
        <v>48</v>
      </c>
      <c r="AW4" t="s">
        <v>49</v>
      </c>
      <c r="AX4" t="s">
        <v>50</v>
      </c>
      <c r="AY4" t="s">
        <v>51</v>
      </c>
      <c r="AZ4" t="s">
        <v>52</v>
      </c>
      <c r="BA4" t="s">
        <v>53</v>
      </c>
      <c r="BB4" t="s">
        <v>54</v>
      </c>
      <c r="BC4" t="s">
        <v>9</v>
      </c>
      <c r="BD4" t="s">
        <v>55</v>
      </c>
      <c r="BE4" t="s">
        <v>56</v>
      </c>
      <c r="BF4" t="s">
        <v>57</v>
      </c>
      <c r="BG4" t="s">
        <v>58</v>
      </c>
      <c r="BH4" t="s">
        <v>59</v>
      </c>
      <c r="BI4" t="s">
        <v>61</v>
      </c>
      <c r="BJ4" t="s">
        <v>62</v>
      </c>
      <c r="BK4" t="s">
        <v>76</v>
      </c>
      <c r="BL4" t="s">
        <v>77</v>
      </c>
      <c r="BM4" t="s">
        <v>78</v>
      </c>
      <c r="BN4" t="s">
        <v>79</v>
      </c>
      <c r="BO4" t="s">
        <v>80</v>
      </c>
      <c r="BP4" t="s">
        <v>81</v>
      </c>
      <c r="BQ4" t="s">
        <v>63</v>
      </c>
      <c r="BR4" t="s">
        <v>82</v>
      </c>
      <c r="BS4" t="s">
        <v>83</v>
      </c>
      <c r="BT4" t="s">
        <v>84</v>
      </c>
      <c r="BU4" t="s">
        <v>85</v>
      </c>
      <c r="BV4" t="s">
        <v>86</v>
      </c>
      <c r="BW4" t="s">
        <v>87</v>
      </c>
      <c r="BX4" t="s">
        <v>88</v>
      </c>
      <c r="BY4" t="s">
        <v>89</v>
      </c>
      <c r="BZ4" t="s">
        <v>65</v>
      </c>
      <c r="CA4" t="s">
        <v>90</v>
      </c>
      <c r="CB4" t="s">
        <v>91</v>
      </c>
      <c r="CC4" t="s">
        <v>92</v>
      </c>
      <c r="CD4" t="s">
        <v>93</v>
      </c>
      <c r="CE4" t="s">
        <v>94</v>
      </c>
      <c r="CF4" t="s">
        <v>95</v>
      </c>
      <c r="CG4" t="s">
        <v>96</v>
      </c>
      <c r="CH4" t="s">
        <v>97</v>
      </c>
      <c r="CI4" t="s">
        <v>142</v>
      </c>
      <c r="CJ4" t="s">
        <v>99</v>
      </c>
      <c r="CK4" t="s">
        <v>100</v>
      </c>
      <c r="CL4" t="s">
        <v>67</v>
      </c>
      <c r="CM4" t="s">
        <v>101</v>
      </c>
      <c r="CN4" t="s">
        <v>102</v>
      </c>
      <c r="CO4" t="s">
        <v>103</v>
      </c>
      <c r="CP4" t="s">
        <v>143</v>
      </c>
      <c r="CQ4" t="s">
        <v>105</v>
      </c>
      <c r="CR4" t="s">
        <v>106</v>
      </c>
      <c r="CS4" t="s">
        <v>107</v>
      </c>
      <c r="CT4" t="s">
        <v>68</v>
      </c>
      <c r="CU4" t="s">
        <v>108</v>
      </c>
      <c r="CV4" t="s">
        <v>109</v>
      </c>
      <c r="CW4" t="s">
        <v>110</v>
      </c>
      <c r="CX4" t="s">
        <v>69</v>
      </c>
      <c r="CY4" t="s">
        <v>111</v>
      </c>
      <c r="CZ4" t="s">
        <v>112</v>
      </c>
      <c r="DA4" t="s">
        <v>113</v>
      </c>
      <c r="DB4" t="s">
        <v>144</v>
      </c>
      <c r="DC4" t="s">
        <v>115</v>
      </c>
      <c r="DD4" t="s">
        <v>116</v>
      </c>
      <c r="DE4" t="s">
        <v>70</v>
      </c>
      <c r="DF4" t="s">
        <v>117</v>
      </c>
      <c r="DG4" t="s">
        <v>118</v>
      </c>
      <c r="DH4" t="s">
        <v>119</v>
      </c>
      <c r="DI4" t="s">
        <v>120</v>
      </c>
      <c r="DJ4" t="s">
        <v>121</v>
      </c>
      <c r="DK4" t="s">
        <v>122</v>
      </c>
      <c r="DL4" t="s">
        <v>71</v>
      </c>
      <c r="DM4" t="s">
        <v>145</v>
      </c>
      <c r="DN4" t="s">
        <v>124</v>
      </c>
      <c r="DO4" t="s">
        <v>125</v>
      </c>
      <c r="DP4" t="s">
        <v>146</v>
      </c>
      <c r="DQ4" t="s">
        <v>127</v>
      </c>
      <c r="DR4" t="s">
        <v>128</v>
      </c>
      <c r="DS4" t="s">
        <v>72</v>
      </c>
      <c r="DT4" t="s">
        <v>129</v>
      </c>
      <c r="DU4" t="s">
        <v>130</v>
      </c>
      <c r="DV4" t="s">
        <v>131</v>
      </c>
      <c r="DW4" t="s">
        <v>132</v>
      </c>
      <c r="DX4" t="s">
        <v>133</v>
      </c>
      <c r="DY4" t="s">
        <v>134</v>
      </c>
      <c r="DZ4" t="s">
        <v>135</v>
      </c>
      <c r="EA4" t="s">
        <v>136</v>
      </c>
      <c r="EB4" t="s">
        <v>147</v>
      </c>
      <c r="EC4" t="s">
        <v>137</v>
      </c>
      <c r="ED4" t="s">
        <v>138</v>
      </c>
      <c r="EE4" t="s">
        <v>74</v>
      </c>
      <c r="EF4" t="s">
        <v>139</v>
      </c>
      <c r="EG4" t="s">
        <v>140</v>
      </c>
      <c r="EH4" t="s">
        <v>141</v>
      </c>
      <c r="EI4" t="s">
        <v>148</v>
      </c>
      <c r="EJ4" t="s">
        <v>149</v>
      </c>
      <c r="EK4" t="s">
        <v>161</v>
      </c>
      <c r="EL4" t="s">
        <v>162</v>
      </c>
      <c r="EM4" t="s">
        <v>238</v>
      </c>
      <c r="EN4" t="s">
        <v>164</v>
      </c>
      <c r="EO4" t="s">
        <v>165</v>
      </c>
      <c r="EP4" t="s">
        <v>166</v>
      </c>
      <c r="EQ4" t="s">
        <v>167</v>
      </c>
      <c r="ER4" t="s">
        <v>239</v>
      </c>
      <c r="ES4" t="s">
        <v>169</v>
      </c>
      <c r="ET4" t="s">
        <v>150</v>
      </c>
      <c r="EU4" t="s">
        <v>115</v>
      </c>
      <c r="EV4" t="s">
        <v>170</v>
      </c>
      <c r="EW4" t="s">
        <v>171</v>
      </c>
      <c r="EX4" t="s">
        <v>172</v>
      </c>
      <c r="EY4" t="s">
        <v>173</v>
      </c>
      <c r="EZ4" t="s">
        <v>174</v>
      </c>
      <c r="FA4" t="s">
        <v>151</v>
      </c>
      <c r="FB4" t="s">
        <v>175</v>
      </c>
      <c r="FC4" t="s">
        <v>176</v>
      </c>
      <c r="FD4" t="s">
        <v>177</v>
      </c>
      <c r="FE4" t="s">
        <v>240</v>
      </c>
      <c r="FF4" t="s">
        <v>179</v>
      </c>
      <c r="FG4" t="s">
        <v>180</v>
      </c>
      <c r="FH4" t="s">
        <v>181</v>
      </c>
      <c r="FI4" t="s">
        <v>152</v>
      </c>
      <c r="FJ4" t="s">
        <v>182</v>
      </c>
      <c r="FK4" t="s">
        <v>241</v>
      </c>
      <c r="FL4" t="s">
        <v>184</v>
      </c>
      <c r="FM4" t="s">
        <v>185</v>
      </c>
      <c r="FN4" t="s">
        <v>186</v>
      </c>
      <c r="FO4" t="s">
        <v>242</v>
      </c>
      <c r="FP4" t="s">
        <v>188</v>
      </c>
      <c r="FQ4" t="s">
        <v>153</v>
      </c>
      <c r="FR4" t="s">
        <v>189</v>
      </c>
      <c r="FS4" t="s">
        <v>190</v>
      </c>
      <c r="FT4" t="s">
        <v>191</v>
      </c>
      <c r="FU4" t="s">
        <v>192</v>
      </c>
      <c r="FV4" t="s">
        <v>193</v>
      </c>
      <c r="FW4" t="s">
        <v>194</v>
      </c>
      <c r="FX4" t="s">
        <v>243</v>
      </c>
      <c r="FY4" t="s">
        <v>196</v>
      </c>
      <c r="FZ4" t="s">
        <v>154</v>
      </c>
      <c r="GA4" t="s">
        <v>244</v>
      </c>
      <c r="GB4" t="s">
        <v>245</v>
      </c>
      <c r="GC4" t="s">
        <v>199</v>
      </c>
      <c r="GD4" t="s">
        <v>246</v>
      </c>
      <c r="GE4" t="s">
        <v>201</v>
      </c>
      <c r="GF4" t="s">
        <v>202</v>
      </c>
      <c r="GG4" t="s">
        <v>203</v>
      </c>
      <c r="GH4" t="s">
        <v>155</v>
      </c>
      <c r="GI4" t="s">
        <v>204</v>
      </c>
      <c r="GJ4" t="s">
        <v>205</v>
      </c>
      <c r="GK4" t="s">
        <v>206</v>
      </c>
      <c r="GL4" t="s">
        <v>207</v>
      </c>
      <c r="GM4" t="s">
        <v>208</v>
      </c>
      <c r="GN4" t="s">
        <v>247</v>
      </c>
      <c r="GO4" t="s">
        <v>156</v>
      </c>
      <c r="GP4" t="s">
        <v>209</v>
      </c>
      <c r="GQ4" t="s">
        <v>210</v>
      </c>
      <c r="GR4" t="s">
        <v>211</v>
      </c>
      <c r="GS4" t="s">
        <v>212</v>
      </c>
      <c r="GT4" t="s">
        <v>213</v>
      </c>
      <c r="GU4" t="s">
        <v>214</v>
      </c>
      <c r="GV4" t="s">
        <v>215</v>
      </c>
      <c r="GW4" t="s">
        <v>216</v>
      </c>
      <c r="GX4" t="s">
        <v>157</v>
      </c>
      <c r="GY4" t="s">
        <v>217</v>
      </c>
      <c r="GZ4" t="s">
        <v>218</v>
      </c>
      <c r="HA4" t="s">
        <v>219</v>
      </c>
      <c r="HB4" t="s">
        <v>220</v>
      </c>
      <c r="HC4" t="s">
        <v>221</v>
      </c>
      <c r="HD4" t="s">
        <v>158</v>
      </c>
      <c r="HE4" t="s">
        <v>222</v>
      </c>
      <c r="HF4" t="s">
        <v>223</v>
      </c>
      <c r="HG4" t="s">
        <v>248</v>
      </c>
      <c r="HH4" t="s">
        <v>225</v>
      </c>
      <c r="HI4" t="s">
        <v>226</v>
      </c>
      <c r="HJ4" t="s">
        <v>227</v>
      </c>
      <c r="HK4" t="s">
        <v>228</v>
      </c>
      <c r="HL4" t="s">
        <v>229</v>
      </c>
      <c r="HM4" t="s">
        <v>230</v>
      </c>
      <c r="HN4" t="s">
        <v>231</v>
      </c>
      <c r="HO4" t="s">
        <v>159</v>
      </c>
      <c r="HP4" t="s">
        <v>232</v>
      </c>
      <c r="HQ4" t="s">
        <v>233</v>
      </c>
      <c r="HR4" t="s">
        <v>234</v>
      </c>
      <c r="HS4" t="s">
        <v>235</v>
      </c>
      <c r="HT4" t="s">
        <v>236</v>
      </c>
      <c r="HU4" t="s">
        <v>237</v>
      </c>
      <c r="HV4" t="s">
        <v>160</v>
      </c>
      <c r="HW4" t="s">
        <v>249</v>
      </c>
      <c r="HX4" t="s">
        <v>250</v>
      </c>
      <c r="HY4" t="s">
        <v>264</v>
      </c>
      <c r="HZ4" t="s">
        <v>265</v>
      </c>
      <c r="IA4" t="s">
        <v>266</v>
      </c>
      <c r="IB4" t="s">
        <v>267</v>
      </c>
      <c r="IC4" t="s">
        <v>268</v>
      </c>
      <c r="ID4" t="s">
        <v>269</v>
      </c>
      <c r="IE4" t="s">
        <v>270</v>
      </c>
      <c r="IF4" t="s">
        <v>271</v>
      </c>
      <c r="IG4" t="s">
        <v>272</v>
      </c>
      <c r="IH4" t="s">
        <v>251</v>
      </c>
      <c r="II4" t="s">
        <v>273</v>
      </c>
      <c r="IJ4" t="s">
        <v>274</v>
      </c>
      <c r="IK4" t="s">
        <v>342</v>
      </c>
      <c r="IL4" t="s">
        <v>252</v>
      </c>
      <c r="IM4" t="s">
        <v>275</v>
      </c>
      <c r="IN4" t="s">
        <v>276</v>
      </c>
      <c r="IO4" t="s">
        <v>277</v>
      </c>
      <c r="IP4" t="s">
        <v>278</v>
      </c>
      <c r="IQ4" t="s">
        <v>279</v>
      </c>
      <c r="IR4" t="s">
        <v>253</v>
      </c>
      <c r="IS4" t="s">
        <v>343</v>
      </c>
      <c r="IT4" t="s">
        <v>281</v>
      </c>
      <c r="IU4" t="s">
        <v>282</v>
      </c>
      <c r="IV4" t="s">
        <v>283</v>
      </c>
      <c r="IW4" t="s">
        <v>254</v>
      </c>
      <c r="IX4" t="s">
        <v>344</v>
      </c>
      <c r="IY4" t="s">
        <v>285</v>
      </c>
      <c r="IZ4" t="s">
        <v>286</v>
      </c>
      <c r="JA4" t="s">
        <v>287</v>
      </c>
      <c r="JB4" t="s">
        <v>288</v>
      </c>
      <c r="JC4" t="s">
        <v>289</v>
      </c>
      <c r="JD4" t="s">
        <v>290</v>
      </c>
      <c r="JE4" t="s">
        <v>255</v>
      </c>
      <c r="JF4" t="s">
        <v>291</v>
      </c>
      <c r="JG4" t="s">
        <v>292</v>
      </c>
      <c r="JH4" t="s">
        <v>293</v>
      </c>
      <c r="JI4" t="s">
        <v>294</v>
      </c>
      <c r="JJ4" t="s">
        <v>345</v>
      </c>
      <c r="JK4" t="s">
        <v>296</v>
      </c>
      <c r="JL4" t="s">
        <v>346</v>
      </c>
      <c r="JM4" t="s">
        <v>256</v>
      </c>
      <c r="JN4" t="s">
        <v>298</v>
      </c>
      <c r="JO4" t="s">
        <v>299</v>
      </c>
      <c r="JP4" t="s">
        <v>168</v>
      </c>
      <c r="JQ4" t="s">
        <v>300</v>
      </c>
      <c r="JR4" t="s">
        <v>301</v>
      </c>
      <c r="JS4" t="s">
        <v>257</v>
      </c>
      <c r="JT4" t="s">
        <v>302</v>
      </c>
      <c r="JU4" t="s">
        <v>303</v>
      </c>
      <c r="JV4" t="s">
        <v>304</v>
      </c>
      <c r="JW4" t="s">
        <v>305</v>
      </c>
      <c r="JX4" t="s">
        <v>306</v>
      </c>
      <c r="JY4" t="s">
        <v>307</v>
      </c>
      <c r="JZ4" t="s">
        <v>258</v>
      </c>
      <c r="KA4" t="s">
        <v>308</v>
      </c>
      <c r="KB4" t="s">
        <v>309</v>
      </c>
      <c r="KC4" t="s">
        <v>310</v>
      </c>
      <c r="KD4" t="s">
        <v>311</v>
      </c>
      <c r="KE4" t="s">
        <v>312</v>
      </c>
      <c r="KF4" t="s">
        <v>227</v>
      </c>
      <c r="KG4" t="s">
        <v>313</v>
      </c>
      <c r="KH4" t="s">
        <v>314</v>
      </c>
      <c r="KI4" t="s">
        <v>315</v>
      </c>
      <c r="KJ4" t="s">
        <v>316</v>
      </c>
      <c r="KK4" t="s">
        <v>259</v>
      </c>
      <c r="KL4" t="s">
        <v>317</v>
      </c>
      <c r="KM4" t="s">
        <v>318</v>
      </c>
      <c r="KN4" t="s">
        <v>319</v>
      </c>
      <c r="KO4" t="s">
        <v>320</v>
      </c>
      <c r="KP4" t="s">
        <v>260</v>
      </c>
      <c r="KQ4" t="s">
        <v>321</v>
      </c>
      <c r="KR4" t="s">
        <v>322</v>
      </c>
      <c r="KS4" t="s">
        <v>323</v>
      </c>
      <c r="KT4" t="s">
        <v>324</v>
      </c>
      <c r="KU4" t="s">
        <v>325</v>
      </c>
      <c r="KV4" t="s">
        <v>261</v>
      </c>
      <c r="KW4" t="s">
        <v>326</v>
      </c>
      <c r="KX4" t="s">
        <v>347</v>
      </c>
      <c r="KY4" t="s">
        <v>328</v>
      </c>
      <c r="KZ4" t="s">
        <v>329</v>
      </c>
      <c r="LA4" t="s">
        <v>330</v>
      </c>
      <c r="LB4" t="s">
        <v>331</v>
      </c>
      <c r="LC4" t="s">
        <v>332</v>
      </c>
      <c r="LD4" t="s">
        <v>333</v>
      </c>
      <c r="LE4" t="s">
        <v>334</v>
      </c>
      <c r="LF4" t="s">
        <v>335</v>
      </c>
      <c r="LG4" t="s">
        <v>262</v>
      </c>
      <c r="LH4" t="s">
        <v>336</v>
      </c>
      <c r="LI4" t="s">
        <v>337</v>
      </c>
      <c r="LJ4" t="s">
        <v>263</v>
      </c>
      <c r="LK4" t="s">
        <v>338</v>
      </c>
      <c r="LL4" t="s">
        <v>339</v>
      </c>
      <c r="LM4" t="s">
        <v>340</v>
      </c>
      <c r="LN4" t="s">
        <v>341</v>
      </c>
      <c r="LO4" t="s">
        <v>348</v>
      </c>
      <c r="LP4" t="s">
        <v>349</v>
      </c>
      <c r="LQ4" t="s">
        <v>351</v>
      </c>
      <c r="LR4" t="s">
        <v>352</v>
      </c>
      <c r="LS4" t="s">
        <v>353</v>
      </c>
      <c r="LT4" t="s">
        <v>354</v>
      </c>
      <c r="LU4" t="s">
        <v>350</v>
      </c>
      <c r="LV4" t="s">
        <v>355</v>
      </c>
      <c r="LW4" t="s">
        <v>356</v>
      </c>
      <c r="LX4" t="s">
        <v>357</v>
      </c>
      <c r="LY4" t="s">
        <v>358</v>
      </c>
      <c r="LZ4" t="s">
        <v>359</v>
      </c>
      <c r="MA4" t="s">
        <v>360</v>
      </c>
      <c r="MB4" t="s">
        <v>361</v>
      </c>
      <c r="MC4" t="s">
        <v>362</v>
      </c>
    </row>
    <row r="5" spans="1:343">
      <c r="A5" s="1">
        <v>1368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4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4"/>
      <c r="HX5" s="2"/>
      <c r="HY5" s="2"/>
      <c r="HZ5" s="2"/>
      <c r="IA5" s="2"/>
      <c r="IB5" s="2"/>
      <c r="IC5" s="2"/>
      <c r="ID5" s="2"/>
      <c r="IE5" s="15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15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15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</row>
    <row r="6" spans="1:343">
      <c r="A6" s="1">
        <v>1369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4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4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16"/>
      <c r="IY6" s="2"/>
      <c r="IZ6" s="15"/>
      <c r="JA6" s="2"/>
      <c r="JB6" s="2"/>
      <c r="JC6" s="2"/>
      <c r="JD6" s="2"/>
      <c r="JE6" s="2"/>
      <c r="JF6" s="2"/>
      <c r="JG6" s="2"/>
      <c r="JH6" s="2"/>
      <c r="JI6" s="2"/>
      <c r="JJ6" s="15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</row>
    <row r="7" spans="1:343">
      <c r="A7" s="1">
        <v>1370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4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4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</row>
    <row r="8" spans="1:343">
      <c r="A8" s="1">
        <v>1371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4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4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</row>
    <row r="9" spans="1:343">
      <c r="A9" s="1">
        <v>1372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4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4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</row>
    <row r="10" spans="1:343">
      <c r="A10" s="1">
        <v>1373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4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4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</row>
    <row r="11" spans="1:343">
      <c r="A11" s="1">
        <v>1374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4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4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</row>
    <row r="12" spans="1:343">
      <c r="A12" s="1">
        <v>1375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4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4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</row>
    <row r="13" spans="1:343">
      <c r="A13" s="1">
        <v>1376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>
        <v>390364</v>
      </c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4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4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</row>
    <row r="14" spans="1:343">
      <c r="A14" s="1">
        <v>1377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4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4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15"/>
      <c r="LI14" s="2"/>
      <c r="LJ14" s="2"/>
      <c r="LK14" s="2"/>
      <c r="LL14" s="2"/>
      <c r="LM14" s="2"/>
      <c r="LN14" s="2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</row>
    <row r="15" spans="1:343">
      <c r="A15" s="1">
        <v>1378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4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4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</row>
    <row r="16" spans="1:343">
      <c r="A16" s="1">
        <v>1379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4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4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</row>
    <row r="17" spans="1:343">
      <c r="A17" s="1">
        <v>1380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4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4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15"/>
      <c r="IJ17" s="2"/>
      <c r="IK17" s="15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15"/>
      <c r="LM17" s="2"/>
      <c r="LN17" s="2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</row>
    <row r="18" spans="1:343">
      <c r="A18" s="1">
        <v>1381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4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4"/>
      <c r="HX18" s="2">
        <v>804848</v>
      </c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</row>
    <row r="19" spans="1:343">
      <c r="A19" s="1">
        <v>1382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4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15"/>
      <c r="LI19" s="2"/>
      <c r="LJ19" s="2"/>
      <c r="LK19" s="2"/>
      <c r="LL19" s="2"/>
      <c r="LM19" s="2"/>
      <c r="LN19" s="2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</row>
    <row r="20" spans="1:343">
      <c r="A20" s="1">
        <v>1383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4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4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</row>
    <row r="21" spans="1:343">
      <c r="A21" s="1">
        <v>1384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4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4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</row>
    <row r="22" spans="1:343">
      <c r="A22" s="1">
        <v>1385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4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4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</row>
    <row r="23" spans="1:343">
      <c r="A23" s="1">
        <v>1386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4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4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</row>
    <row r="24" spans="1:343">
      <c r="A24" s="1">
        <v>1387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4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4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15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</row>
    <row r="25" spans="1:343">
      <c r="A25" s="1">
        <v>1388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4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4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</row>
    <row r="26" spans="1:343">
      <c r="A26" s="1">
        <v>1389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4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4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15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</row>
    <row r="27" spans="1:343">
      <c r="A27" s="1">
        <v>1390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4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4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</row>
    <row r="28" spans="1:343">
      <c r="A28" s="1">
        <v>1391</v>
      </c>
      <c r="B28" s="1">
        <v>7364007.9000000004</v>
      </c>
      <c r="C28" s="1">
        <v>2106580.2000000002</v>
      </c>
      <c r="D28" s="1"/>
      <c r="E28" s="1"/>
      <c r="F28" s="1"/>
      <c r="G28" s="1"/>
      <c r="H28" s="1"/>
      <c r="I28" s="1"/>
      <c r="J28" s="1"/>
      <c r="K28" s="1">
        <v>809741.7</v>
      </c>
      <c r="L28" s="1"/>
      <c r="M28" s="1"/>
      <c r="N28" s="1"/>
      <c r="O28" s="1"/>
      <c r="P28" s="1"/>
      <c r="Q28" s="1"/>
      <c r="R28" s="1"/>
      <c r="S28" s="1"/>
      <c r="T28" s="1"/>
      <c r="U28" s="1">
        <v>845016</v>
      </c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>
        <v>2304839.6</v>
      </c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>
        <v>775680</v>
      </c>
      <c r="AU28" s="1"/>
      <c r="AV28" s="1"/>
      <c r="AW28" s="1"/>
      <c r="AX28" s="1"/>
      <c r="AY28" s="1"/>
      <c r="AZ28" s="1"/>
      <c r="BA28" s="1"/>
      <c r="BB28" s="1"/>
      <c r="BC28" s="1">
        <v>522150.40000000002</v>
      </c>
      <c r="BD28" s="1"/>
      <c r="BE28" s="1"/>
      <c r="BF28" s="1"/>
      <c r="BG28" s="1"/>
      <c r="BH28" s="1"/>
      <c r="BI28" s="4">
        <v>4449199.8</v>
      </c>
      <c r="BJ28" s="1">
        <v>447286</v>
      </c>
      <c r="BK28" s="2"/>
      <c r="BL28" s="2"/>
      <c r="BM28" s="2"/>
      <c r="BN28" s="2"/>
      <c r="BO28" s="2"/>
      <c r="BP28" s="2"/>
      <c r="BQ28" s="1">
        <v>432006</v>
      </c>
      <c r="BR28" s="2"/>
      <c r="BS28" s="2"/>
      <c r="BT28" s="2"/>
      <c r="BU28" s="2"/>
      <c r="BV28" s="2"/>
      <c r="BW28" s="2"/>
      <c r="BX28" s="2"/>
      <c r="BY28" s="2"/>
      <c r="BZ28" s="1">
        <v>617220</v>
      </c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1">
        <v>290153.40000000002</v>
      </c>
      <c r="CU28" s="2"/>
      <c r="CV28" s="2"/>
      <c r="CW28" s="2"/>
      <c r="CX28" s="1">
        <v>924766</v>
      </c>
      <c r="CY28" s="2"/>
      <c r="CZ28" s="2"/>
      <c r="DA28" s="2"/>
      <c r="DB28" s="2"/>
      <c r="DC28" s="2"/>
      <c r="DD28" s="2"/>
      <c r="DE28" s="1">
        <v>517726</v>
      </c>
      <c r="DF28" s="2"/>
      <c r="DG28" s="2"/>
      <c r="DH28" s="2"/>
      <c r="DI28" s="2"/>
      <c r="DJ28" s="2"/>
      <c r="DK28" s="2"/>
      <c r="DL28" s="1">
        <v>609500</v>
      </c>
      <c r="DM28" s="2"/>
      <c r="DN28" s="2"/>
      <c r="DO28" s="2"/>
      <c r="DP28" s="2"/>
      <c r="DQ28" s="2"/>
      <c r="DR28" s="2"/>
      <c r="DS28" s="1">
        <v>230495.99999999997</v>
      </c>
      <c r="DT28" s="2"/>
      <c r="DU28" s="2"/>
      <c r="DV28" s="2"/>
      <c r="DW28" s="2"/>
      <c r="DX28" s="2"/>
      <c r="DY28" s="2"/>
      <c r="DZ28" s="2"/>
      <c r="EA28" s="2"/>
      <c r="EB28" s="2">
        <v>27000</v>
      </c>
      <c r="EC28" s="2"/>
      <c r="ED28" s="2"/>
      <c r="EE28" s="2">
        <v>77000</v>
      </c>
      <c r="EF28" s="2"/>
      <c r="EG28" s="1">
        <v>276046.40000000002</v>
      </c>
      <c r="EH28" s="2"/>
      <c r="EI28" s="1">
        <v>11137438.300000001</v>
      </c>
      <c r="EJ28" s="1">
        <v>1117901.2000000002</v>
      </c>
      <c r="EK28" s="1"/>
      <c r="EL28" s="1"/>
      <c r="EM28" s="1"/>
      <c r="EN28" s="1"/>
      <c r="EO28" s="1"/>
      <c r="EP28" s="1"/>
      <c r="EQ28" s="1"/>
      <c r="ER28" s="1"/>
      <c r="ES28" s="1"/>
      <c r="ET28" s="1">
        <v>354854.8</v>
      </c>
      <c r="EU28" s="1"/>
      <c r="EV28" s="1"/>
      <c r="EW28" s="1"/>
      <c r="EX28" s="1"/>
      <c r="EY28" s="1"/>
      <c r="EZ28" s="1"/>
      <c r="FA28" s="1">
        <v>1657983.6</v>
      </c>
      <c r="FB28" s="1"/>
      <c r="FC28" s="1"/>
      <c r="FD28" s="1"/>
      <c r="FE28" s="1"/>
      <c r="FF28" s="1"/>
      <c r="FG28" s="1"/>
      <c r="FH28" s="1"/>
      <c r="FI28" s="1">
        <v>1202754.6000000001</v>
      </c>
      <c r="FJ28" s="1"/>
      <c r="FK28" s="1"/>
      <c r="FL28" s="1"/>
      <c r="FM28" s="1"/>
      <c r="FN28" s="1"/>
      <c r="FO28" s="1"/>
      <c r="FP28" s="1"/>
      <c r="FQ28" s="1">
        <v>1367991</v>
      </c>
      <c r="FR28" s="1"/>
      <c r="FS28" s="1"/>
      <c r="FT28" s="1"/>
      <c r="FU28" s="1"/>
      <c r="FV28" s="1"/>
      <c r="FW28" s="1"/>
      <c r="FX28" s="1"/>
      <c r="FY28" s="1"/>
      <c r="FZ28" s="1">
        <v>1009484.1000000001</v>
      </c>
      <c r="GA28" s="1">
        <v>305992</v>
      </c>
      <c r="GB28" s="1">
        <v>142771</v>
      </c>
      <c r="GC28" s="1">
        <v>128763</v>
      </c>
      <c r="GD28" s="1">
        <v>98805</v>
      </c>
      <c r="GE28" s="1">
        <v>44470</v>
      </c>
      <c r="GF28" s="1"/>
      <c r="GG28" s="1"/>
      <c r="GH28" s="1">
        <v>1036840</v>
      </c>
      <c r="GI28" s="1"/>
      <c r="GJ28" s="1"/>
      <c r="GK28" s="1"/>
      <c r="GL28" s="1"/>
      <c r="GM28" s="1"/>
      <c r="GN28" s="1"/>
      <c r="GO28" s="1">
        <v>1296768</v>
      </c>
      <c r="GP28" s="1"/>
      <c r="GQ28" s="1">
        <v>232999</v>
      </c>
      <c r="GR28" s="1"/>
      <c r="GS28" s="1">
        <v>143932</v>
      </c>
      <c r="GT28" s="1"/>
      <c r="GU28" s="1">
        <v>18478</v>
      </c>
      <c r="GV28" s="1">
        <v>99675</v>
      </c>
      <c r="GW28" s="1"/>
      <c r="GX28" s="1">
        <v>537254.1</v>
      </c>
      <c r="GY28" s="1"/>
      <c r="GZ28" s="1"/>
      <c r="HA28" s="1"/>
      <c r="HB28" s="1"/>
      <c r="HC28" s="1"/>
      <c r="HD28" s="1">
        <v>613132</v>
      </c>
      <c r="HE28" s="1"/>
      <c r="HF28" s="1"/>
      <c r="HG28" s="1"/>
      <c r="HH28" s="1"/>
      <c r="HI28" s="1"/>
      <c r="HJ28" s="1">
        <v>126433</v>
      </c>
      <c r="HK28" s="1"/>
      <c r="HL28" s="1"/>
      <c r="HM28" s="1"/>
      <c r="HN28" s="1"/>
      <c r="HO28" s="1">
        <v>942474.9</v>
      </c>
      <c r="HP28" s="1"/>
      <c r="HQ28" s="1"/>
      <c r="HR28" s="1"/>
      <c r="HS28" s="1"/>
      <c r="HT28" s="1"/>
      <c r="HU28" s="1"/>
      <c r="HV28" s="1"/>
      <c r="HW28" s="4">
        <v>8122093.9000000004</v>
      </c>
      <c r="HX28" s="1">
        <v>1131520</v>
      </c>
      <c r="HY28" s="2">
        <v>343982.08000000002</v>
      </c>
      <c r="HZ28" s="2">
        <v>136913.91999999998</v>
      </c>
      <c r="IA28" s="2">
        <v>253460.48000000001</v>
      </c>
      <c r="IB28" s="2">
        <v>144834.56</v>
      </c>
      <c r="IC28" s="2">
        <v>119941.12</v>
      </c>
      <c r="ID28" s="2">
        <v>16972.8</v>
      </c>
      <c r="IE28" s="2">
        <v>33945.599999999999</v>
      </c>
      <c r="IF28" s="2">
        <v>81469.439999999988</v>
      </c>
      <c r="IG28" s="2"/>
      <c r="IH28" s="1">
        <v>429240.6</v>
      </c>
      <c r="II28" s="2"/>
      <c r="IJ28" s="2"/>
      <c r="IK28" s="2"/>
      <c r="IL28" s="1">
        <v>85090</v>
      </c>
      <c r="IM28" s="2"/>
      <c r="IN28" s="2"/>
      <c r="IO28" s="2"/>
      <c r="IP28" s="2"/>
      <c r="IQ28" s="2"/>
      <c r="IR28" s="1">
        <v>196208.3</v>
      </c>
      <c r="IS28" s="2"/>
      <c r="IT28" s="2"/>
      <c r="IU28" s="2"/>
      <c r="IV28" s="2"/>
      <c r="IW28" s="1">
        <v>920820</v>
      </c>
      <c r="IX28" s="2"/>
      <c r="IY28" s="2"/>
      <c r="IZ28" s="2"/>
      <c r="JA28" s="2"/>
      <c r="JB28" s="2"/>
      <c r="JC28" s="2"/>
      <c r="JD28" s="2"/>
      <c r="JE28" s="1">
        <v>492450</v>
      </c>
      <c r="JF28" s="2"/>
      <c r="JG28" s="2"/>
      <c r="JH28" s="2"/>
      <c r="JI28" s="2"/>
      <c r="JJ28" s="2"/>
      <c r="JK28" s="2"/>
      <c r="JL28" s="2"/>
      <c r="JM28" s="1">
        <v>516182.2</v>
      </c>
      <c r="JN28" s="2"/>
      <c r="JO28" s="2"/>
      <c r="JP28" s="2"/>
      <c r="JQ28" s="2"/>
      <c r="JR28" s="2"/>
      <c r="JS28" s="1">
        <v>1205240</v>
      </c>
      <c r="JT28" s="2"/>
      <c r="JU28" s="2"/>
      <c r="JV28" s="2"/>
      <c r="JW28" s="2"/>
      <c r="JX28" s="2"/>
      <c r="JY28" s="2"/>
      <c r="JZ28" s="1">
        <v>1727124.0000000002</v>
      </c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1">
        <v>553146</v>
      </c>
      <c r="KL28" s="2"/>
      <c r="KM28" s="2"/>
      <c r="KN28" s="2"/>
      <c r="KO28" s="2"/>
      <c r="KP28" s="1">
        <v>400413.60000000003</v>
      </c>
      <c r="KQ28" s="2"/>
      <c r="KR28" s="2"/>
      <c r="KS28" s="2"/>
      <c r="KT28" s="2"/>
      <c r="KU28" s="2"/>
      <c r="KV28" s="1">
        <v>386640</v>
      </c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1">
        <v>78019.199999999997</v>
      </c>
      <c r="LK28" s="2"/>
      <c r="LL28" s="2"/>
      <c r="LM28" s="2"/>
      <c r="LN28" s="2"/>
      <c r="LO28" s="1">
        <v>1680939</v>
      </c>
      <c r="LP28" s="1"/>
      <c r="LQ28" s="1"/>
      <c r="LR28" s="1">
        <v>443813</v>
      </c>
      <c r="LS28" s="1"/>
      <c r="LT28" s="1"/>
      <c r="LU28" s="1">
        <v>1237126</v>
      </c>
      <c r="LV28" s="1"/>
      <c r="LW28" s="1"/>
      <c r="LX28" s="1"/>
      <c r="LY28" s="1"/>
      <c r="LZ28" s="1"/>
      <c r="MA28" s="1"/>
      <c r="MB28" s="1"/>
      <c r="MC28" s="1"/>
      <c r="MD28" s="1"/>
      <c r="ME28" s="1"/>
    </row>
    <row r="29" spans="1:343">
      <c r="A29" s="1">
        <v>1392</v>
      </c>
      <c r="B29" s="1">
        <v>7390865.76033</v>
      </c>
      <c r="C29" s="1">
        <v>2113742.5726800002</v>
      </c>
      <c r="D29" s="1"/>
      <c r="E29" s="1"/>
      <c r="F29" s="1"/>
      <c r="G29" s="1"/>
      <c r="H29" s="1"/>
      <c r="I29" s="1"/>
      <c r="J29" s="1"/>
      <c r="K29" s="1">
        <v>813385.53764999995</v>
      </c>
      <c r="L29" s="1"/>
      <c r="M29" s="1"/>
      <c r="N29" s="1"/>
      <c r="O29" s="1"/>
      <c r="P29" s="1"/>
      <c r="Q29" s="1"/>
      <c r="R29" s="1"/>
      <c r="S29" s="1"/>
      <c r="T29" s="1"/>
      <c r="U29" s="1">
        <v>848818.57199999993</v>
      </c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>
        <v>2312676.0546400002</v>
      </c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>
        <v>778317.31200000003</v>
      </c>
      <c r="AU29" s="1"/>
      <c r="AV29" s="1"/>
      <c r="AW29" s="1"/>
      <c r="AX29" s="1"/>
      <c r="AY29" s="1"/>
      <c r="AZ29" s="1"/>
      <c r="BA29" s="1"/>
      <c r="BB29" s="1"/>
      <c r="BC29" s="1">
        <v>523925.71136000007</v>
      </c>
      <c r="BD29" s="1"/>
      <c r="BE29" s="1"/>
      <c r="BF29" s="1"/>
      <c r="BG29" s="1"/>
      <c r="BH29" s="1"/>
      <c r="BI29" s="4">
        <v>4467307.8385199998</v>
      </c>
      <c r="BJ29" s="1">
        <v>448940.95819999999</v>
      </c>
      <c r="BK29" s="1"/>
      <c r="BL29" s="1"/>
      <c r="BM29" s="1"/>
      <c r="BN29" s="1"/>
      <c r="BO29" s="1"/>
      <c r="BP29" s="1"/>
      <c r="BQ29" s="1">
        <v>433172.41619999998</v>
      </c>
      <c r="BR29" s="1"/>
      <c r="BS29" s="1"/>
      <c r="BT29" s="1"/>
      <c r="BU29" s="1"/>
      <c r="BV29" s="1"/>
      <c r="BW29" s="1"/>
      <c r="BX29" s="1"/>
      <c r="BY29" s="1"/>
      <c r="BZ29" s="1">
        <v>621540.53999999992</v>
      </c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>
        <v>291139.92156000005</v>
      </c>
      <c r="CU29" s="1"/>
      <c r="CV29" s="1"/>
      <c r="CW29" s="1"/>
      <c r="CX29" s="1">
        <v>927910.20440000005</v>
      </c>
      <c r="CY29" s="1"/>
      <c r="CZ29" s="1"/>
      <c r="DA29" s="1"/>
      <c r="DB29" s="1"/>
      <c r="DC29" s="1"/>
      <c r="DD29" s="1"/>
      <c r="DE29" s="1">
        <v>519486.26840000006</v>
      </c>
      <c r="DF29" s="1"/>
      <c r="DG29" s="1"/>
      <c r="DH29" s="1"/>
      <c r="DI29" s="1"/>
      <c r="DJ29" s="1"/>
      <c r="DK29" s="1"/>
      <c r="DL29" s="1">
        <v>611572.30000000005</v>
      </c>
      <c r="DM29" s="1"/>
      <c r="DN29" s="1"/>
      <c r="DO29" s="1"/>
      <c r="DP29" s="1"/>
      <c r="DQ29" s="1"/>
      <c r="DR29" s="1"/>
      <c r="DS29" s="1">
        <v>232109.47199999995</v>
      </c>
      <c r="DT29" s="1"/>
      <c r="DU29" s="1"/>
      <c r="DV29" s="1"/>
      <c r="DW29" s="1"/>
      <c r="DX29" s="1"/>
      <c r="DY29" s="1"/>
      <c r="DZ29" s="1"/>
      <c r="EA29" s="1"/>
      <c r="EB29" s="1">
        <v>27188.999999999996</v>
      </c>
      <c r="EC29" s="1"/>
      <c r="ED29" s="1"/>
      <c r="EE29" s="1">
        <v>77261.8</v>
      </c>
      <c r="EF29" s="1"/>
      <c r="EG29" s="1">
        <v>276984.95776000002</v>
      </c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4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>
        <v>1686654.1926000002</v>
      </c>
      <c r="LP29" s="1"/>
      <c r="LQ29" s="1"/>
      <c r="LR29" s="1"/>
      <c r="LS29" s="1"/>
      <c r="LT29" s="1"/>
      <c r="LU29" s="1">
        <v>1241332.2284000001</v>
      </c>
      <c r="LV29" s="1"/>
      <c r="LW29" s="1"/>
      <c r="LX29" s="1"/>
      <c r="LY29" s="1"/>
      <c r="LZ29" s="1"/>
      <c r="MA29" s="1"/>
      <c r="MB29" s="1"/>
      <c r="MC29" s="1"/>
      <c r="MD29" s="1"/>
      <c r="ME29" s="1"/>
    </row>
    <row r="30" spans="1:343">
      <c r="A30" s="1">
        <v>1393</v>
      </c>
      <c r="B30" s="1">
        <v>7417823.1284357365</v>
      </c>
      <c r="C30" s="1">
        <v>2120929.2974271122</v>
      </c>
      <c r="D30" s="1"/>
      <c r="E30" s="1"/>
      <c r="F30" s="1"/>
      <c r="G30" s="1"/>
      <c r="H30" s="1"/>
      <c r="I30" s="1"/>
      <c r="J30" s="1"/>
      <c r="K30" s="1">
        <v>817045.77256942494</v>
      </c>
      <c r="L30" s="1"/>
      <c r="M30" s="1"/>
      <c r="N30" s="1"/>
      <c r="O30" s="1"/>
      <c r="P30" s="1"/>
      <c r="Q30" s="1"/>
      <c r="R30" s="1"/>
      <c r="S30" s="1"/>
      <c r="T30" s="1"/>
      <c r="U30" s="1">
        <v>852638.25557399984</v>
      </c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>
        <v>2320539.1532257763</v>
      </c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>
        <v>780963.59086080012</v>
      </c>
      <c r="AU30" s="1"/>
      <c r="AV30" s="1"/>
      <c r="AW30" s="1"/>
      <c r="AX30" s="1"/>
      <c r="AY30" s="1"/>
      <c r="AZ30" s="1"/>
      <c r="BA30" s="1"/>
      <c r="BB30" s="1"/>
      <c r="BC30" s="1">
        <v>525707.05877862417</v>
      </c>
      <c r="BD30" s="1"/>
      <c r="BE30" s="1"/>
      <c r="BF30" s="1"/>
      <c r="BG30" s="1"/>
      <c r="BH30" s="1"/>
      <c r="BI30" s="4">
        <v>4485678.743593568</v>
      </c>
      <c r="BJ30" s="2">
        <v>450781.61612861999</v>
      </c>
      <c r="BK30" s="2"/>
      <c r="BL30" s="2"/>
      <c r="BM30" s="2"/>
      <c r="BN30" s="2"/>
      <c r="BO30" s="2"/>
      <c r="BP30" s="2"/>
      <c r="BQ30" s="1">
        <v>434341.98172373994</v>
      </c>
      <c r="BR30" s="2"/>
      <c r="BS30" s="2"/>
      <c r="BT30" s="2"/>
      <c r="BU30" s="2"/>
      <c r="BV30" s="2"/>
      <c r="BW30" s="2"/>
      <c r="BX30" s="2"/>
      <c r="BY30" s="2"/>
      <c r="BZ30" s="1">
        <v>625891.32377999986</v>
      </c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1">
        <v>292129.79729330406</v>
      </c>
      <c r="CU30" s="2"/>
      <c r="CV30" s="2"/>
      <c r="CW30" s="2"/>
      <c r="CX30" s="1">
        <v>931065.09909496014</v>
      </c>
      <c r="CY30" s="2"/>
      <c r="CZ30" s="2"/>
      <c r="DA30" s="2"/>
      <c r="DB30" s="2"/>
      <c r="DC30" s="2"/>
      <c r="DD30" s="2"/>
      <c r="DE30" s="1">
        <v>521252.52171256009</v>
      </c>
      <c r="DF30" s="2"/>
      <c r="DG30" s="2"/>
      <c r="DH30" s="2"/>
      <c r="DI30" s="2"/>
      <c r="DJ30" s="2"/>
      <c r="DK30" s="2"/>
      <c r="DL30" s="1">
        <v>613651.64582000009</v>
      </c>
      <c r="DM30" s="2"/>
      <c r="DN30" s="2"/>
      <c r="DO30" s="2"/>
      <c r="DP30" s="2"/>
      <c r="DQ30" s="2"/>
      <c r="DR30" s="2"/>
      <c r="DS30" s="1">
        <v>233734.23830399994</v>
      </c>
      <c r="DT30" s="2"/>
      <c r="DU30" s="2"/>
      <c r="DV30" s="2"/>
      <c r="DW30" s="2"/>
      <c r="DX30" s="2"/>
      <c r="DY30" s="2"/>
      <c r="DZ30" s="2"/>
      <c r="EA30" s="2"/>
      <c r="EB30" s="1">
        <v>27379.322999999993</v>
      </c>
      <c r="EC30" s="2"/>
      <c r="ED30" s="2"/>
      <c r="EE30" s="1">
        <v>77524.490120000002</v>
      </c>
      <c r="EF30" s="2"/>
      <c r="EG30" s="1">
        <v>277926.70661638404</v>
      </c>
      <c r="EH30" s="2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4"/>
      <c r="HX30" s="1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1">
        <v>1692388.8168548404</v>
      </c>
      <c r="LP30" s="1"/>
      <c r="LQ30" s="1"/>
      <c r="LR30" s="1"/>
      <c r="LS30" s="1"/>
      <c r="LT30" s="1"/>
      <c r="LU30" s="1">
        <v>1245552.7579765602</v>
      </c>
      <c r="LV30" s="1"/>
      <c r="LW30" s="1"/>
      <c r="LX30" s="1"/>
      <c r="LY30" s="1"/>
      <c r="LZ30" s="1"/>
      <c r="MA30" s="1"/>
      <c r="MB30" s="1"/>
      <c r="MC30" s="1"/>
      <c r="MD30" s="1"/>
      <c r="ME30" s="1"/>
    </row>
    <row r="31" spans="1:343">
      <c r="A31" s="1">
        <v>1394</v>
      </c>
      <c r="B31" s="1">
        <v>7444880.3795033768</v>
      </c>
      <c r="C31" s="1">
        <v>2128140.4570383644</v>
      </c>
      <c r="D31" s="1"/>
      <c r="E31" s="1"/>
      <c r="F31" s="1"/>
      <c r="G31" s="1"/>
      <c r="H31" s="1"/>
      <c r="I31" s="1"/>
      <c r="J31" s="1"/>
      <c r="K31" s="1">
        <v>820722.47854598728</v>
      </c>
      <c r="L31" s="1"/>
      <c r="M31" s="1"/>
      <c r="N31" s="1"/>
      <c r="O31" s="1"/>
      <c r="P31" s="1"/>
      <c r="Q31" s="1"/>
      <c r="R31" s="1"/>
      <c r="S31" s="1"/>
      <c r="T31" s="1"/>
      <c r="U31" s="1">
        <v>856475.12772408279</v>
      </c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>
        <v>2328428.986346744</v>
      </c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>
        <v>783618.86706972693</v>
      </c>
      <c r="AU31" s="1"/>
      <c r="AV31" s="1"/>
      <c r="AW31" s="1"/>
      <c r="AX31" s="1"/>
      <c r="AY31" s="1"/>
      <c r="AZ31" s="1"/>
      <c r="BA31" s="1"/>
      <c r="BB31" s="1"/>
      <c r="BC31" s="1">
        <v>527494.46277847153</v>
      </c>
      <c r="BD31" s="1"/>
      <c r="BE31" s="1"/>
      <c r="BF31" s="1"/>
      <c r="BG31" s="1"/>
      <c r="BH31" s="1"/>
      <c r="BI31" s="4">
        <v>4504134.7766521722</v>
      </c>
      <c r="BJ31" s="2">
        <v>452629.82075474731</v>
      </c>
      <c r="BK31" s="2"/>
      <c r="BL31" s="2"/>
      <c r="BM31" s="2"/>
      <c r="BN31" s="2"/>
      <c r="BO31" s="2"/>
      <c r="BP31" s="2"/>
      <c r="BQ31" s="1">
        <v>435514.70507439401</v>
      </c>
      <c r="BR31" s="2"/>
      <c r="BS31" s="2"/>
      <c r="BT31" s="2"/>
      <c r="BU31" s="2"/>
      <c r="BV31" s="2"/>
      <c r="BW31" s="2"/>
      <c r="BX31" s="2"/>
      <c r="BY31" s="2"/>
      <c r="BZ31" s="1">
        <v>630272.56304645981</v>
      </c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1">
        <v>293123.03860410134</v>
      </c>
      <c r="CU31" s="2"/>
      <c r="CV31" s="2"/>
      <c r="CW31" s="2"/>
      <c r="CX31" s="1">
        <v>934230.72043188312</v>
      </c>
      <c r="CY31" s="2"/>
      <c r="CZ31" s="2"/>
      <c r="DA31" s="2"/>
      <c r="DB31" s="2"/>
      <c r="DC31" s="2"/>
      <c r="DD31" s="2"/>
      <c r="DE31" s="1">
        <v>523024.78028638283</v>
      </c>
      <c r="DF31" s="2"/>
      <c r="DG31" s="2"/>
      <c r="DH31" s="2"/>
      <c r="DI31" s="2"/>
      <c r="DJ31" s="2"/>
      <c r="DK31" s="2"/>
      <c r="DL31" s="1">
        <v>615738.06141578814</v>
      </c>
      <c r="DM31" s="2"/>
      <c r="DN31" s="2"/>
      <c r="DO31" s="2"/>
      <c r="DP31" s="2"/>
      <c r="DQ31" s="2"/>
      <c r="DR31" s="2"/>
      <c r="DS31" s="1">
        <v>235370.37797212793</v>
      </c>
      <c r="DT31" s="2"/>
      <c r="DU31" s="2"/>
      <c r="DV31" s="2"/>
      <c r="DW31" s="2"/>
      <c r="DX31" s="2"/>
      <c r="DY31" s="2"/>
      <c r="DZ31" s="2"/>
      <c r="EA31" s="2"/>
      <c r="EB31" s="1">
        <v>27570.978260999989</v>
      </c>
      <c r="EC31" s="2"/>
      <c r="ED31" s="2"/>
      <c r="EE31" s="1">
        <v>77788.07338640801</v>
      </c>
      <c r="EF31" s="2"/>
      <c r="EG31" s="1">
        <v>278871.65741887974</v>
      </c>
      <c r="EH31" s="2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4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1">
        <v>1698142.938832147</v>
      </c>
      <c r="LP31" s="1"/>
      <c r="LQ31" s="1"/>
      <c r="LR31" s="1"/>
      <c r="LS31" s="1"/>
      <c r="LT31" s="1"/>
      <c r="LU31" s="1">
        <v>1249787.6373536806</v>
      </c>
      <c r="LV31" s="1"/>
      <c r="LW31" s="1"/>
      <c r="LX31" s="1"/>
      <c r="LY31" s="1"/>
      <c r="LZ31" s="1"/>
      <c r="MA31" s="1"/>
      <c r="MB31" s="1"/>
      <c r="MC31" s="1"/>
      <c r="MD31" s="1"/>
      <c r="ME31" s="1"/>
    </row>
    <row r="32" spans="1:343">
      <c r="A32" s="1">
        <v>1395</v>
      </c>
      <c r="B32" s="1">
        <v>7472037.8901605858</v>
      </c>
      <c r="C32" s="1">
        <v>2135376.1345922952</v>
      </c>
      <c r="D32" s="1"/>
      <c r="E32" s="1"/>
      <c r="F32" s="1"/>
      <c r="G32" s="1"/>
      <c r="H32" s="1"/>
      <c r="I32" s="1"/>
      <c r="J32" s="1"/>
      <c r="K32" s="1">
        <v>824415.72969944414</v>
      </c>
      <c r="L32" s="1"/>
      <c r="M32" s="1"/>
      <c r="N32" s="1"/>
      <c r="O32" s="1"/>
      <c r="P32" s="1"/>
      <c r="Q32" s="1"/>
      <c r="R32" s="1"/>
      <c r="S32" s="1"/>
      <c r="T32" s="1"/>
      <c r="U32" s="1">
        <v>860329.26579884114</v>
      </c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>
        <v>2336345.6449003229</v>
      </c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>
        <v>786283.17121776403</v>
      </c>
      <c r="AU32" s="1"/>
      <c r="AV32" s="1"/>
      <c r="AW32" s="1"/>
      <c r="AX32" s="1"/>
      <c r="AY32" s="1"/>
      <c r="AZ32" s="1"/>
      <c r="BA32" s="1"/>
      <c r="BB32" s="1"/>
      <c r="BC32" s="1">
        <v>529287.94395191839</v>
      </c>
      <c r="BD32" s="1"/>
      <c r="BE32" s="1"/>
      <c r="BF32" s="1"/>
      <c r="BG32" s="1"/>
      <c r="BH32" s="1"/>
      <c r="BI32" s="4">
        <v>4522676.3855831726</v>
      </c>
      <c r="BJ32" s="2">
        <v>454485.60301984177</v>
      </c>
      <c r="BK32" s="2"/>
      <c r="BL32" s="2"/>
      <c r="BM32" s="2"/>
      <c r="BN32" s="2"/>
      <c r="BO32" s="2"/>
      <c r="BP32" s="2"/>
      <c r="BQ32" s="1">
        <v>436690.59477809485</v>
      </c>
      <c r="BR32" s="2"/>
      <c r="BS32" s="2"/>
      <c r="BT32" s="2"/>
      <c r="BU32" s="2"/>
      <c r="BV32" s="2"/>
      <c r="BW32" s="2"/>
      <c r="BX32" s="2"/>
      <c r="BY32" s="2"/>
      <c r="BZ32" s="1">
        <v>634684.47098778491</v>
      </c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1">
        <v>294119.65693535528</v>
      </c>
      <c r="CU32" s="2"/>
      <c r="CV32" s="2"/>
      <c r="CW32" s="2"/>
      <c r="CX32" s="1">
        <v>937407.10488135158</v>
      </c>
      <c r="CY32" s="2"/>
      <c r="CZ32" s="2"/>
      <c r="DA32" s="2"/>
      <c r="DB32" s="2"/>
      <c r="DC32" s="2"/>
      <c r="DD32" s="2"/>
      <c r="DE32" s="1">
        <v>524803.06453935651</v>
      </c>
      <c r="DF32" s="2"/>
      <c r="DG32" s="2"/>
      <c r="DH32" s="2"/>
      <c r="DI32" s="2"/>
      <c r="DJ32" s="2"/>
      <c r="DK32" s="2"/>
      <c r="DL32" s="1">
        <v>617831.5708246018</v>
      </c>
      <c r="DM32" s="2"/>
      <c r="DN32" s="2"/>
      <c r="DO32" s="2"/>
      <c r="DP32" s="2"/>
      <c r="DQ32" s="2"/>
      <c r="DR32" s="2"/>
      <c r="DS32" s="1">
        <v>237017.97061793279</v>
      </c>
      <c r="DT32" s="2"/>
      <c r="DU32" s="2"/>
      <c r="DV32" s="2"/>
      <c r="DW32" s="2"/>
      <c r="DX32" s="2"/>
      <c r="DY32" s="2"/>
      <c r="DZ32" s="2"/>
      <c r="EA32" s="2"/>
      <c r="EB32" s="1">
        <v>27763.975108826988</v>
      </c>
      <c r="EC32" s="2"/>
      <c r="ED32" s="2"/>
      <c r="EE32" s="1">
        <v>78052.552835921801</v>
      </c>
      <c r="EF32" s="2"/>
      <c r="EG32" s="1">
        <v>279819.82105410396</v>
      </c>
      <c r="EH32" s="2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4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1">
        <v>1703916.6248241765</v>
      </c>
      <c r="LP32" s="1"/>
      <c r="LQ32" s="1"/>
      <c r="LR32" s="1"/>
      <c r="LS32" s="1"/>
      <c r="LT32" s="1"/>
      <c r="LU32" s="1">
        <v>1254036.9153206833</v>
      </c>
      <c r="LV32" s="1"/>
      <c r="LW32" s="1"/>
      <c r="LX32" s="1"/>
      <c r="LY32" s="1"/>
      <c r="LZ32" s="1"/>
      <c r="MA32" s="1"/>
      <c r="MB32" s="1"/>
      <c r="MC32" s="1"/>
      <c r="MD32" s="1"/>
      <c r="ME32" s="1"/>
    </row>
    <row r="33" spans="1:343">
      <c r="A33" s="1">
        <v>1396</v>
      </c>
      <c r="B33" s="1">
        <v>7499296.0384821808</v>
      </c>
      <c r="C33" s="1">
        <v>2142636.4134499091</v>
      </c>
      <c r="D33" s="1"/>
      <c r="E33" s="1"/>
      <c r="F33" s="1"/>
      <c r="G33" s="1"/>
      <c r="H33" s="1"/>
      <c r="I33" s="1"/>
      <c r="J33" s="1"/>
      <c r="K33" s="1">
        <v>828125.60048309155</v>
      </c>
      <c r="L33" s="1"/>
      <c r="M33" s="1"/>
      <c r="N33" s="1"/>
      <c r="O33" s="1"/>
      <c r="P33" s="1"/>
      <c r="Q33" s="1"/>
      <c r="R33" s="1"/>
      <c r="S33" s="1"/>
      <c r="T33" s="1"/>
      <c r="U33" s="1">
        <v>864200.74749493587</v>
      </c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>
        <v>2344289.2200929844</v>
      </c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>
        <v>788956.53399990452</v>
      </c>
      <c r="AU33" s="1"/>
      <c r="AV33" s="1"/>
      <c r="AW33" s="1"/>
      <c r="AX33" s="1"/>
      <c r="AY33" s="1"/>
      <c r="AZ33" s="1"/>
      <c r="BA33" s="1"/>
      <c r="BB33" s="1"/>
      <c r="BC33" s="1">
        <v>531087.52296135493</v>
      </c>
      <c r="BD33" s="1"/>
      <c r="BE33" s="1"/>
      <c r="BF33" s="1"/>
      <c r="BG33" s="1"/>
      <c r="BH33" s="1"/>
      <c r="BI33" s="4">
        <v>4541304.0209000967</v>
      </c>
      <c r="BJ33" s="2">
        <v>456348.99399222311</v>
      </c>
      <c r="BK33" s="2"/>
      <c r="BL33" s="2"/>
      <c r="BM33" s="2"/>
      <c r="BN33" s="2"/>
      <c r="BO33" s="2"/>
      <c r="BP33" s="2"/>
      <c r="BQ33" s="1">
        <v>437869.65938399569</v>
      </c>
      <c r="BR33" s="2"/>
      <c r="BS33" s="2"/>
      <c r="BT33" s="2"/>
      <c r="BU33" s="2"/>
      <c r="BV33" s="2"/>
      <c r="BW33" s="2"/>
      <c r="BX33" s="2"/>
      <c r="BY33" s="2"/>
      <c r="BZ33" s="1">
        <v>639127.26228469936</v>
      </c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1">
        <v>295119.66376893548</v>
      </c>
      <c r="CU33" s="2"/>
      <c r="CV33" s="2"/>
      <c r="CW33" s="2"/>
      <c r="CX33" s="1">
        <v>940594.28903794824</v>
      </c>
      <c r="CY33" s="2"/>
      <c r="CZ33" s="2"/>
      <c r="DA33" s="2"/>
      <c r="DB33" s="2"/>
      <c r="DC33" s="2"/>
      <c r="DD33" s="2"/>
      <c r="DE33" s="1">
        <v>526587.39495879039</v>
      </c>
      <c r="DF33" s="2"/>
      <c r="DG33" s="2"/>
      <c r="DH33" s="2"/>
      <c r="DI33" s="2"/>
      <c r="DJ33" s="2"/>
      <c r="DK33" s="2"/>
      <c r="DL33" s="1">
        <v>619932.19816540554</v>
      </c>
      <c r="DM33" s="2"/>
      <c r="DN33" s="2"/>
      <c r="DO33" s="2"/>
      <c r="DP33" s="2"/>
      <c r="DQ33" s="2"/>
      <c r="DR33" s="2"/>
      <c r="DS33" s="1">
        <v>238677.09641225831</v>
      </c>
      <c r="DT33" s="2"/>
      <c r="DU33" s="2"/>
      <c r="DV33" s="2"/>
      <c r="DW33" s="2"/>
      <c r="DX33" s="2"/>
      <c r="DY33" s="2"/>
      <c r="DZ33" s="2"/>
      <c r="EA33" s="2"/>
      <c r="EB33" s="1">
        <v>27958.322934588774</v>
      </c>
      <c r="EC33" s="2"/>
      <c r="ED33" s="2"/>
      <c r="EE33" s="1">
        <v>78317.931515563934</v>
      </c>
      <c r="EF33" s="2"/>
      <c r="EG33" s="1">
        <v>280771.20844568795</v>
      </c>
      <c r="EH33" s="2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4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1">
        <v>1709709.9413485788</v>
      </c>
      <c r="LP33" s="1"/>
      <c r="LQ33" s="1"/>
      <c r="LR33" s="1"/>
      <c r="LS33" s="1"/>
      <c r="LT33" s="1"/>
      <c r="LU33" s="1">
        <v>1258300.6408327736</v>
      </c>
      <c r="LV33" s="1"/>
      <c r="LW33" s="1"/>
      <c r="LX33" s="1"/>
      <c r="LY33" s="1"/>
      <c r="LZ33" s="1"/>
      <c r="MA33" s="1"/>
      <c r="MB33" s="1"/>
      <c r="MC33" s="1"/>
      <c r="MD33" s="1"/>
      <c r="ME33" s="1"/>
    </row>
    <row r="34" spans="1:343">
      <c r="A34" s="1">
        <v>1397</v>
      </c>
      <c r="B34" s="1">
        <v>7526655.203995795</v>
      </c>
      <c r="C34" s="1">
        <v>2149921.3772556391</v>
      </c>
      <c r="D34" s="1"/>
      <c r="E34" s="1"/>
      <c r="F34" s="1"/>
      <c r="G34" s="1"/>
      <c r="H34" s="1"/>
      <c r="I34" s="1"/>
      <c r="J34" s="1"/>
      <c r="K34" s="1">
        <v>831852.16568526544</v>
      </c>
      <c r="L34" s="1"/>
      <c r="M34" s="1"/>
      <c r="N34" s="1"/>
      <c r="O34" s="1"/>
      <c r="P34" s="1"/>
      <c r="Q34" s="1"/>
      <c r="R34" s="1"/>
      <c r="S34" s="1"/>
      <c r="T34" s="1"/>
      <c r="U34" s="1">
        <v>868089.65085866302</v>
      </c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>
        <v>2352259.8034413005</v>
      </c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>
        <v>791638.98621550424</v>
      </c>
      <c r="AU34" s="1"/>
      <c r="AV34" s="1"/>
      <c r="AW34" s="1"/>
      <c r="AX34" s="1"/>
      <c r="AY34" s="1"/>
      <c r="AZ34" s="1"/>
      <c r="BA34" s="1"/>
      <c r="BB34" s="1"/>
      <c r="BC34" s="1">
        <v>532893.22053942352</v>
      </c>
      <c r="BD34" s="1"/>
      <c r="BE34" s="1"/>
      <c r="BF34" s="1"/>
      <c r="BG34" s="1"/>
      <c r="BH34" s="1"/>
      <c r="BI34" s="4">
        <v>4560018.1357592568</v>
      </c>
      <c r="BJ34" s="2">
        <v>458220.02486759122</v>
      </c>
      <c r="BK34" s="2"/>
      <c r="BL34" s="2"/>
      <c r="BM34" s="2"/>
      <c r="BN34" s="2"/>
      <c r="BO34" s="2"/>
      <c r="BP34" s="2"/>
      <c r="BQ34" s="1">
        <v>439051.90746433247</v>
      </c>
      <c r="BR34" s="2"/>
      <c r="BS34" s="2"/>
      <c r="BT34" s="2"/>
      <c r="BU34" s="2"/>
      <c r="BV34" s="2"/>
      <c r="BW34" s="2"/>
      <c r="BX34" s="2"/>
      <c r="BY34" s="2"/>
      <c r="BZ34" s="1">
        <v>643601.15312069224</v>
      </c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1">
        <v>296123.07062574988</v>
      </c>
      <c r="CU34" s="2"/>
      <c r="CV34" s="2"/>
      <c r="CW34" s="2"/>
      <c r="CX34" s="1">
        <v>943792.30962067738</v>
      </c>
      <c r="CY34" s="2"/>
      <c r="CZ34" s="2"/>
      <c r="DA34" s="2"/>
      <c r="DB34" s="2"/>
      <c r="DC34" s="2"/>
      <c r="DD34" s="2"/>
      <c r="DE34" s="1">
        <v>528377.79210165027</v>
      </c>
      <c r="DF34" s="2"/>
      <c r="DG34" s="2"/>
      <c r="DH34" s="2"/>
      <c r="DI34" s="2"/>
      <c r="DJ34" s="2"/>
      <c r="DK34" s="2"/>
      <c r="DL34" s="1">
        <v>622039.96763916791</v>
      </c>
      <c r="DM34" s="2"/>
      <c r="DN34" s="2"/>
      <c r="DO34" s="2"/>
      <c r="DP34" s="2"/>
      <c r="DQ34" s="2"/>
      <c r="DR34" s="2"/>
      <c r="DS34" s="1">
        <v>240347.8360871441</v>
      </c>
      <c r="DT34" s="2"/>
      <c r="DU34" s="2"/>
      <c r="DV34" s="2"/>
      <c r="DW34" s="2"/>
      <c r="DX34" s="2"/>
      <c r="DY34" s="2"/>
      <c r="DZ34" s="2"/>
      <c r="EA34" s="2"/>
      <c r="EB34" s="1">
        <v>28154.031195130894</v>
      </c>
      <c r="EC34" s="2"/>
      <c r="ED34" s="2"/>
      <c r="EE34" s="1">
        <v>78584.212482716859</v>
      </c>
      <c r="EF34" s="2"/>
      <c r="EG34" s="1">
        <v>281725.83055440331</v>
      </c>
      <c r="EH34" s="2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4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1">
        <v>1715522.955149164</v>
      </c>
      <c r="LP34" s="1"/>
      <c r="LQ34" s="1"/>
      <c r="LR34" s="1"/>
      <c r="LS34" s="1"/>
      <c r="LT34" s="1"/>
      <c r="LU34" s="1">
        <v>1262578.8630116051</v>
      </c>
      <c r="LV34" s="1"/>
      <c r="LW34" s="1"/>
      <c r="LX34" s="1"/>
      <c r="LY34" s="1"/>
      <c r="LZ34" s="1"/>
      <c r="MA34" s="1"/>
      <c r="MB34" s="1"/>
      <c r="MC34" s="1"/>
      <c r="MD34" s="1"/>
      <c r="ME34" s="1"/>
    </row>
    <row r="35" spans="1:343">
      <c r="A35" s="1">
        <v>1398</v>
      </c>
      <c r="B35" s="1">
        <v>7554115.7676875796</v>
      </c>
      <c r="C35" s="1">
        <v>2157231.1099383086</v>
      </c>
      <c r="D35" s="1"/>
      <c r="E35" s="1"/>
      <c r="F35" s="1"/>
      <c r="G35" s="1"/>
      <c r="H35" s="1"/>
      <c r="I35" s="1"/>
      <c r="J35" s="1"/>
      <c r="K35" s="1">
        <v>835595.50043084915</v>
      </c>
      <c r="L35" s="1"/>
      <c r="M35" s="1"/>
      <c r="N35" s="1"/>
      <c r="O35" s="1"/>
      <c r="P35" s="1"/>
      <c r="Q35" s="1"/>
      <c r="R35" s="1"/>
      <c r="S35" s="1"/>
      <c r="T35" s="1"/>
      <c r="U35" s="1">
        <v>871996.05428752699</v>
      </c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>
        <v>2360257.486773001</v>
      </c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>
        <v>794330.55876863701</v>
      </c>
      <c r="AU35" s="1"/>
      <c r="AV35" s="1"/>
      <c r="AW35" s="1"/>
      <c r="AX35" s="1"/>
      <c r="AY35" s="1"/>
      <c r="AZ35" s="1"/>
      <c r="BA35" s="1"/>
      <c r="BB35" s="1"/>
      <c r="BC35" s="1">
        <v>534705.05748925766</v>
      </c>
      <c r="BD35" s="1"/>
      <c r="BE35" s="1"/>
      <c r="BF35" s="1"/>
      <c r="BG35" s="1"/>
      <c r="BH35" s="1"/>
      <c r="BI35" s="4">
        <v>4578819.1859764708</v>
      </c>
      <c r="BJ35" s="2">
        <v>460098.72696954833</v>
      </c>
      <c r="BK35" s="2"/>
      <c r="BL35" s="2"/>
      <c r="BM35" s="2"/>
      <c r="BN35" s="2"/>
      <c r="BO35" s="2"/>
      <c r="BP35" s="2"/>
      <c r="BQ35" s="1">
        <v>440237.34761448612</v>
      </c>
      <c r="BR35" s="2"/>
      <c r="BS35" s="2"/>
      <c r="BT35" s="2"/>
      <c r="BU35" s="2"/>
      <c r="BV35" s="2"/>
      <c r="BW35" s="2"/>
      <c r="BX35" s="2"/>
      <c r="BY35" s="2"/>
      <c r="BZ35" s="1">
        <v>648106.36119253701</v>
      </c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1">
        <v>297129.88906587748</v>
      </c>
      <c r="CU35" s="2"/>
      <c r="CV35" s="2"/>
      <c r="CW35" s="2"/>
      <c r="CX35" s="1">
        <v>947001.20347338775</v>
      </c>
      <c r="CY35" s="2"/>
      <c r="CZ35" s="2"/>
      <c r="DA35" s="2"/>
      <c r="DB35" s="2"/>
      <c r="DC35" s="2"/>
      <c r="DD35" s="2"/>
      <c r="DE35" s="1">
        <v>530174.27659479587</v>
      </c>
      <c r="DF35" s="2"/>
      <c r="DG35" s="2"/>
      <c r="DH35" s="2"/>
      <c r="DI35" s="2"/>
      <c r="DJ35" s="2"/>
      <c r="DK35" s="2"/>
      <c r="DL35" s="1">
        <v>624154.9035291411</v>
      </c>
      <c r="DM35" s="2"/>
      <c r="DN35" s="2"/>
      <c r="DO35" s="2"/>
      <c r="DP35" s="2"/>
      <c r="DQ35" s="2"/>
      <c r="DR35" s="2"/>
      <c r="DS35" s="1">
        <v>242030.27093975409</v>
      </c>
      <c r="DT35" s="2"/>
      <c r="DU35" s="2"/>
      <c r="DV35" s="2"/>
      <c r="DW35" s="2"/>
      <c r="DX35" s="2"/>
      <c r="DY35" s="2"/>
      <c r="DZ35" s="2"/>
      <c r="EA35" s="2"/>
      <c r="EB35" s="1">
        <v>28351.109413496808</v>
      </c>
      <c r="EC35" s="2"/>
      <c r="ED35" s="2"/>
      <c r="EE35" s="1">
        <v>78851.398805158096</v>
      </c>
      <c r="EF35" s="2"/>
      <c r="EG35" s="1">
        <v>282683.6983782883</v>
      </c>
      <c r="EH35" s="2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4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1">
        <v>1721355.7331966711</v>
      </c>
      <c r="LP35" s="1"/>
      <c r="LQ35" s="1"/>
      <c r="LR35" s="1"/>
      <c r="LS35" s="1"/>
      <c r="LT35" s="1"/>
      <c r="LU35" s="1">
        <v>1266871.6311458447</v>
      </c>
      <c r="LV35" s="1"/>
      <c r="LW35" s="1"/>
      <c r="LX35" s="1"/>
      <c r="LY35" s="1"/>
      <c r="LZ35" s="1"/>
      <c r="MA35" s="1"/>
      <c r="MB35" s="1"/>
      <c r="MC35" s="1"/>
      <c r="MD35" s="1"/>
      <c r="ME35" s="1"/>
    </row>
    <row r="36" spans="1:343">
      <c r="A36" s="1">
        <v>1399</v>
      </c>
      <c r="B36" s="1">
        <v>7581678.1120079085</v>
      </c>
      <c r="C36" s="1">
        <v>2164565.6957120989</v>
      </c>
      <c r="D36" s="1"/>
      <c r="E36" s="1"/>
      <c r="F36" s="1"/>
      <c r="G36" s="1"/>
      <c r="H36" s="1"/>
      <c r="I36" s="1"/>
      <c r="J36" s="1"/>
      <c r="K36" s="1">
        <v>839355.68018278794</v>
      </c>
      <c r="L36" s="1"/>
      <c r="M36" s="1"/>
      <c r="N36" s="1"/>
      <c r="O36" s="1"/>
      <c r="P36" s="1"/>
      <c r="Q36" s="1"/>
      <c r="R36" s="1"/>
      <c r="S36" s="1"/>
      <c r="T36" s="1"/>
      <c r="U36" s="1">
        <v>875920.03653182078</v>
      </c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>
        <v>2368282.3622280294</v>
      </c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>
        <v>797031.28266845038</v>
      </c>
      <c r="AU36" s="1"/>
      <c r="AV36" s="1"/>
      <c r="AW36" s="1"/>
      <c r="AX36" s="1"/>
      <c r="AY36" s="1"/>
      <c r="AZ36" s="1"/>
      <c r="BA36" s="1"/>
      <c r="BB36" s="1"/>
      <c r="BC36" s="1">
        <v>536523.05468472117</v>
      </c>
      <c r="BD36" s="1"/>
      <c r="BE36" s="1"/>
      <c r="BF36" s="1"/>
      <c r="BG36" s="1"/>
      <c r="BH36" s="1"/>
      <c r="BI36" s="4">
        <v>4597707.6300439043</v>
      </c>
      <c r="BJ36" s="2">
        <v>461985.13175012346</v>
      </c>
      <c r="BK36" s="2"/>
      <c r="BL36" s="2"/>
      <c r="BM36" s="2"/>
      <c r="BN36" s="2"/>
      <c r="BO36" s="2"/>
      <c r="BP36" s="2"/>
      <c r="BQ36" s="1">
        <v>441425.9884530452</v>
      </c>
      <c r="BR36" s="2"/>
      <c r="BS36" s="2"/>
      <c r="BT36" s="2"/>
      <c r="BU36" s="2"/>
      <c r="BV36" s="2"/>
      <c r="BW36" s="2"/>
      <c r="BX36" s="2"/>
      <c r="BY36" s="2"/>
      <c r="BZ36" s="1">
        <v>652643.10572088475</v>
      </c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1">
        <v>298140.13068870147</v>
      </c>
      <c r="CU36" s="2"/>
      <c r="CV36" s="2"/>
      <c r="CW36" s="2"/>
      <c r="CX36" s="1">
        <v>950221.0075651973</v>
      </c>
      <c r="CY36" s="2"/>
      <c r="CZ36" s="2"/>
      <c r="DA36" s="2"/>
      <c r="DB36" s="2"/>
      <c r="DC36" s="2"/>
      <c r="DD36" s="2"/>
      <c r="DE36" s="1">
        <v>531976.86913521821</v>
      </c>
      <c r="DF36" s="2"/>
      <c r="DG36" s="2"/>
      <c r="DH36" s="2"/>
      <c r="DI36" s="2"/>
      <c r="DJ36" s="2"/>
      <c r="DK36" s="2"/>
      <c r="DL36" s="1">
        <v>626277.03020114021</v>
      </c>
      <c r="DM36" s="2"/>
      <c r="DN36" s="2"/>
      <c r="DO36" s="2"/>
      <c r="DP36" s="2"/>
      <c r="DQ36" s="2"/>
      <c r="DR36" s="2"/>
      <c r="DS36" s="1">
        <v>243724.48283633235</v>
      </c>
      <c r="DT36" s="2"/>
      <c r="DU36" s="2"/>
      <c r="DV36" s="2"/>
      <c r="DW36" s="2"/>
      <c r="DX36" s="2"/>
      <c r="DY36" s="2"/>
      <c r="DZ36" s="2"/>
      <c r="EA36" s="2"/>
      <c r="EB36" s="1">
        <v>28549.567179391284</v>
      </c>
      <c r="EC36" s="2"/>
      <c r="ED36" s="2"/>
      <c r="EE36" s="1">
        <v>79119.493561095645</v>
      </c>
      <c r="EF36" s="2"/>
      <c r="EG36" s="1">
        <v>283644.82295277453</v>
      </c>
      <c r="EH36" s="2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4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1">
        <v>1727208.34268954</v>
      </c>
      <c r="LP36" s="1"/>
      <c r="LQ36" s="1"/>
      <c r="LR36" s="1"/>
      <c r="LS36" s="1"/>
      <c r="LT36" s="1"/>
      <c r="LU36" s="1">
        <v>1271178.9946917407</v>
      </c>
      <c r="LV36" s="1"/>
      <c r="LW36" s="1"/>
      <c r="LX36" s="1"/>
      <c r="LY36" s="1"/>
      <c r="LZ36" s="1"/>
      <c r="MA36" s="1"/>
      <c r="MB36" s="1"/>
      <c r="MC36" s="1"/>
      <c r="MD36" s="1"/>
      <c r="ME36" s="1"/>
    </row>
    <row r="37" spans="1:343">
      <c r="A37" s="1">
        <v>1400</v>
      </c>
      <c r="B37" s="1">
        <v>7609342.6208771216</v>
      </c>
      <c r="C37" s="1">
        <v>2171925.2190775201</v>
      </c>
      <c r="D37" s="1"/>
      <c r="E37" s="1"/>
      <c r="F37" s="1"/>
      <c r="G37" s="1"/>
      <c r="H37" s="1"/>
      <c r="I37" s="1"/>
      <c r="J37" s="1"/>
      <c r="K37" s="1">
        <v>843132.78074361046</v>
      </c>
      <c r="L37" s="1"/>
      <c r="M37" s="1"/>
      <c r="N37" s="1"/>
      <c r="O37" s="1"/>
      <c r="P37" s="1"/>
      <c r="Q37" s="1"/>
      <c r="R37" s="1"/>
      <c r="S37" s="1"/>
      <c r="T37" s="1"/>
      <c r="U37" s="1">
        <v>879861.67669621389</v>
      </c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>
        <v>2376334.5222596047</v>
      </c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>
        <v>799741.18902952317</v>
      </c>
      <c r="AU37" s="1"/>
      <c r="AV37" s="1"/>
      <c r="AW37" s="1"/>
      <c r="AX37" s="1"/>
      <c r="AY37" s="1"/>
      <c r="AZ37" s="1"/>
      <c r="BA37" s="1"/>
      <c r="BB37" s="1"/>
      <c r="BC37" s="1">
        <v>538347.23307064921</v>
      </c>
      <c r="BD37" s="1"/>
      <c r="BE37" s="1"/>
      <c r="BF37" s="1"/>
      <c r="BG37" s="1"/>
      <c r="BH37" s="1"/>
      <c r="BI37" s="4">
        <v>4616683.9291470135</v>
      </c>
      <c r="BJ37" s="2">
        <v>463879.27079029894</v>
      </c>
      <c r="BK37" s="2"/>
      <c r="BL37" s="2"/>
      <c r="BM37" s="2"/>
      <c r="BN37" s="2"/>
      <c r="BO37" s="2"/>
      <c r="BP37" s="2"/>
      <c r="BQ37" s="1">
        <v>442617.8386218684</v>
      </c>
      <c r="BR37" s="2"/>
      <c r="BS37" s="2"/>
      <c r="BT37" s="2"/>
      <c r="BU37" s="2"/>
      <c r="BV37" s="2"/>
      <c r="BW37" s="2"/>
      <c r="BX37" s="2"/>
      <c r="BY37" s="2"/>
      <c r="BZ37" s="1">
        <v>657211.60746093083</v>
      </c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1">
        <v>299153.80713304307</v>
      </c>
      <c r="CU37" s="2"/>
      <c r="CV37" s="2"/>
      <c r="CW37" s="2"/>
      <c r="CX37" s="1">
        <v>953451.75899091898</v>
      </c>
      <c r="CY37" s="2"/>
      <c r="CZ37" s="2"/>
      <c r="DA37" s="2"/>
      <c r="DB37" s="2"/>
      <c r="DC37" s="2"/>
      <c r="DD37" s="2"/>
      <c r="DE37" s="1">
        <v>533785.59049027797</v>
      </c>
      <c r="DF37" s="2"/>
      <c r="DG37" s="2"/>
      <c r="DH37" s="2"/>
      <c r="DI37" s="2"/>
      <c r="DJ37" s="2"/>
      <c r="DK37" s="2"/>
      <c r="DL37" s="1">
        <v>628406.37210382416</v>
      </c>
      <c r="DM37" s="2"/>
      <c r="DN37" s="2"/>
      <c r="DO37" s="2"/>
      <c r="DP37" s="2"/>
      <c r="DQ37" s="2"/>
      <c r="DR37" s="2"/>
      <c r="DS37" s="1">
        <v>245430.55421618666</v>
      </c>
      <c r="DT37" s="2"/>
      <c r="DU37" s="2"/>
      <c r="DV37" s="2"/>
      <c r="DW37" s="2"/>
      <c r="DX37" s="2"/>
      <c r="DY37" s="2"/>
      <c r="DZ37" s="2"/>
      <c r="EA37" s="2"/>
      <c r="EB37" s="1">
        <v>28749.414149647022</v>
      </c>
      <c r="EC37" s="2"/>
      <c r="ED37" s="2"/>
      <c r="EE37" s="1">
        <v>79388.499839203374</v>
      </c>
      <c r="EF37" s="2"/>
      <c r="EG37" s="1">
        <v>284609.21535081399</v>
      </c>
      <c r="EH37" s="2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4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15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1">
        <v>1733080.8510546845</v>
      </c>
      <c r="LP37" s="1"/>
      <c r="LQ37" s="1"/>
      <c r="LR37" s="1"/>
      <c r="LS37" s="1"/>
      <c r="LT37" s="1"/>
      <c r="LU37" s="1">
        <v>1275501.0032736927</v>
      </c>
      <c r="LV37" s="1"/>
      <c r="LW37" s="1"/>
      <c r="LX37" s="1"/>
      <c r="LY37" s="1"/>
      <c r="LZ37" s="1"/>
      <c r="MA37" s="1"/>
      <c r="MB37" s="1"/>
      <c r="MC37" s="1"/>
      <c r="MD37" s="1"/>
      <c r="ME37" s="1"/>
    </row>
    <row r="38" spans="1:343">
      <c r="A38" s="1">
        <v>1401</v>
      </c>
      <c r="B38" s="1">
        <v>7637109.6796912877</v>
      </c>
      <c r="C38" s="1">
        <v>2179309.7648223839</v>
      </c>
      <c r="D38" s="1"/>
      <c r="E38" s="1"/>
      <c r="F38" s="1"/>
      <c r="G38" s="1"/>
      <c r="H38" s="1"/>
      <c r="I38" s="1"/>
      <c r="J38" s="1"/>
      <c r="K38" s="1">
        <v>846926.8782569567</v>
      </c>
      <c r="L38" s="1"/>
      <c r="M38" s="1"/>
      <c r="N38" s="1"/>
      <c r="O38" s="1"/>
      <c r="P38" s="1"/>
      <c r="Q38" s="1"/>
      <c r="R38" s="1"/>
      <c r="S38" s="1"/>
      <c r="T38" s="1"/>
      <c r="U38" s="1">
        <v>883821.05424134678</v>
      </c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>
        <v>2384414.0596352876</v>
      </c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>
        <v>802460.30907222361</v>
      </c>
      <c r="AU38" s="1"/>
      <c r="AV38" s="1"/>
      <c r="AW38" s="1"/>
      <c r="AX38" s="1"/>
      <c r="AY38" s="1"/>
      <c r="AZ38" s="1"/>
      <c r="BA38" s="1"/>
      <c r="BB38" s="1"/>
      <c r="BC38" s="1">
        <v>540177.61366308946</v>
      </c>
      <c r="BD38" s="1"/>
      <c r="BE38" s="1"/>
      <c r="BF38" s="1"/>
      <c r="BG38" s="1"/>
      <c r="BH38" s="1"/>
      <c r="BI38" s="4">
        <v>4635748.5471816072</v>
      </c>
      <c r="BJ38" s="2">
        <v>465781.17580053915</v>
      </c>
      <c r="BK38" s="2"/>
      <c r="BL38" s="2"/>
      <c r="BM38" s="2"/>
      <c r="BN38" s="2"/>
      <c r="BO38" s="2"/>
      <c r="BP38" s="2"/>
      <c r="BQ38" s="1">
        <v>443812.90678614739</v>
      </c>
      <c r="BR38" s="2"/>
      <c r="BS38" s="2"/>
      <c r="BT38" s="2"/>
      <c r="BU38" s="2"/>
      <c r="BV38" s="2"/>
      <c r="BW38" s="2"/>
      <c r="BX38" s="2"/>
      <c r="BY38" s="2"/>
      <c r="BZ38" s="1">
        <v>661812.08871315722</v>
      </c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1">
        <v>300170.93007729546</v>
      </c>
      <c r="CU38" s="2"/>
      <c r="CV38" s="2"/>
      <c r="CW38" s="2"/>
      <c r="CX38" s="1">
        <v>956693.49497148814</v>
      </c>
      <c r="CY38" s="2"/>
      <c r="CZ38" s="2"/>
      <c r="DA38" s="2"/>
      <c r="DB38" s="2"/>
      <c r="DC38" s="2"/>
      <c r="DD38" s="2"/>
      <c r="DE38" s="1">
        <v>535600.46149794501</v>
      </c>
      <c r="DF38" s="2"/>
      <c r="DG38" s="2"/>
      <c r="DH38" s="2"/>
      <c r="DI38" s="2"/>
      <c r="DJ38" s="2"/>
      <c r="DK38" s="2"/>
      <c r="DL38" s="1">
        <v>630542.9537689772</v>
      </c>
      <c r="DM38" s="2"/>
      <c r="DN38" s="2"/>
      <c r="DO38" s="2"/>
      <c r="DP38" s="2"/>
      <c r="DQ38" s="2"/>
      <c r="DR38" s="2"/>
      <c r="DS38" s="1">
        <v>247148.56809569994</v>
      </c>
      <c r="DT38" s="2"/>
      <c r="DU38" s="2"/>
      <c r="DV38" s="2"/>
      <c r="DW38" s="2"/>
      <c r="DX38" s="2"/>
      <c r="DY38" s="2"/>
      <c r="DZ38" s="2"/>
      <c r="EA38" s="2"/>
      <c r="EB38" s="1">
        <v>28950.66004869455</v>
      </c>
      <c r="EC38" s="2"/>
      <c r="ED38" s="2"/>
      <c r="EE38" s="1">
        <v>79658.42073865667</v>
      </c>
      <c r="EF38" s="2"/>
      <c r="EG38" s="1">
        <v>285576.88668300677</v>
      </c>
      <c r="EH38" s="2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4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15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1">
        <v>1738973.3259482705</v>
      </c>
      <c r="LP38" s="1"/>
      <c r="LQ38" s="1"/>
      <c r="LR38" s="1"/>
      <c r="LS38" s="1"/>
      <c r="LT38" s="1"/>
      <c r="LU38" s="1">
        <v>1279837.7066848234</v>
      </c>
      <c r="LV38" s="1"/>
      <c r="LW38" s="1"/>
      <c r="LX38" s="1"/>
      <c r="LY38" s="1"/>
      <c r="LZ38" s="1"/>
      <c r="MA38" s="1"/>
      <c r="MB38" s="1"/>
      <c r="MC38" s="1"/>
      <c r="MD38" s="1"/>
      <c r="ME38" s="1"/>
    </row>
    <row r="39" spans="1:343">
      <c r="A39" s="1">
        <v>1402</v>
      </c>
      <c r="B39" s="1">
        <v>7664979.6753279865</v>
      </c>
      <c r="C39" s="1">
        <v>2186719.4180227802</v>
      </c>
      <c r="D39" s="1"/>
      <c r="E39" s="1"/>
      <c r="F39" s="1"/>
      <c r="G39" s="1"/>
      <c r="H39" s="1"/>
      <c r="I39" s="1"/>
      <c r="J39" s="1"/>
      <c r="K39" s="1">
        <v>850738.049209113</v>
      </c>
      <c r="L39" s="1"/>
      <c r="M39" s="1"/>
      <c r="N39" s="1"/>
      <c r="O39" s="1"/>
      <c r="P39" s="1"/>
      <c r="Q39" s="1"/>
      <c r="R39" s="1"/>
      <c r="S39" s="1"/>
      <c r="T39" s="1"/>
      <c r="U39" s="1">
        <v>887798.24898543279</v>
      </c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>
        <v>2392521.0674380478</v>
      </c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>
        <v>805188.67412306927</v>
      </c>
      <c r="AU39" s="1"/>
      <c r="AV39" s="1"/>
      <c r="AW39" s="1"/>
      <c r="AX39" s="1"/>
      <c r="AY39" s="1"/>
      <c r="AZ39" s="1"/>
      <c r="BA39" s="1"/>
      <c r="BB39" s="1"/>
      <c r="BC39" s="1">
        <v>542014.21754954406</v>
      </c>
      <c r="BD39" s="1"/>
      <c r="BE39" s="1"/>
      <c r="BF39" s="1"/>
      <c r="BG39" s="1"/>
      <c r="BH39" s="1"/>
      <c r="BI39" s="4">
        <v>4654901.9507710226</v>
      </c>
      <c r="BJ39" s="2">
        <v>467690.87862132135</v>
      </c>
      <c r="BK39" s="2"/>
      <c r="BL39" s="2"/>
      <c r="BM39" s="2"/>
      <c r="BN39" s="2"/>
      <c r="BO39" s="2"/>
      <c r="BP39" s="2"/>
      <c r="BQ39" s="1">
        <v>445011.20163446997</v>
      </c>
      <c r="BR39" s="2"/>
      <c r="BS39" s="2"/>
      <c r="BT39" s="2"/>
      <c r="BU39" s="2"/>
      <c r="BV39" s="2"/>
      <c r="BW39" s="2"/>
      <c r="BX39" s="2"/>
      <c r="BY39" s="2"/>
      <c r="BZ39" s="1">
        <v>666444.77333414927</v>
      </c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1">
        <v>301191.51123955828</v>
      </c>
      <c r="CU39" s="2"/>
      <c r="CV39" s="2"/>
      <c r="CW39" s="2"/>
      <c r="CX39" s="1">
        <v>959946.25285439123</v>
      </c>
      <c r="CY39" s="2"/>
      <c r="CZ39" s="2"/>
      <c r="DA39" s="2"/>
      <c r="DB39" s="2"/>
      <c r="DC39" s="2"/>
      <c r="DD39" s="2"/>
      <c r="DE39" s="1">
        <v>537421.50306703802</v>
      </c>
      <c r="DF39" s="2"/>
      <c r="DG39" s="2"/>
      <c r="DH39" s="2"/>
      <c r="DI39" s="2"/>
      <c r="DJ39" s="2"/>
      <c r="DK39" s="2"/>
      <c r="DL39" s="1">
        <v>632686.79981179175</v>
      </c>
      <c r="DM39" s="2"/>
      <c r="DN39" s="2"/>
      <c r="DO39" s="2"/>
      <c r="DP39" s="2"/>
      <c r="DQ39" s="2"/>
      <c r="DR39" s="2"/>
      <c r="DS39" s="1">
        <v>248878.60807236983</v>
      </c>
      <c r="DT39" s="2"/>
      <c r="DU39" s="2"/>
      <c r="DV39" s="2"/>
      <c r="DW39" s="2"/>
      <c r="DX39" s="2"/>
      <c r="DY39" s="2"/>
      <c r="DZ39" s="2"/>
      <c r="EA39" s="2"/>
      <c r="EB39" s="1">
        <v>29153.314669035408</v>
      </c>
      <c r="EC39" s="2"/>
      <c r="ED39" s="2"/>
      <c r="EE39" s="1">
        <v>79929.25936916811</v>
      </c>
      <c r="EF39" s="2"/>
      <c r="EG39" s="1">
        <v>286547.84809772903</v>
      </c>
      <c r="EH39" s="2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4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1">
        <v>1744885.8352564948</v>
      </c>
      <c r="LP39" s="1"/>
      <c r="LQ39" s="1"/>
      <c r="LR39" s="1"/>
      <c r="LS39" s="1"/>
      <c r="LT39" s="1"/>
      <c r="LU39" s="1">
        <v>1284189.1548875519</v>
      </c>
      <c r="LV39" s="1"/>
      <c r="LW39" s="1"/>
      <c r="LX39" s="1"/>
      <c r="LY39" s="1"/>
      <c r="LZ39" s="1"/>
      <c r="MA39" s="1"/>
      <c r="MB39" s="1"/>
      <c r="MC39" s="1"/>
      <c r="MD39" s="1"/>
      <c r="ME39" s="1"/>
    </row>
    <row r="40" spans="1:343">
      <c r="A40" s="1">
        <v>1403</v>
      </c>
      <c r="B40" s="1">
        <v>7692952.9961521169</v>
      </c>
      <c r="C40" s="1">
        <v>2194154.264044058</v>
      </c>
      <c r="D40" s="1"/>
      <c r="E40" s="1"/>
      <c r="F40" s="1"/>
      <c r="G40" s="1"/>
      <c r="H40" s="1"/>
      <c r="I40" s="1"/>
      <c r="J40" s="1"/>
      <c r="K40" s="1">
        <v>854566.37043055391</v>
      </c>
      <c r="L40" s="1"/>
      <c r="M40" s="1"/>
      <c r="N40" s="1"/>
      <c r="O40" s="1"/>
      <c r="P40" s="1"/>
      <c r="Q40" s="1"/>
      <c r="R40" s="1"/>
      <c r="S40" s="1"/>
      <c r="T40" s="1"/>
      <c r="U40" s="1">
        <v>891793.34110586718</v>
      </c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>
        <v>2400655.6390673374</v>
      </c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>
        <v>807926.31561508775</v>
      </c>
      <c r="AU40" s="1"/>
      <c r="AV40" s="1"/>
      <c r="AW40" s="1"/>
      <c r="AX40" s="1"/>
      <c r="AY40" s="1"/>
      <c r="AZ40" s="1"/>
      <c r="BA40" s="1"/>
      <c r="BB40" s="1"/>
      <c r="BC40" s="1">
        <v>543857.06588921254</v>
      </c>
      <c r="BD40" s="1"/>
      <c r="BE40" s="1"/>
      <c r="BF40" s="1"/>
      <c r="BG40" s="1"/>
      <c r="BH40" s="1"/>
      <c r="BI40" s="4">
        <v>4674144.6092834072</v>
      </c>
      <c r="BJ40" s="2">
        <v>469608.41122366878</v>
      </c>
      <c r="BK40" s="2"/>
      <c r="BL40" s="2"/>
      <c r="BM40" s="2"/>
      <c r="BN40" s="2"/>
      <c r="BO40" s="2"/>
      <c r="BP40" s="2"/>
      <c r="BQ40" s="1">
        <v>446212.73187888297</v>
      </c>
      <c r="BR40" s="2"/>
      <c r="BS40" s="2"/>
      <c r="BT40" s="2"/>
      <c r="BU40" s="2"/>
      <c r="BV40" s="2"/>
      <c r="BW40" s="2"/>
      <c r="BX40" s="2"/>
      <c r="BY40" s="2"/>
      <c r="BZ40" s="1">
        <v>671109.88674748829</v>
      </c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1">
        <v>302215.56237777282</v>
      </c>
      <c r="CU40" s="2"/>
      <c r="CV40" s="2"/>
      <c r="CW40" s="2"/>
      <c r="CX40" s="1">
        <v>963210.07011409628</v>
      </c>
      <c r="CY40" s="2"/>
      <c r="CZ40" s="2"/>
      <c r="DA40" s="2"/>
      <c r="DB40" s="2"/>
      <c r="DC40" s="2"/>
      <c r="DD40" s="2"/>
      <c r="DE40" s="1">
        <v>539248.73617746599</v>
      </c>
      <c r="DF40" s="2"/>
      <c r="DG40" s="2"/>
      <c r="DH40" s="2"/>
      <c r="DI40" s="2"/>
      <c r="DJ40" s="2"/>
      <c r="DK40" s="2"/>
      <c r="DL40" s="1">
        <v>634837.93493115192</v>
      </c>
      <c r="DM40" s="2"/>
      <c r="DN40" s="2"/>
      <c r="DO40" s="2"/>
      <c r="DP40" s="2"/>
      <c r="DQ40" s="2"/>
      <c r="DR40" s="2"/>
      <c r="DS40" s="1">
        <v>250620.7583288764</v>
      </c>
      <c r="DT40" s="2"/>
      <c r="DU40" s="2"/>
      <c r="DV40" s="2"/>
      <c r="DW40" s="2"/>
      <c r="DX40" s="2"/>
      <c r="DY40" s="2"/>
      <c r="DZ40" s="2"/>
      <c r="EA40" s="2"/>
      <c r="EB40" s="1">
        <v>29357.387871718653</v>
      </c>
      <c r="EC40" s="2"/>
      <c r="ED40" s="2"/>
      <c r="EE40" s="1">
        <v>80201.018851023284</v>
      </c>
      <c r="EF40" s="2"/>
      <c r="EG40" s="1">
        <v>287522.11078126135</v>
      </c>
      <c r="EH40" s="2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4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15"/>
      <c r="IX40" s="2"/>
      <c r="IY40" s="15"/>
      <c r="IZ40" s="2"/>
      <c r="JA40" s="15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1">
        <v>1750818.4470963671</v>
      </c>
      <c r="LP40" s="1"/>
      <c r="LQ40" s="1"/>
      <c r="LR40" s="1"/>
      <c r="LS40" s="1"/>
      <c r="LT40" s="1"/>
      <c r="LU40" s="1">
        <v>1288555.3980141697</v>
      </c>
      <c r="LV40" s="1"/>
      <c r="LW40" s="1"/>
      <c r="LX40" s="1"/>
      <c r="LY40" s="1"/>
      <c r="LZ40" s="1"/>
      <c r="MA40" s="1"/>
      <c r="MB40" s="1"/>
      <c r="MC40" s="1"/>
      <c r="MD40" s="1"/>
      <c r="ME40" s="1"/>
    </row>
    <row r="41" spans="1:343">
      <c r="A41" s="1">
        <v>1404</v>
      </c>
      <c r="B41" s="1">
        <v>7721030.0320217237</v>
      </c>
      <c r="C41" s="1">
        <v>2201614.3885418079</v>
      </c>
      <c r="D41" s="1"/>
      <c r="E41" s="1"/>
      <c r="F41" s="1"/>
      <c r="G41" s="1"/>
      <c r="H41" s="1"/>
      <c r="I41" s="1"/>
      <c r="J41" s="1"/>
      <c r="K41" s="1">
        <v>858411.91909749131</v>
      </c>
      <c r="L41" s="1"/>
      <c r="M41" s="1"/>
      <c r="N41" s="1"/>
      <c r="O41" s="1"/>
      <c r="P41" s="1"/>
      <c r="Q41" s="1"/>
      <c r="R41" s="1"/>
      <c r="S41" s="1"/>
      <c r="T41" s="1"/>
      <c r="U41" s="1">
        <v>895806.41114084353</v>
      </c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>
        <v>2408817.8682401665</v>
      </c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>
        <v>810673.26508817915</v>
      </c>
      <c r="AU41" s="1"/>
      <c r="AV41" s="1"/>
      <c r="AW41" s="1"/>
      <c r="AX41" s="1"/>
      <c r="AY41" s="1"/>
      <c r="AZ41" s="1"/>
      <c r="BA41" s="1"/>
      <c r="BB41" s="1"/>
      <c r="BC41" s="1">
        <v>545706.17991323594</v>
      </c>
      <c r="BD41" s="1"/>
      <c r="BE41" s="1"/>
      <c r="BF41" s="1"/>
      <c r="BG41" s="1"/>
      <c r="BH41" s="1"/>
      <c r="BI41" s="4">
        <v>4693476.9948491249</v>
      </c>
      <c r="BJ41" s="2">
        <v>471533.80570968584</v>
      </c>
      <c r="BK41" s="2"/>
      <c r="BL41" s="2"/>
      <c r="BM41" s="2"/>
      <c r="BN41" s="2"/>
      <c r="BO41" s="2"/>
      <c r="BP41" s="2"/>
      <c r="BQ41" s="1">
        <v>447417.50625495595</v>
      </c>
      <c r="BR41" s="2"/>
      <c r="BS41" s="2"/>
      <c r="BT41" s="2"/>
      <c r="BU41" s="2"/>
      <c r="BV41" s="2"/>
      <c r="BW41" s="2"/>
      <c r="BX41" s="2"/>
      <c r="BY41" s="2"/>
      <c r="BZ41" s="1">
        <v>675807.65595472069</v>
      </c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1">
        <v>303243.09528985724</v>
      </c>
      <c r="CU41" s="2"/>
      <c r="CV41" s="2"/>
      <c r="CW41" s="2"/>
      <c r="CX41" s="1">
        <v>966484.98435248423</v>
      </c>
      <c r="CY41" s="2"/>
      <c r="CZ41" s="2"/>
      <c r="DA41" s="2"/>
      <c r="DB41" s="2"/>
      <c r="DC41" s="2"/>
      <c r="DD41" s="2"/>
      <c r="DE41" s="1">
        <v>541082.18188046943</v>
      </c>
      <c r="DF41" s="2"/>
      <c r="DG41" s="2"/>
      <c r="DH41" s="2"/>
      <c r="DI41" s="2"/>
      <c r="DJ41" s="2"/>
      <c r="DK41" s="2"/>
      <c r="DL41" s="1">
        <v>636996.3839099179</v>
      </c>
      <c r="DM41" s="2"/>
      <c r="DN41" s="2"/>
      <c r="DO41" s="2"/>
      <c r="DP41" s="2"/>
      <c r="DQ41" s="2"/>
      <c r="DR41" s="2"/>
      <c r="DS41" s="1">
        <v>252375.10363717852</v>
      </c>
      <c r="DT41" s="2"/>
      <c r="DU41" s="2"/>
      <c r="DV41" s="2"/>
      <c r="DW41" s="2"/>
      <c r="DX41" s="2"/>
      <c r="DY41" s="2"/>
      <c r="DZ41" s="2"/>
      <c r="EA41" s="2"/>
      <c r="EB41" s="1">
        <v>29562.889586820682</v>
      </c>
      <c r="EC41" s="2"/>
      <c r="ED41" s="2"/>
      <c r="EE41" s="1">
        <v>80473.702315116767</v>
      </c>
      <c r="EF41" s="2"/>
      <c r="EG41" s="1">
        <v>288499.68595791765</v>
      </c>
      <c r="EH41" s="2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4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15"/>
      <c r="IY41" s="15"/>
      <c r="IZ41" s="15"/>
      <c r="JA41" s="2"/>
      <c r="JB41" s="2"/>
      <c r="JC41" s="15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15"/>
      <c r="KA41" s="2"/>
      <c r="KB41" s="15"/>
      <c r="KC41" s="2"/>
      <c r="KD41" s="2"/>
      <c r="KE41" s="15"/>
      <c r="KF41" s="2"/>
      <c r="KG41" s="15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1">
        <v>1756771.229816495</v>
      </c>
      <c r="LP41" s="1"/>
      <c r="LQ41" s="1"/>
      <c r="LR41" s="1"/>
      <c r="LS41" s="1"/>
      <c r="LT41" s="1"/>
      <c r="LU41" s="1">
        <v>1292936.486367418</v>
      </c>
      <c r="LV41" s="1"/>
      <c r="LW41" s="1"/>
      <c r="LX41" s="1"/>
      <c r="LY41" s="1"/>
      <c r="LZ41" s="1"/>
      <c r="MA41" s="1"/>
      <c r="MB41" s="1"/>
      <c r="MC41" s="1"/>
      <c r="MD41" s="1"/>
      <c r="ME41" s="1"/>
    </row>
    <row r="42" spans="1:343">
      <c r="A42" s="1">
        <v>1405</v>
      </c>
      <c r="B42" s="1">
        <v>7749211.1742938608</v>
      </c>
      <c r="C42" s="1">
        <v>2209099.8774628504</v>
      </c>
      <c r="D42" s="1"/>
      <c r="E42" s="1"/>
      <c r="F42" s="1"/>
      <c r="G42" s="1"/>
      <c r="H42" s="1"/>
      <c r="I42" s="1"/>
      <c r="J42" s="1"/>
      <c r="K42" s="1">
        <v>862274.77273343003</v>
      </c>
      <c r="L42" s="1"/>
      <c r="M42" s="1"/>
      <c r="N42" s="1"/>
      <c r="O42" s="1"/>
      <c r="P42" s="1"/>
      <c r="Q42" s="1"/>
      <c r="R42" s="1"/>
      <c r="S42" s="1"/>
      <c r="T42" s="1"/>
      <c r="U42" s="1">
        <v>899837.53999097727</v>
      </c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>
        <v>2417007.8489921833</v>
      </c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>
        <v>813429.55418947898</v>
      </c>
      <c r="AU42" s="1"/>
      <c r="AV42" s="1"/>
      <c r="AW42" s="1"/>
      <c r="AX42" s="1"/>
      <c r="AY42" s="1"/>
      <c r="AZ42" s="1"/>
      <c r="BA42" s="1"/>
      <c r="BB42" s="1"/>
      <c r="BC42" s="1">
        <v>547561.58092494099</v>
      </c>
      <c r="BD42" s="1"/>
      <c r="BE42" s="1"/>
      <c r="BF42" s="1"/>
      <c r="BG42" s="1"/>
      <c r="BH42" s="1"/>
      <c r="BI42" s="4">
        <v>4712899.5823782738</v>
      </c>
      <c r="BJ42" s="2">
        <v>473467.09431309556</v>
      </c>
      <c r="BK42" s="2"/>
      <c r="BL42" s="2"/>
      <c r="BM42" s="2"/>
      <c r="BN42" s="2"/>
      <c r="BO42" s="2"/>
      <c r="BP42" s="2"/>
      <c r="BQ42" s="1">
        <v>448625.53352184431</v>
      </c>
      <c r="BR42" s="2"/>
      <c r="BS42" s="2"/>
      <c r="BT42" s="2"/>
      <c r="BU42" s="2"/>
      <c r="BV42" s="2"/>
      <c r="BW42" s="2"/>
      <c r="BX42" s="2"/>
      <c r="BY42" s="2"/>
      <c r="BZ42" s="1">
        <v>680538.3095464037</v>
      </c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1">
        <v>304274.12181384279</v>
      </c>
      <c r="CU42" s="2"/>
      <c r="CV42" s="2"/>
      <c r="CW42" s="2"/>
      <c r="CX42" s="1">
        <v>969771.03329928278</v>
      </c>
      <c r="CY42" s="2"/>
      <c r="CZ42" s="2"/>
      <c r="DA42" s="2"/>
      <c r="DB42" s="2"/>
      <c r="DC42" s="2"/>
      <c r="DD42" s="2"/>
      <c r="DE42" s="1">
        <v>542921.86129886308</v>
      </c>
      <c r="DF42" s="2"/>
      <c r="DG42" s="2"/>
      <c r="DH42" s="2"/>
      <c r="DI42" s="2"/>
      <c r="DJ42" s="2"/>
      <c r="DK42" s="2"/>
      <c r="DL42" s="1">
        <v>639162.17161521164</v>
      </c>
      <c r="DM42" s="2"/>
      <c r="DN42" s="2"/>
      <c r="DO42" s="2"/>
      <c r="DP42" s="2"/>
      <c r="DQ42" s="2"/>
      <c r="DR42" s="2"/>
      <c r="DS42" s="1">
        <v>254141.72936263873</v>
      </c>
      <c r="DT42" s="2"/>
      <c r="DU42" s="2"/>
      <c r="DV42" s="2"/>
      <c r="DW42" s="2"/>
      <c r="DX42" s="2"/>
      <c r="DY42" s="2"/>
      <c r="DZ42" s="2"/>
      <c r="EA42" s="2"/>
      <c r="EB42" s="1">
        <v>29769.829813928423</v>
      </c>
      <c r="EC42" s="2"/>
      <c r="ED42" s="2"/>
      <c r="EE42" s="1">
        <v>80747.312902988167</v>
      </c>
      <c r="EF42" s="2"/>
      <c r="EG42" s="1">
        <v>289480.58489017462</v>
      </c>
      <c r="EH42" s="2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4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15"/>
      <c r="JF42" s="15"/>
      <c r="JG42" s="2"/>
      <c r="JH42" s="15"/>
      <c r="JI42" s="15"/>
      <c r="JJ42" s="15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1">
        <v>1762744.2519978711</v>
      </c>
      <c r="LP42" s="1"/>
      <c r="LQ42" s="1"/>
      <c r="LR42" s="1"/>
      <c r="LS42" s="1"/>
      <c r="LT42" s="1"/>
      <c r="LU42" s="1">
        <v>1297332.4704210672</v>
      </c>
      <c r="LV42" s="1"/>
      <c r="LW42" s="1"/>
      <c r="LX42" s="1"/>
      <c r="LY42" s="1"/>
      <c r="LZ42" s="1"/>
      <c r="MA42" s="1"/>
      <c r="MB42" s="1"/>
      <c r="MC42" s="1"/>
      <c r="MD42" s="1"/>
      <c r="ME42" s="1"/>
    </row>
    <row r="43" spans="1:343">
      <c r="A43" s="1">
        <v>1406</v>
      </c>
      <c r="B43" s="1">
        <v>7777496.815830457</v>
      </c>
      <c r="C43" s="1">
        <v>2216610.8170462241</v>
      </c>
      <c r="D43" s="1"/>
      <c r="E43" s="1"/>
      <c r="F43" s="1"/>
      <c r="G43" s="1"/>
      <c r="H43" s="1"/>
      <c r="I43" s="1"/>
      <c r="J43" s="1"/>
      <c r="K43" s="1">
        <v>866155.00921073044</v>
      </c>
      <c r="L43" s="1"/>
      <c r="M43" s="1"/>
      <c r="N43" s="1"/>
      <c r="O43" s="1"/>
      <c r="P43" s="1"/>
      <c r="Q43" s="1"/>
      <c r="R43" s="1"/>
      <c r="S43" s="1"/>
      <c r="T43" s="1"/>
      <c r="U43" s="1">
        <v>903886.80892093666</v>
      </c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>
        <v>2425225.675678757</v>
      </c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>
        <v>816195.21467372321</v>
      </c>
      <c r="AU43" s="1"/>
      <c r="AV43" s="1"/>
      <c r="AW43" s="1"/>
      <c r="AX43" s="1"/>
      <c r="AY43" s="1"/>
      <c r="AZ43" s="1"/>
      <c r="BA43" s="1"/>
      <c r="BB43" s="1"/>
      <c r="BC43" s="1">
        <v>549423.29030008579</v>
      </c>
      <c r="BD43" s="1"/>
      <c r="BE43" s="1"/>
      <c r="BF43" s="1"/>
      <c r="BG43" s="1"/>
      <c r="BH43" s="1"/>
      <c r="BI43" s="4">
        <v>4732412.8495783173</v>
      </c>
      <c r="BJ43" s="2">
        <v>475408.30939977925</v>
      </c>
      <c r="BK43" s="2"/>
      <c r="BL43" s="2"/>
      <c r="BM43" s="2"/>
      <c r="BN43" s="2"/>
      <c r="BO43" s="2"/>
      <c r="BP43" s="2"/>
      <c r="BQ43" s="1">
        <v>449836.82246235327</v>
      </c>
      <c r="BR43" s="2"/>
      <c r="BS43" s="2"/>
      <c r="BT43" s="2"/>
      <c r="BU43" s="2"/>
      <c r="BV43" s="2"/>
      <c r="BW43" s="2"/>
      <c r="BX43" s="2"/>
      <c r="BY43" s="2"/>
      <c r="BZ43" s="1">
        <v>685302.07771322841</v>
      </c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1">
        <v>305308.6538280099</v>
      </c>
      <c r="CU43" s="2"/>
      <c r="CV43" s="2"/>
      <c r="CW43" s="2"/>
      <c r="CX43" s="1">
        <v>973068.25481250044</v>
      </c>
      <c r="CY43" s="2"/>
      <c r="CZ43" s="2"/>
      <c r="DA43" s="2"/>
      <c r="DB43" s="2"/>
      <c r="DC43" s="2"/>
      <c r="DD43" s="2"/>
      <c r="DE43" s="1">
        <v>544767.79562727921</v>
      </c>
      <c r="DF43" s="2"/>
      <c r="DG43" s="2"/>
      <c r="DH43" s="2"/>
      <c r="DI43" s="2"/>
      <c r="DJ43" s="2"/>
      <c r="DK43" s="2"/>
      <c r="DL43" s="1">
        <v>641335.32299870346</v>
      </c>
      <c r="DM43" s="2"/>
      <c r="DN43" s="2"/>
      <c r="DO43" s="2"/>
      <c r="DP43" s="2"/>
      <c r="DQ43" s="2"/>
      <c r="DR43" s="2"/>
      <c r="DS43" s="1">
        <v>255920.72146817716</v>
      </c>
      <c r="DT43" s="2"/>
      <c r="DU43" s="2"/>
      <c r="DV43" s="2"/>
      <c r="DW43" s="2"/>
      <c r="DX43" s="2"/>
      <c r="DY43" s="2"/>
      <c r="DZ43" s="2"/>
      <c r="EA43" s="2"/>
      <c r="EB43" s="1">
        <v>29978.218622625918</v>
      </c>
      <c r="EC43" s="2"/>
      <c r="ED43" s="2"/>
      <c r="EE43" s="1">
        <v>81021.85376685833</v>
      </c>
      <c r="EF43" s="2"/>
      <c r="EG43" s="1">
        <v>290464.81887880125</v>
      </c>
      <c r="EH43" s="2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4"/>
      <c r="HX43" s="2"/>
      <c r="HY43" s="2"/>
      <c r="HZ43" s="2"/>
      <c r="IA43" s="15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15"/>
      <c r="IY43" s="2"/>
      <c r="IZ43" s="2"/>
      <c r="JA43" s="2"/>
      <c r="JB43" s="2"/>
      <c r="JC43" s="2"/>
      <c r="JD43" s="2"/>
      <c r="JE43" s="15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1">
        <v>1768737.5824546639</v>
      </c>
      <c r="LP43" s="1"/>
      <c r="LQ43" s="1"/>
      <c r="LR43" s="1"/>
      <c r="LS43" s="1"/>
      <c r="LT43" s="1"/>
      <c r="LU43" s="1">
        <v>1301743.4008204988</v>
      </c>
      <c r="LV43" s="1"/>
      <c r="LW43" s="1"/>
      <c r="LX43" s="1"/>
      <c r="LY43" s="1"/>
      <c r="LZ43" s="1"/>
      <c r="MA43" s="1"/>
      <c r="MB43" s="1"/>
      <c r="MC43" s="1"/>
      <c r="MD43" s="1"/>
      <c r="ME43" s="1"/>
    </row>
    <row r="44" spans="1:343">
      <c r="A44" s="1">
        <v>1407</v>
      </c>
      <c r="B44" s="1">
        <v>7805887.3510042261</v>
      </c>
      <c r="C44" s="1">
        <v>2224147.2938241814</v>
      </c>
      <c r="D44" s="1"/>
      <c r="E44" s="1"/>
      <c r="F44" s="1"/>
      <c r="G44" s="1"/>
      <c r="H44" s="1"/>
      <c r="I44" s="1"/>
      <c r="J44" s="1"/>
      <c r="K44" s="1">
        <v>870052.70675217872</v>
      </c>
      <c r="L44" s="1"/>
      <c r="M44" s="1"/>
      <c r="N44" s="1"/>
      <c r="O44" s="1"/>
      <c r="P44" s="1"/>
      <c r="Q44" s="1"/>
      <c r="R44" s="1"/>
      <c r="S44" s="1"/>
      <c r="T44" s="1"/>
      <c r="U44" s="1">
        <v>907954.29956108087</v>
      </c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>
        <v>2433471.442976065</v>
      </c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>
        <v>818970.27840361395</v>
      </c>
      <c r="AU44" s="1"/>
      <c r="AV44" s="1"/>
      <c r="AW44" s="1"/>
      <c r="AX44" s="1"/>
      <c r="AY44" s="1"/>
      <c r="AZ44" s="1"/>
      <c r="BA44" s="1"/>
      <c r="BB44" s="1"/>
      <c r="BC44" s="1">
        <v>551291.32948710606</v>
      </c>
      <c r="BD44" s="1"/>
      <c r="BE44" s="1"/>
      <c r="BF44" s="1"/>
      <c r="BG44" s="1"/>
      <c r="BH44" s="1"/>
      <c r="BI44" s="4">
        <v>4752017.2769718338</v>
      </c>
      <c r="BJ44" s="2">
        <v>477357.48346831836</v>
      </c>
      <c r="BK44" s="2"/>
      <c r="BL44" s="2"/>
      <c r="BM44" s="2"/>
      <c r="BN44" s="2"/>
      <c r="BO44" s="2"/>
      <c r="BP44" s="2"/>
      <c r="BQ44" s="1">
        <v>451051.3818830016</v>
      </c>
      <c r="BR44" s="2"/>
      <c r="BS44" s="2"/>
      <c r="BT44" s="2"/>
      <c r="BU44" s="2"/>
      <c r="BV44" s="2"/>
      <c r="BW44" s="2"/>
      <c r="BX44" s="2"/>
      <c r="BY44" s="2"/>
      <c r="BZ44" s="1">
        <v>690099.19225722097</v>
      </c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1">
        <v>306346.70325102517</v>
      </c>
      <c r="CU44" s="2"/>
      <c r="CV44" s="2"/>
      <c r="CW44" s="2"/>
      <c r="CX44" s="1">
        <v>976376.68687886302</v>
      </c>
      <c r="CY44" s="2"/>
      <c r="CZ44" s="2"/>
      <c r="DA44" s="2"/>
      <c r="DB44" s="2"/>
      <c r="DC44" s="2"/>
      <c r="DD44" s="2"/>
      <c r="DE44" s="1">
        <v>546620.006132412</v>
      </c>
      <c r="DF44" s="2"/>
      <c r="DG44" s="2"/>
      <c r="DH44" s="2"/>
      <c r="DI44" s="2"/>
      <c r="DJ44" s="2"/>
      <c r="DK44" s="2"/>
      <c r="DL44" s="1">
        <v>643515.86309689912</v>
      </c>
      <c r="DM44" s="2"/>
      <c r="DN44" s="2"/>
      <c r="DO44" s="2"/>
      <c r="DP44" s="2"/>
      <c r="DQ44" s="2"/>
      <c r="DR44" s="2"/>
      <c r="DS44" s="1">
        <v>257712.16651845438</v>
      </c>
      <c r="DT44" s="2"/>
      <c r="DU44" s="2"/>
      <c r="DV44" s="2"/>
      <c r="DW44" s="2"/>
      <c r="DX44" s="2"/>
      <c r="DY44" s="2"/>
      <c r="DZ44" s="2"/>
      <c r="EA44" s="2"/>
      <c r="EB44" s="1">
        <v>30188.066152984298</v>
      </c>
      <c r="EC44" s="2"/>
      <c r="ED44" s="2"/>
      <c r="EE44" s="1">
        <v>81297.328069665658</v>
      </c>
      <c r="EF44" s="2"/>
      <c r="EG44" s="1">
        <v>291452.39926298917</v>
      </c>
      <c r="EH44" s="2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4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15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1">
        <v>1774751.29023501</v>
      </c>
      <c r="LP44" s="1"/>
      <c r="LQ44" s="1"/>
      <c r="LR44" s="1"/>
      <c r="LS44" s="1"/>
      <c r="LT44" s="1"/>
      <c r="LU44" s="1">
        <v>1306169.3283832886</v>
      </c>
      <c r="LV44" s="1"/>
      <c r="LW44" s="1"/>
      <c r="LX44" s="1"/>
      <c r="LY44" s="1"/>
      <c r="LZ44" s="1"/>
      <c r="MA44" s="1"/>
      <c r="MB44" s="1"/>
      <c r="MC44" s="1"/>
      <c r="MD44" s="1"/>
      <c r="ME44" s="1"/>
    </row>
    <row r="45" spans="1:343">
      <c r="A45" s="1">
        <v>1408</v>
      </c>
      <c r="B45" s="1">
        <v>7834383.1757045854</v>
      </c>
      <c r="C45" s="1">
        <v>2231709.3946231836</v>
      </c>
      <c r="D45" s="1"/>
      <c r="E45" s="1"/>
      <c r="F45" s="1"/>
      <c r="G45" s="1"/>
      <c r="H45" s="1"/>
      <c r="I45" s="1"/>
      <c r="J45" s="1"/>
      <c r="K45" s="1">
        <v>873967.94393256353</v>
      </c>
      <c r="L45" s="1"/>
      <c r="M45" s="1"/>
      <c r="N45" s="1"/>
      <c r="O45" s="1"/>
      <c r="P45" s="1"/>
      <c r="Q45" s="1"/>
      <c r="R45" s="1"/>
      <c r="S45" s="1"/>
      <c r="T45" s="1"/>
      <c r="U45" s="1">
        <v>912040.09390910564</v>
      </c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>
        <v>2441745.2458821838</v>
      </c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>
        <v>821754.77735018625</v>
      </c>
      <c r="AU45" s="1"/>
      <c r="AV45" s="1"/>
      <c r="AW45" s="1"/>
      <c r="AX45" s="1"/>
      <c r="AY45" s="1"/>
      <c r="AZ45" s="1"/>
      <c r="BA45" s="1"/>
      <c r="BB45" s="1"/>
      <c r="BC45" s="1">
        <v>553165.72000736231</v>
      </c>
      <c r="BD45" s="1"/>
      <c r="BE45" s="1"/>
      <c r="BF45" s="1"/>
      <c r="BG45" s="1"/>
      <c r="BH45" s="1"/>
      <c r="BI45" s="4">
        <v>4771713.3479143912</v>
      </c>
      <c r="BJ45" s="2">
        <v>479314.64915053843</v>
      </c>
      <c r="BK45" s="2"/>
      <c r="BL45" s="2"/>
      <c r="BM45" s="2"/>
      <c r="BN45" s="2"/>
      <c r="BO45" s="2"/>
      <c r="BP45" s="2"/>
      <c r="BQ45" s="1">
        <v>452269.22061408567</v>
      </c>
      <c r="BR45" s="2"/>
      <c r="BS45" s="2"/>
      <c r="BT45" s="2"/>
      <c r="BU45" s="2"/>
      <c r="BV45" s="2"/>
      <c r="BW45" s="2"/>
      <c r="BX45" s="2"/>
      <c r="BY45" s="2"/>
      <c r="BZ45" s="1">
        <v>694929.88660302141</v>
      </c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1">
        <v>307388.28204207867</v>
      </c>
      <c r="CU45" s="2"/>
      <c r="CV45" s="2"/>
      <c r="CW45" s="2"/>
      <c r="CX45" s="1">
        <v>979696.36761425121</v>
      </c>
      <c r="CY45" s="2"/>
      <c r="CZ45" s="2"/>
      <c r="DA45" s="2"/>
      <c r="DB45" s="2"/>
      <c r="DC45" s="2"/>
      <c r="DD45" s="2"/>
      <c r="DE45" s="1">
        <v>548478.51415326225</v>
      </c>
      <c r="DF45" s="2"/>
      <c r="DG45" s="2"/>
      <c r="DH45" s="2"/>
      <c r="DI45" s="2"/>
      <c r="DJ45" s="2"/>
      <c r="DK45" s="2"/>
      <c r="DL45" s="1">
        <v>645703.81703142857</v>
      </c>
      <c r="DM45" s="2"/>
      <c r="DN45" s="2"/>
      <c r="DO45" s="2"/>
      <c r="DP45" s="2"/>
      <c r="DQ45" s="2"/>
      <c r="DR45" s="2"/>
      <c r="DS45" s="1">
        <v>259516.15168408354</v>
      </c>
      <c r="DT45" s="2"/>
      <c r="DU45" s="2"/>
      <c r="DV45" s="2"/>
      <c r="DW45" s="2"/>
      <c r="DX45" s="2"/>
      <c r="DY45" s="2"/>
      <c r="DZ45" s="2"/>
      <c r="EA45" s="2"/>
      <c r="EB45" s="1">
        <v>30399.382616055183</v>
      </c>
      <c r="EC45" s="2"/>
      <c r="ED45" s="2"/>
      <c r="EE45" s="1">
        <v>81573.738985102522</v>
      </c>
      <c r="EF45" s="2"/>
      <c r="EG45" s="1">
        <v>292443.33742048335</v>
      </c>
      <c r="EH45" s="2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4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1">
        <v>1780785.4446218091</v>
      </c>
      <c r="LP45" s="1"/>
      <c r="LQ45" s="1"/>
      <c r="LR45" s="1"/>
      <c r="LS45" s="1"/>
      <c r="LT45" s="1"/>
      <c r="LU45" s="1">
        <v>1310610.3040997919</v>
      </c>
      <c r="LV45" s="1"/>
      <c r="LW45" s="1"/>
      <c r="LX45" s="1"/>
      <c r="LY45" s="1"/>
      <c r="LZ45" s="1"/>
      <c r="MA45" s="1"/>
      <c r="MB45" s="1"/>
      <c r="MC45" s="1"/>
      <c r="MD45" s="1"/>
      <c r="ME45" s="1"/>
    </row>
    <row r="46" spans="1:343">
      <c r="A46" s="1">
        <v>1409</v>
      </c>
      <c r="B46" s="1">
        <v>7862984.6873436067</v>
      </c>
      <c r="C46" s="1">
        <v>2239297.2065649028</v>
      </c>
      <c r="D46" s="1"/>
      <c r="E46" s="1"/>
      <c r="F46" s="1"/>
      <c r="G46" s="1"/>
      <c r="H46" s="1"/>
      <c r="I46" s="1"/>
      <c r="J46" s="1"/>
      <c r="K46" s="1">
        <v>877900.79968026001</v>
      </c>
      <c r="L46" s="1"/>
      <c r="M46" s="1"/>
      <c r="N46" s="1"/>
      <c r="O46" s="1"/>
      <c r="P46" s="1"/>
      <c r="Q46" s="1"/>
      <c r="R46" s="1"/>
      <c r="S46" s="1"/>
      <c r="T46" s="1"/>
      <c r="U46" s="1">
        <v>916144.27433169656</v>
      </c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>
        <v>2450047.1797181834</v>
      </c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>
        <v>824548.74359317694</v>
      </c>
      <c r="AU46" s="1"/>
      <c r="AV46" s="1"/>
      <c r="AW46" s="1"/>
      <c r="AX46" s="1"/>
      <c r="AY46" s="1"/>
      <c r="AZ46" s="1"/>
      <c r="BA46" s="1"/>
      <c r="BB46" s="1"/>
      <c r="BC46" s="1">
        <v>555046.48345538741</v>
      </c>
      <c r="BD46" s="1"/>
      <c r="BE46" s="1"/>
      <c r="BF46" s="1"/>
      <c r="BG46" s="1"/>
      <c r="BH46" s="1"/>
      <c r="BI46" s="4">
        <v>4791501.5486125257</v>
      </c>
      <c r="BJ46" s="2">
        <v>481279.83921205561</v>
      </c>
      <c r="BK46" s="2"/>
      <c r="BL46" s="2"/>
      <c r="BM46" s="2"/>
      <c r="BN46" s="2"/>
      <c r="BO46" s="2"/>
      <c r="BP46" s="2"/>
      <c r="BQ46" s="1">
        <v>453490.34750974365</v>
      </c>
      <c r="BR46" s="2"/>
      <c r="BS46" s="2"/>
      <c r="BT46" s="2"/>
      <c r="BU46" s="2"/>
      <c r="BV46" s="2"/>
      <c r="BW46" s="2"/>
      <c r="BX46" s="2"/>
      <c r="BY46" s="2"/>
      <c r="BZ46" s="1">
        <v>699794.3958092425</v>
      </c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1">
        <v>308433.40220102179</v>
      </c>
      <c r="CU46" s="2"/>
      <c r="CV46" s="2"/>
      <c r="CW46" s="2"/>
      <c r="CX46" s="1">
        <v>983027.33526413969</v>
      </c>
      <c r="CY46" s="2"/>
      <c r="CZ46" s="2"/>
      <c r="DA46" s="2"/>
      <c r="DB46" s="2"/>
      <c r="DC46" s="2"/>
      <c r="DD46" s="2"/>
      <c r="DE46" s="1">
        <v>550343.34110138332</v>
      </c>
      <c r="DF46" s="2"/>
      <c r="DG46" s="2"/>
      <c r="DH46" s="2"/>
      <c r="DI46" s="2"/>
      <c r="DJ46" s="2"/>
      <c r="DK46" s="2"/>
      <c r="DL46" s="1">
        <v>647899.21000933542</v>
      </c>
      <c r="DM46" s="2"/>
      <c r="DN46" s="2"/>
      <c r="DO46" s="2"/>
      <c r="DP46" s="2"/>
      <c r="DQ46" s="2"/>
      <c r="DR46" s="2"/>
      <c r="DS46" s="1">
        <v>261332.76474587209</v>
      </c>
      <c r="DT46" s="2"/>
      <c r="DU46" s="2"/>
      <c r="DV46" s="2"/>
      <c r="DW46" s="2"/>
      <c r="DX46" s="2"/>
      <c r="DY46" s="2"/>
      <c r="DZ46" s="2"/>
      <c r="EA46" s="2"/>
      <c r="EB46" s="1">
        <v>30612.178294367568</v>
      </c>
      <c r="EC46" s="2"/>
      <c r="ED46" s="2"/>
      <c r="EE46" s="1">
        <v>81851.089697651871</v>
      </c>
      <c r="EF46" s="2"/>
      <c r="EG46" s="1">
        <v>293437.64476771303</v>
      </c>
      <c r="EH46" s="2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4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1">
        <v>1786840.1151335232</v>
      </c>
      <c r="LP46" s="1"/>
      <c r="LQ46" s="1"/>
      <c r="LR46" s="1"/>
      <c r="LS46" s="1"/>
      <c r="LT46" s="1"/>
      <c r="LU46" s="1">
        <v>1315066.3791337314</v>
      </c>
      <c r="LV46" s="1"/>
      <c r="LW46" s="1"/>
      <c r="LX46" s="1"/>
      <c r="LY46" s="1"/>
      <c r="LZ46" s="1"/>
      <c r="MA46" s="1"/>
      <c r="MB46" s="1"/>
      <c r="MC46" s="1"/>
      <c r="MD46" s="1"/>
      <c r="ME46" s="1"/>
    </row>
    <row r="47" spans="1:343">
      <c r="A47" s="1">
        <v>1410</v>
      </c>
      <c r="B47" s="1">
        <v>7891692.2848619884</v>
      </c>
      <c r="C47" s="1">
        <v>2246910.8170672236</v>
      </c>
      <c r="D47" s="1"/>
      <c r="E47" s="1"/>
      <c r="F47" s="1"/>
      <c r="G47" s="1"/>
      <c r="H47" s="1"/>
      <c r="I47" s="1"/>
      <c r="J47" s="1"/>
      <c r="K47" s="1">
        <v>881851.3532788211</v>
      </c>
      <c r="L47" s="1"/>
      <c r="M47" s="1"/>
      <c r="N47" s="1"/>
      <c r="O47" s="1"/>
      <c r="P47" s="1"/>
      <c r="Q47" s="1"/>
      <c r="R47" s="1"/>
      <c r="S47" s="1"/>
      <c r="T47" s="1"/>
      <c r="U47" s="1">
        <v>920266.92356618913</v>
      </c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>
        <v>2458377.3401292255</v>
      </c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>
        <v>827352.20932139375</v>
      </c>
      <c r="AU47" s="1"/>
      <c r="AV47" s="1"/>
      <c r="AW47" s="1"/>
      <c r="AX47" s="1"/>
      <c r="AY47" s="1"/>
      <c r="AZ47" s="1"/>
      <c r="BA47" s="1"/>
      <c r="BB47" s="1"/>
      <c r="BC47" s="1">
        <v>556933.64149913576</v>
      </c>
      <c r="BD47" s="1"/>
      <c r="BE47" s="1"/>
      <c r="BF47" s="1"/>
      <c r="BG47" s="1"/>
      <c r="BH47" s="1"/>
      <c r="BI47" s="4">
        <v>4811382.3681418588</v>
      </c>
      <c r="BJ47" s="2">
        <v>483253.08655282506</v>
      </c>
      <c r="BK47" s="2"/>
      <c r="BL47" s="2"/>
      <c r="BM47" s="2"/>
      <c r="BN47" s="2"/>
      <c r="BO47" s="2"/>
      <c r="BP47" s="2"/>
      <c r="BQ47" s="1">
        <v>454714.77144801989</v>
      </c>
      <c r="BR47" s="2"/>
      <c r="BS47" s="2"/>
      <c r="BT47" s="2"/>
      <c r="BU47" s="2"/>
      <c r="BV47" s="2"/>
      <c r="BW47" s="2"/>
      <c r="BX47" s="2"/>
      <c r="BY47" s="2"/>
      <c r="BZ47" s="1">
        <v>704692.9565799071</v>
      </c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1">
        <v>309482.07576850528</v>
      </c>
      <c r="CU47" s="2"/>
      <c r="CV47" s="2"/>
      <c r="CW47" s="2"/>
      <c r="CX47" s="1">
        <v>986369.62820403778</v>
      </c>
      <c r="CY47" s="2"/>
      <c r="CZ47" s="2"/>
      <c r="DA47" s="2"/>
      <c r="DB47" s="2"/>
      <c r="DC47" s="2"/>
      <c r="DD47" s="2"/>
      <c r="DE47" s="1">
        <v>552214.50846112811</v>
      </c>
      <c r="DF47" s="2"/>
      <c r="DG47" s="2"/>
      <c r="DH47" s="2"/>
      <c r="DI47" s="2"/>
      <c r="DJ47" s="2"/>
      <c r="DK47" s="2"/>
      <c r="DL47" s="1">
        <v>650102.06732336723</v>
      </c>
      <c r="DM47" s="2"/>
      <c r="DN47" s="2"/>
      <c r="DO47" s="2"/>
      <c r="DP47" s="2"/>
      <c r="DQ47" s="2"/>
      <c r="DR47" s="2"/>
      <c r="DS47" s="1">
        <v>263162.09409909317</v>
      </c>
      <c r="DT47" s="2"/>
      <c r="DU47" s="2"/>
      <c r="DV47" s="2"/>
      <c r="DW47" s="2"/>
      <c r="DX47" s="2"/>
      <c r="DY47" s="2"/>
      <c r="DZ47" s="2"/>
      <c r="EA47" s="2"/>
      <c r="EB47" s="1">
        <v>30826.463542428137</v>
      </c>
      <c r="EC47" s="2"/>
      <c r="ED47" s="2"/>
      <c r="EE47" s="1">
        <v>82129.383402623891</v>
      </c>
      <c r="EF47" s="2"/>
      <c r="EG47" s="1">
        <v>294435.3327599233</v>
      </c>
      <c r="EH47" s="2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4"/>
      <c r="HX47" s="2"/>
      <c r="HY47" s="2"/>
      <c r="HZ47" s="2"/>
      <c r="IA47" s="2"/>
      <c r="IB47" s="2"/>
      <c r="IC47" s="2"/>
      <c r="ID47" s="2"/>
      <c r="IE47" s="15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1">
        <v>1792915.3715249773</v>
      </c>
      <c r="LP47" s="1"/>
      <c r="LQ47" s="1"/>
      <c r="LR47" s="1"/>
      <c r="LS47" s="1"/>
      <c r="LT47" s="1"/>
      <c r="LU47" s="1">
        <v>1319537.6048227861</v>
      </c>
      <c r="LV47" s="1"/>
      <c r="LW47" s="1"/>
      <c r="LX47" s="1"/>
      <c r="LY47" s="1"/>
      <c r="LZ47" s="1"/>
      <c r="MA47" s="1"/>
      <c r="MB47" s="1"/>
      <c r="MC47" s="1"/>
      <c r="MD47" s="1"/>
      <c r="ME47" s="1"/>
    </row>
    <row r="48" spans="1:343">
      <c r="A48" s="1">
        <v>1411</v>
      </c>
      <c r="B48" s="1">
        <v>7920506.3687350499</v>
      </c>
      <c r="C48" s="1">
        <v>2254550.3138452522</v>
      </c>
      <c r="D48" s="1"/>
      <c r="E48" s="1"/>
      <c r="F48" s="1"/>
      <c r="G48" s="1"/>
      <c r="H48" s="1"/>
      <c r="I48" s="1"/>
      <c r="J48" s="1"/>
      <c r="K48" s="1">
        <v>885819.68436857581</v>
      </c>
      <c r="L48" s="1"/>
      <c r="M48" s="1"/>
      <c r="N48" s="1"/>
      <c r="O48" s="1"/>
      <c r="P48" s="1"/>
      <c r="Q48" s="1"/>
      <c r="R48" s="1"/>
      <c r="S48" s="1"/>
      <c r="T48" s="1"/>
      <c r="U48" s="1">
        <v>924408.12472223688</v>
      </c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>
        <v>2466735.8230856652</v>
      </c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>
        <v>830165.20683308656</v>
      </c>
      <c r="AU48" s="1"/>
      <c r="AV48" s="1"/>
      <c r="AW48" s="1"/>
      <c r="AX48" s="1"/>
      <c r="AY48" s="1"/>
      <c r="AZ48" s="1"/>
      <c r="BA48" s="1"/>
      <c r="BB48" s="1"/>
      <c r="BC48" s="1">
        <v>558827.21588023286</v>
      </c>
      <c r="BD48" s="1"/>
      <c r="BE48" s="1"/>
      <c r="BF48" s="1"/>
      <c r="BG48" s="1"/>
      <c r="BH48" s="1"/>
      <c r="BI48" s="4">
        <v>4831356.2984653115</v>
      </c>
      <c r="BJ48" s="2">
        <v>485234.42420769163</v>
      </c>
      <c r="BK48" s="2"/>
      <c r="BL48" s="2"/>
      <c r="BM48" s="2"/>
      <c r="BN48" s="2"/>
      <c r="BO48" s="2"/>
      <c r="BP48" s="2"/>
      <c r="BQ48" s="1">
        <v>455942.50133092952</v>
      </c>
      <c r="BR48" s="2"/>
      <c r="BS48" s="2"/>
      <c r="BT48" s="2"/>
      <c r="BU48" s="2"/>
      <c r="BV48" s="2"/>
      <c r="BW48" s="2"/>
      <c r="BX48" s="2"/>
      <c r="BY48" s="2"/>
      <c r="BZ48" s="1">
        <v>709625.80727596639</v>
      </c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1">
        <v>310534.31482611824</v>
      </c>
      <c r="CU48" s="2"/>
      <c r="CV48" s="2"/>
      <c r="CW48" s="2"/>
      <c r="CX48" s="1">
        <v>989723.28493993159</v>
      </c>
      <c r="CY48" s="2"/>
      <c r="CZ48" s="2"/>
      <c r="DA48" s="2"/>
      <c r="DB48" s="2"/>
      <c r="DC48" s="2"/>
      <c r="DD48" s="2"/>
      <c r="DE48" s="1">
        <v>554092.03778989601</v>
      </c>
      <c r="DF48" s="2"/>
      <c r="DG48" s="2"/>
      <c r="DH48" s="2"/>
      <c r="DI48" s="2"/>
      <c r="DJ48" s="2"/>
      <c r="DK48" s="2"/>
      <c r="DL48" s="1">
        <v>652312.4143522667</v>
      </c>
      <c r="DM48" s="2"/>
      <c r="DN48" s="2"/>
      <c r="DO48" s="2"/>
      <c r="DP48" s="2"/>
      <c r="DQ48" s="2"/>
      <c r="DR48" s="2"/>
      <c r="DS48" s="1">
        <v>265004.2287577868</v>
      </c>
      <c r="DT48" s="2"/>
      <c r="DU48" s="2"/>
      <c r="DV48" s="2"/>
      <c r="DW48" s="2"/>
      <c r="DX48" s="2"/>
      <c r="DY48" s="2"/>
      <c r="DZ48" s="2"/>
      <c r="EA48" s="2"/>
      <c r="EB48" s="1">
        <v>31042.248787225129</v>
      </c>
      <c r="EC48" s="2"/>
      <c r="ED48" s="2"/>
      <c r="EE48" s="1">
        <v>82408.623306192821</v>
      </c>
      <c r="EF48" s="2"/>
      <c r="EG48" s="1">
        <v>295436.41289130709</v>
      </c>
      <c r="EH48" s="2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4"/>
      <c r="HX48" s="15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1">
        <v>1799011.2837881623</v>
      </c>
      <c r="LP48" s="1"/>
      <c r="LQ48" s="1"/>
      <c r="LR48" s="1"/>
      <c r="LS48" s="1"/>
      <c r="LT48" s="1"/>
      <c r="LU48" s="1">
        <v>1324024.0326791836</v>
      </c>
      <c r="LV48" s="1"/>
      <c r="LW48" s="1"/>
      <c r="LX48" s="1"/>
      <c r="LY48" s="1"/>
      <c r="LZ48" s="1"/>
      <c r="MA48" s="1"/>
      <c r="MB48" s="1"/>
      <c r="MC48" s="1"/>
      <c r="MD48" s="1"/>
      <c r="ME48" s="1"/>
    </row>
    <row r="49" spans="1:343">
      <c r="A49" s="1">
        <v>1412</v>
      </c>
      <c r="B49" s="1">
        <v>7949427.3409787491</v>
      </c>
      <c r="C49" s="1">
        <v>2262215.7849123264</v>
      </c>
      <c r="D49" s="1"/>
      <c r="E49" s="1"/>
      <c r="F49" s="1"/>
      <c r="G49" s="1"/>
      <c r="H49" s="1"/>
      <c r="I49" s="1"/>
      <c r="J49" s="1"/>
      <c r="K49" s="1">
        <v>889805.87294823432</v>
      </c>
      <c r="L49" s="1"/>
      <c r="M49" s="1"/>
      <c r="N49" s="1"/>
      <c r="O49" s="1"/>
      <c r="P49" s="1"/>
      <c r="Q49" s="1"/>
      <c r="R49" s="1"/>
      <c r="S49" s="1"/>
      <c r="T49" s="1"/>
      <c r="U49" s="1">
        <v>928567.96128348692</v>
      </c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>
        <v>2475122.7248841566</v>
      </c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>
        <v>832987.76853631914</v>
      </c>
      <c r="AU49" s="1"/>
      <c r="AV49" s="1"/>
      <c r="AW49" s="1"/>
      <c r="AX49" s="1"/>
      <c r="AY49" s="1"/>
      <c r="AZ49" s="1"/>
      <c r="BA49" s="1"/>
      <c r="BB49" s="1"/>
      <c r="BC49" s="1">
        <v>560727.22841422574</v>
      </c>
      <c r="BD49" s="1"/>
      <c r="BE49" s="1"/>
      <c r="BF49" s="1"/>
      <c r="BG49" s="1"/>
      <c r="BH49" s="1"/>
      <c r="BI49" s="4">
        <v>4851423.834451464</v>
      </c>
      <c r="BJ49" s="2">
        <v>487223.88534694316</v>
      </c>
      <c r="BK49" s="2"/>
      <c r="BL49" s="2"/>
      <c r="BM49" s="2"/>
      <c r="BN49" s="2"/>
      <c r="BO49" s="2"/>
      <c r="BP49" s="2"/>
      <c r="BQ49" s="1">
        <v>457173.54608452297</v>
      </c>
      <c r="BR49" s="2"/>
      <c r="BS49" s="2"/>
      <c r="BT49" s="2"/>
      <c r="BU49" s="2"/>
      <c r="BV49" s="2"/>
      <c r="BW49" s="2"/>
      <c r="BX49" s="2"/>
      <c r="BY49" s="2"/>
      <c r="BZ49" s="1">
        <v>714593.18792689813</v>
      </c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1">
        <v>311590.13149652706</v>
      </c>
      <c r="CU49" s="2"/>
      <c r="CV49" s="2"/>
      <c r="CW49" s="2"/>
      <c r="CX49" s="1">
        <v>993088.34410872741</v>
      </c>
      <c r="CY49" s="2"/>
      <c r="CZ49" s="2"/>
      <c r="DA49" s="2"/>
      <c r="DB49" s="2"/>
      <c r="DC49" s="2"/>
      <c r="DD49" s="2"/>
      <c r="DE49" s="1">
        <v>555975.95071838167</v>
      </c>
      <c r="DF49" s="2"/>
      <c r="DG49" s="2"/>
      <c r="DH49" s="2"/>
      <c r="DI49" s="2"/>
      <c r="DJ49" s="2"/>
      <c r="DK49" s="2"/>
      <c r="DL49" s="1">
        <v>654530.27656106441</v>
      </c>
      <c r="DM49" s="2"/>
      <c r="DN49" s="2"/>
      <c r="DO49" s="2"/>
      <c r="DP49" s="2"/>
      <c r="DQ49" s="2"/>
      <c r="DR49" s="2"/>
      <c r="DS49" s="1">
        <v>266859.2583590913</v>
      </c>
      <c r="DT49" s="2"/>
      <c r="DU49" s="2"/>
      <c r="DV49" s="2"/>
      <c r="DW49" s="2"/>
      <c r="DX49" s="2"/>
      <c r="DY49" s="2"/>
      <c r="DZ49" s="2"/>
      <c r="EA49" s="2"/>
      <c r="EB49" s="1">
        <v>31259.544528735703</v>
      </c>
      <c r="EC49" s="2"/>
      <c r="ED49" s="2"/>
      <c r="EE49" s="1">
        <v>82688.812625433886</v>
      </c>
      <c r="EF49" s="2"/>
      <c r="EG49" s="1">
        <v>296440.89669513755</v>
      </c>
      <c r="EH49" s="2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4"/>
      <c r="HX49" s="2">
        <v>1126119</v>
      </c>
      <c r="HY49" s="2"/>
      <c r="HZ49" s="2"/>
      <c r="IA49" s="2"/>
      <c r="IB49" s="2"/>
      <c r="IC49" s="2"/>
      <c r="ID49" s="2"/>
      <c r="IE49" s="15"/>
      <c r="IF49" s="15"/>
      <c r="IG49" s="2"/>
      <c r="IH49" s="2"/>
      <c r="II49" s="15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15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15"/>
      <c r="KR49" s="2"/>
      <c r="KS49" s="2"/>
      <c r="KT49" s="15"/>
      <c r="KU49" s="2"/>
      <c r="KV49" s="2"/>
      <c r="KW49" s="2"/>
      <c r="KX49" s="2"/>
      <c r="KY49" s="15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15"/>
      <c r="LM49" s="2"/>
      <c r="LN49" s="2"/>
      <c r="LO49" s="1">
        <v>1805127.9221530422</v>
      </c>
      <c r="LP49" s="1"/>
      <c r="LQ49" s="1"/>
      <c r="LR49" s="1"/>
      <c r="LS49" s="1"/>
      <c r="LT49" s="1"/>
      <c r="LU49" s="1">
        <v>1328525.714390293</v>
      </c>
      <c r="LV49" s="1"/>
      <c r="LW49" s="1"/>
      <c r="LX49" s="1"/>
      <c r="LY49" s="1"/>
      <c r="LZ49" s="1"/>
      <c r="MA49" s="1"/>
      <c r="MB49" s="1"/>
      <c r="MC49" s="1"/>
      <c r="MD49" s="1"/>
      <c r="ME49" s="1"/>
    </row>
    <row r="50" spans="1:343">
      <c r="A50" s="1">
        <v>1413</v>
      </c>
      <c r="B50" s="1">
        <v>7978455.6051557325</v>
      </c>
      <c r="C50" s="1">
        <v>2269907.3185810284</v>
      </c>
      <c r="D50" s="1"/>
      <c r="E50" s="1"/>
      <c r="F50" s="1"/>
      <c r="G50" s="1"/>
      <c r="H50" s="1"/>
      <c r="I50" s="1"/>
      <c r="J50" s="1"/>
      <c r="K50" s="1">
        <v>893809.99937650131</v>
      </c>
      <c r="L50" s="1"/>
      <c r="M50" s="1"/>
      <c r="N50" s="1"/>
      <c r="O50" s="1"/>
      <c r="P50" s="1"/>
      <c r="Q50" s="1"/>
      <c r="R50" s="1"/>
      <c r="S50" s="1"/>
      <c r="T50" s="1"/>
      <c r="U50" s="1">
        <v>932746.51710926252</v>
      </c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>
        <v>2483538.1421487629</v>
      </c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>
        <v>835819.92694934271</v>
      </c>
      <c r="AU50" s="1"/>
      <c r="AV50" s="1"/>
      <c r="AW50" s="1"/>
      <c r="AX50" s="1"/>
      <c r="AY50" s="1"/>
      <c r="AZ50" s="1"/>
      <c r="BA50" s="1"/>
      <c r="BB50" s="1"/>
      <c r="BC50" s="1">
        <v>562633.70099083416</v>
      </c>
      <c r="BD50" s="1"/>
      <c r="BE50" s="1"/>
      <c r="BF50" s="1"/>
      <c r="BG50" s="1"/>
      <c r="BH50" s="1"/>
      <c r="BI50" s="4">
        <v>4871585.4738930147</v>
      </c>
      <c r="BJ50" s="2">
        <v>489221.50327686564</v>
      </c>
      <c r="BK50" s="2"/>
      <c r="BL50" s="2"/>
      <c r="BM50" s="2"/>
      <c r="BN50" s="2"/>
      <c r="BO50" s="2"/>
      <c r="BP50" s="2"/>
      <c r="BQ50" s="1">
        <v>458407.91465895117</v>
      </c>
      <c r="BR50" s="2"/>
      <c r="BS50" s="2"/>
      <c r="BT50" s="2"/>
      <c r="BU50" s="2"/>
      <c r="BV50" s="2"/>
      <c r="BW50" s="2"/>
      <c r="BX50" s="2"/>
      <c r="BY50" s="2"/>
      <c r="BZ50" s="1">
        <v>719595.34024238633</v>
      </c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1">
        <v>312649.53794361529</v>
      </c>
      <c r="CU50" s="2"/>
      <c r="CV50" s="2"/>
      <c r="CW50" s="2"/>
      <c r="CX50" s="1">
        <v>996464.84447869717</v>
      </c>
      <c r="CY50" s="2"/>
      <c r="CZ50" s="2"/>
      <c r="DA50" s="2"/>
      <c r="DB50" s="2"/>
      <c r="DC50" s="2"/>
      <c r="DD50" s="2"/>
      <c r="DE50" s="1">
        <v>557866.26895082416</v>
      </c>
      <c r="DF50" s="2"/>
      <c r="DG50" s="2"/>
      <c r="DH50" s="2"/>
      <c r="DI50" s="2"/>
      <c r="DJ50" s="2"/>
      <c r="DK50" s="2"/>
      <c r="DL50" s="1">
        <v>656755.67950137204</v>
      </c>
      <c r="DM50" s="2"/>
      <c r="DN50" s="2"/>
      <c r="DO50" s="2"/>
      <c r="DP50" s="2"/>
      <c r="DQ50" s="2"/>
      <c r="DR50" s="2"/>
      <c r="DS50" s="1">
        <v>268727.27316760493</v>
      </c>
      <c r="DT50" s="2"/>
      <c r="DU50" s="2"/>
      <c r="DV50" s="2"/>
      <c r="DW50" s="2"/>
      <c r="DX50" s="2"/>
      <c r="DY50" s="2"/>
      <c r="DZ50" s="2"/>
      <c r="EA50" s="2"/>
      <c r="EB50" s="1">
        <v>31478.361340436852</v>
      </c>
      <c r="EC50" s="2"/>
      <c r="ED50" s="2"/>
      <c r="EE50" s="1">
        <v>82969.954588360371</v>
      </c>
      <c r="EF50" s="2"/>
      <c r="EG50" s="1">
        <v>297448.79574390105</v>
      </c>
      <c r="EH50" s="2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4"/>
      <c r="HX50" s="2">
        <v>1131186.5355</v>
      </c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1">
        <v>1811265.3570883626</v>
      </c>
      <c r="LP50" s="1"/>
      <c r="LQ50" s="1"/>
      <c r="LR50" s="1"/>
      <c r="LS50" s="1"/>
      <c r="LT50" s="1"/>
      <c r="LU50" s="1">
        <v>1333042.7018192201</v>
      </c>
      <c r="LV50" s="1"/>
      <c r="LW50" s="1"/>
      <c r="LX50" s="1"/>
      <c r="LY50" s="1"/>
      <c r="LZ50" s="1"/>
      <c r="MA50" s="1"/>
      <c r="MB50" s="1"/>
      <c r="MC50" s="1"/>
      <c r="MD50" s="1"/>
      <c r="ME50" s="1"/>
    </row>
    <row r="51" spans="1:343">
      <c r="A51" s="1">
        <v>1414</v>
      </c>
      <c r="B51" s="1">
        <v>8007591.5663813967</v>
      </c>
      <c r="C51" s="1">
        <v>2277625.0034642043</v>
      </c>
      <c r="D51" s="1"/>
      <c r="E51" s="1"/>
      <c r="F51" s="1"/>
      <c r="G51" s="1"/>
      <c r="H51" s="1"/>
      <c r="I51" s="1"/>
      <c r="J51" s="1"/>
      <c r="K51" s="1">
        <v>897832.14437369548</v>
      </c>
      <c r="L51" s="1"/>
      <c r="M51" s="1"/>
      <c r="N51" s="1"/>
      <c r="O51" s="1"/>
      <c r="P51" s="1"/>
      <c r="Q51" s="1"/>
      <c r="R51" s="1"/>
      <c r="S51" s="1"/>
      <c r="T51" s="1"/>
      <c r="U51" s="1">
        <v>936943.87643625413</v>
      </c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>
        <v>2491982.1718320688</v>
      </c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>
        <v>838661.71470097057</v>
      </c>
      <c r="AU51" s="1"/>
      <c r="AV51" s="1"/>
      <c r="AW51" s="1"/>
      <c r="AX51" s="1"/>
      <c r="AY51" s="1"/>
      <c r="AZ51" s="1"/>
      <c r="BA51" s="1"/>
      <c r="BB51" s="1"/>
      <c r="BC51" s="1">
        <v>564546.655574203</v>
      </c>
      <c r="BD51" s="1"/>
      <c r="BE51" s="1"/>
      <c r="BF51" s="1"/>
      <c r="BG51" s="1"/>
      <c r="BH51" s="1"/>
      <c r="BI51" s="4">
        <v>4891841.7175253853</v>
      </c>
      <c r="BJ51" s="2">
        <v>491227.31144030078</v>
      </c>
      <c r="BK51" s="2"/>
      <c r="BL51" s="2"/>
      <c r="BM51" s="2"/>
      <c r="BN51" s="2"/>
      <c r="BO51" s="2"/>
      <c r="BP51" s="2"/>
      <c r="BQ51" s="1">
        <v>459645.61602853029</v>
      </c>
      <c r="BR51" s="2"/>
      <c r="BS51" s="2"/>
      <c r="BT51" s="2"/>
      <c r="BU51" s="2"/>
      <c r="BV51" s="2"/>
      <c r="BW51" s="2"/>
      <c r="BX51" s="2"/>
      <c r="BY51" s="2"/>
      <c r="BZ51" s="1">
        <v>724632.50762408297</v>
      </c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1">
        <v>313712.54637262359</v>
      </c>
      <c r="CU51" s="2"/>
      <c r="CV51" s="2"/>
      <c r="CW51" s="2"/>
      <c r="CX51" s="1">
        <v>999852.82494992483</v>
      </c>
      <c r="CY51" s="2"/>
      <c r="CZ51" s="2"/>
      <c r="DA51" s="2"/>
      <c r="DB51" s="2"/>
      <c r="DC51" s="2"/>
      <c r="DD51" s="2"/>
      <c r="DE51" s="1">
        <v>559763.01426525705</v>
      </c>
      <c r="DF51" s="2"/>
      <c r="DG51" s="2"/>
      <c r="DH51" s="2"/>
      <c r="DI51" s="2"/>
      <c r="DJ51" s="2"/>
      <c r="DK51" s="2"/>
      <c r="DL51" s="1">
        <v>658988.64881167677</v>
      </c>
      <c r="DM51" s="2"/>
      <c r="DN51" s="2"/>
      <c r="DO51" s="2"/>
      <c r="DP51" s="2"/>
      <c r="DQ51" s="2"/>
      <c r="DR51" s="2"/>
      <c r="DS51" s="1">
        <v>270608.36407977814</v>
      </c>
      <c r="DT51" s="2"/>
      <c r="DU51" s="2"/>
      <c r="DV51" s="2"/>
      <c r="DW51" s="2"/>
      <c r="DX51" s="2"/>
      <c r="DY51" s="2"/>
      <c r="DZ51" s="2"/>
      <c r="EA51" s="2"/>
      <c r="EB51" s="1">
        <v>31698.709869819908</v>
      </c>
      <c r="EC51" s="2"/>
      <c r="ED51" s="2"/>
      <c r="EE51" s="1">
        <v>83252.052433960809</v>
      </c>
      <c r="EF51" s="2"/>
      <c r="EG51" s="1">
        <v>298460.12164943031</v>
      </c>
      <c r="EH51" s="2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4"/>
      <c r="HX51" s="2">
        <v>1136276.87490975</v>
      </c>
      <c r="HY51" s="2"/>
      <c r="HZ51" s="2"/>
      <c r="IA51" s="15"/>
      <c r="IB51" s="15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15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1">
        <v>1817423.6593024631</v>
      </c>
      <c r="LP51" s="1"/>
      <c r="LQ51" s="1"/>
      <c r="LR51" s="1"/>
      <c r="LS51" s="1"/>
      <c r="LT51" s="1"/>
      <c r="LU51" s="1">
        <v>1337575.0470054056</v>
      </c>
      <c r="LV51" s="1"/>
      <c r="LW51" s="1"/>
      <c r="LX51" s="1"/>
      <c r="LY51" s="1"/>
      <c r="LZ51" s="1"/>
      <c r="MA51" s="1"/>
      <c r="MB51" s="1"/>
      <c r="MC51" s="1"/>
      <c r="MD51" s="1"/>
      <c r="ME51" s="1"/>
    </row>
    <row r="52" spans="1:343">
      <c r="A52" s="1">
        <v>1415</v>
      </c>
      <c r="B52" s="1">
        <v>8036835.6313299844</v>
      </c>
      <c r="C52" s="1">
        <v>2285368.9284759825</v>
      </c>
      <c r="D52" s="1"/>
      <c r="E52" s="1"/>
      <c r="F52" s="1"/>
      <c r="G52" s="1"/>
      <c r="H52" s="1"/>
      <c r="I52" s="1"/>
      <c r="J52" s="1"/>
      <c r="K52" s="1">
        <v>901872.38902337709</v>
      </c>
      <c r="L52" s="1"/>
      <c r="M52" s="1"/>
      <c r="N52" s="1"/>
      <c r="O52" s="1"/>
      <c r="P52" s="1"/>
      <c r="Q52" s="1"/>
      <c r="R52" s="1"/>
      <c r="S52" s="1"/>
      <c r="T52" s="1"/>
      <c r="U52" s="1">
        <v>941160.1238802172</v>
      </c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>
        <v>2500454.9112162981</v>
      </c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>
        <v>841513.16453095397</v>
      </c>
      <c r="AU52" s="1"/>
      <c r="AV52" s="1"/>
      <c r="AW52" s="1"/>
      <c r="AX52" s="1"/>
      <c r="AY52" s="1"/>
      <c r="AZ52" s="1"/>
      <c r="BA52" s="1"/>
      <c r="BB52" s="1"/>
      <c r="BC52" s="1">
        <v>566466.11420315539</v>
      </c>
      <c r="BD52" s="1"/>
      <c r="BE52" s="1"/>
      <c r="BF52" s="1"/>
      <c r="BG52" s="1"/>
      <c r="BH52" s="1"/>
      <c r="BI52" s="4">
        <v>4912193.0690454254</v>
      </c>
      <c r="BJ52" s="2">
        <v>493241.34341720602</v>
      </c>
      <c r="BK52" s="2"/>
      <c r="BL52" s="2"/>
      <c r="BM52" s="2"/>
      <c r="BN52" s="2"/>
      <c r="BO52" s="2"/>
      <c r="BP52" s="2"/>
      <c r="BQ52" s="1">
        <v>460886.65919180727</v>
      </c>
      <c r="BR52" s="2"/>
      <c r="BS52" s="2"/>
      <c r="BT52" s="2"/>
      <c r="BU52" s="2"/>
      <c r="BV52" s="2"/>
      <c r="BW52" s="2"/>
      <c r="BX52" s="2"/>
      <c r="BY52" s="2"/>
      <c r="BZ52" s="1">
        <v>729704.93517745147</v>
      </c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1">
        <v>314779.1690302905</v>
      </c>
      <c r="CU52" s="2"/>
      <c r="CV52" s="2"/>
      <c r="CW52" s="2"/>
      <c r="CX52" s="1">
        <v>1003252.3245547547</v>
      </c>
      <c r="CY52" s="2"/>
      <c r="CZ52" s="2"/>
      <c r="DA52" s="2"/>
      <c r="DB52" s="2"/>
      <c r="DC52" s="2"/>
      <c r="DD52" s="2"/>
      <c r="DE52" s="1">
        <v>561666.20851375896</v>
      </c>
      <c r="DF52" s="2"/>
      <c r="DG52" s="2"/>
      <c r="DH52" s="2"/>
      <c r="DI52" s="2"/>
      <c r="DJ52" s="2"/>
      <c r="DK52" s="2"/>
      <c r="DL52" s="1">
        <v>661229.21021763654</v>
      </c>
      <c r="DM52" s="2"/>
      <c r="DN52" s="2"/>
      <c r="DO52" s="2"/>
      <c r="DP52" s="2"/>
      <c r="DQ52" s="2"/>
      <c r="DR52" s="2"/>
      <c r="DS52" s="1">
        <v>272502.62262833654</v>
      </c>
      <c r="DT52" s="2"/>
      <c r="DU52" s="2"/>
      <c r="DV52" s="2"/>
      <c r="DW52" s="2"/>
      <c r="DX52" s="2"/>
      <c r="DY52" s="2"/>
      <c r="DZ52" s="2"/>
      <c r="EA52" s="2"/>
      <c r="EB52" s="1">
        <v>31920.600838908646</v>
      </c>
      <c r="EC52" s="2"/>
      <c r="ED52" s="2"/>
      <c r="EE52" s="1">
        <v>83535.109412236285</v>
      </c>
      <c r="EF52" s="2"/>
      <c r="EG52" s="1">
        <v>299474.88606303837</v>
      </c>
      <c r="EH52" s="2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4"/>
      <c r="HX52" s="2">
        <v>1141390.1208468438</v>
      </c>
      <c r="HY52" s="2"/>
      <c r="HZ52" s="2"/>
      <c r="IA52" s="2"/>
      <c r="IB52" s="15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15"/>
      <c r="LM52" s="2"/>
      <c r="LN52" s="2"/>
      <c r="LO52" s="1">
        <v>1823602.8997440916</v>
      </c>
      <c r="LP52" s="1"/>
      <c r="LQ52" s="1"/>
      <c r="LR52" s="1"/>
      <c r="LS52" s="1"/>
      <c r="LT52" s="1"/>
      <c r="LU52" s="1">
        <v>1342122.8021652242</v>
      </c>
      <c r="LV52" s="1"/>
      <c r="LW52" s="1"/>
      <c r="LX52" s="1"/>
      <c r="LY52" s="1"/>
      <c r="LZ52" s="1"/>
      <c r="MA52" s="1"/>
      <c r="MB52" s="1"/>
      <c r="MC52" s="1"/>
      <c r="MD52" s="1"/>
      <c r="ME52" s="1"/>
    </row>
    <row r="53" spans="1:343">
      <c r="A53" s="1">
        <v>1416</v>
      </c>
      <c r="B53" s="1">
        <v>8066188.2082407009</v>
      </c>
      <c r="C53" s="1">
        <v>2293139.1828328008</v>
      </c>
      <c r="D53" s="1"/>
      <c r="E53" s="1"/>
      <c r="F53" s="1"/>
      <c r="G53" s="1"/>
      <c r="H53" s="1"/>
      <c r="I53" s="1"/>
      <c r="J53" s="1"/>
      <c r="K53" s="1">
        <v>905930.81477398227</v>
      </c>
      <c r="L53" s="1"/>
      <c r="M53" s="1"/>
      <c r="N53" s="1"/>
      <c r="O53" s="1"/>
      <c r="P53" s="1"/>
      <c r="Q53" s="1"/>
      <c r="R53" s="1"/>
      <c r="S53" s="1"/>
      <c r="T53" s="1"/>
      <c r="U53" s="1">
        <v>945395.34443767811</v>
      </c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>
        <v>2508956.4579144339</v>
      </c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>
        <v>844374.30929035926</v>
      </c>
      <c r="AU53" s="1"/>
      <c r="AV53" s="1"/>
      <c r="AW53" s="1"/>
      <c r="AX53" s="1"/>
      <c r="AY53" s="1"/>
      <c r="AZ53" s="1"/>
      <c r="BA53" s="1"/>
      <c r="BB53" s="1"/>
      <c r="BC53" s="1">
        <v>568392.0989914462</v>
      </c>
      <c r="BD53" s="1"/>
      <c r="BE53" s="1"/>
      <c r="BF53" s="1"/>
      <c r="BG53" s="1"/>
      <c r="BH53" s="1"/>
      <c r="BI53" s="4">
        <v>4932640.0351302577</v>
      </c>
      <c r="BJ53" s="2">
        <v>495263.63292521657</v>
      </c>
      <c r="BK53" s="2"/>
      <c r="BL53" s="2"/>
      <c r="BM53" s="2"/>
      <c r="BN53" s="2"/>
      <c r="BO53" s="2"/>
      <c r="BP53" s="2"/>
      <c r="BQ53" s="1">
        <v>462131.05317162513</v>
      </c>
      <c r="BR53" s="2"/>
      <c r="BS53" s="2"/>
      <c r="BT53" s="2"/>
      <c r="BU53" s="2"/>
      <c r="BV53" s="2"/>
      <c r="BW53" s="2"/>
      <c r="BX53" s="2"/>
      <c r="BY53" s="2"/>
      <c r="BZ53" s="1">
        <v>734812.86972369358</v>
      </c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1">
        <v>315849.41820499353</v>
      </c>
      <c r="CU53" s="2"/>
      <c r="CV53" s="2"/>
      <c r="CW53" s="2"/>
      <c r="CX53" s="1">
        <v>1006663.3824582408</v>
      </c>
      <c r="CY53" s="2"/>
      <c r="CZ53" s="2"/>
      <c r="DA53" s="2"/>
      <c r="DB53" s="2"/>
      <c r="DC53" s="2"/>
      <c r="DD53" s="2"/>
      <c r="DE53" s="1">
        <v>563575.87362270581</v>
      </c>
      <c r="DF53" s="2"/>
      <c r="DG53" s="2"/>
      <c r="DH53" s="2"/>
      <c r="DI53" s="2"/>
      <c r="DJ53" s="2"/>
      <c r="DK53" s="2"/>
      <c r="DL53" s="1">
        <v>663477.38953237655</v>
      </c>
      <c r="DM53" s="2"/>
      <c r="DN53" s="2"/>
      <c r="DO53" s="2"/>
      <c r="DP53" s="2"/>
      <c r="DQ53" s="2"/>
      <c r="DR53" s="2"/>
      <c r="DS53" s="1">
        <v>274410.14098673488</v>
      </c>
      <c r="DT53" s="2"/>
      <c r="DU53" s="2"/>
      <c r="DV53" s="2"/>
      <c r="DW53" s="2"/>
      <c r="DX53" s="2"/>
      <c r="DY53" s="2"/>
      <c r="DZ53" s="2"/>
      <c r="EA53" s="2"/>
      <c r="EB53" s="1">
        <v>32144.045044781004</v>
      </c>
      <c r="EC53" s="2"/>
      <c r="ED53" s="2"/>
      <c r="EE53" s="1">
        <v>83819.128784237895</v>
      </c>
      <c r="EF53" s="2"/>
      <c r="EG53" s="1">
        <v>300493.10067565273</v>
      </c>
      <c r="EH53" s="2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4"/>
      <c r="HX53" s="2">
        <v>1146526.3763906546</v>
      </c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15"/>
      <c r="IX53" s="15"/>
      <c r="IY53" s="2"/>
      <c r="IZ53" s="2"/>
      <c r="JA53" s="2"/>
      <c r="JB53" s="2"/>
      <c r="JC53" s="2"/>
      <c r="JD53" s="2"/>
      <c r="JE53" s="15"/>
      <c r="JF53" s="15"/>
      <c r="JG53" s="2"/>
      <c r="JH53" s="15"/>
      <c r="JI53" s="15"/>
      <c r="JJ53" s="15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1">
        <v>1829803.1496032216</v>
      </c>
      <c r="LP53" s="1"/>
      <c r="LQ53" s="1"/>
      <c r="LR53" s="1"/>
      <c r="LS53" s="1"/>
      <c r="LT53" s="1"/>
      <c r="LU53" s="1">
        <v>1346686.019692586</v>
      </c>
      <c r="LV53" s="1"/>
      <c r="LW53" s="1"/>
      <c r="LX53" s="1"/>
      <c r="LY53" s="1"/>
      <c r="LZ53" s="1"/>
      <c r="MA53" s="1"/>
      <c r="MB53" s="1"/>
      <c r="MC53" s="1"/>
      <c r="MD53" s="1"/>
      <c r="ME53" s="1"/>
    </row>
    <row r="54" spans="1:343">
      <c r="A54" s="1">
        <v>1417</v>
      </c>
      <c r="B54" s="1">
        <v>8095649.7069238517</v>
      </c>
      <c r="C54" s="1">
        <v>2300935.8560544327</v>
      </c>
      <c r="D54" s="1"/>
      <c r="E54" s="1"/>
      <c r="F54" s="1"/>
      <c r="G54" s="1"/>
      <c r="H54" s="1"/>
      <c r="I54" s="1"/>
      <c r="J54" s="1"/>
      <c r="K54" s="1">
        <v>910007.5034404652</v>
      </c>
      <c r="L54" s="1"/>
      <c r="M54" s="1"/>
      <c r="N54" s="1"/>
      <c r="O54" s="1"/>
      <c r="P54" s="1"/>
      <c r="Q54" s="1"/>
      <c r="R54" s="1"/>
      <c r="S54" s="1"/>
      <c r="T54" s="1"/>
      <c r="U54" s="1">
        <v>949649.62348764762</v>
      </c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>
        <v>2517486.9098713431</v>
      </c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>
        <v>847245.1819419465</v>
      </c>
      <c r="AU54" s="1"/>
      <c r="AV54" s="1"/>
      <c r="AW54" s="1"/>
      <c r="AX54" s="1"/>
      <c r="AY54" s="1"/>
      <c r="AZ54" s="1"/>
      <c r="BA54" s="1"/>
      <c r="BB54" s="1"/>
      <c r="BC54" s="1">
        <v>570324.63212801714</v>
      </c>
      <c r="BD54" s="1"/>
      <c r="BE54" s="1"/>
      <c r="BF54" s="1"/>
      <c r="BG54" s="1"/>
      <c r="BH54" s="1"/>
      <c r="BI54" s="4">
        <v>4953183.1254562475</v>
      </c>
      <c r="BJ54" s="2">
        <v>497294.21382020996</v>
      </c>
      <c r="BK54" s="2"/>
      <c r="BL54" s="2"/>
      <c r="BM54" s="2"/>
      <c r="BN54" s="2"/>
      <c r="BO54" s="2"/>
      <c r="BP54" s="2"/>
      <c r="BQ54" s="1">
        <v>463378.8070151885</v>
      </c>
      <c r="BR54" s="2"/>
      <c r="BS54" s="2"/>
      <c r="BT54" s="2"/>
      <c r="BU54" s="2"/>
      <c r="BV54" s="2"/>
      <c r="BW54" s="2"/>
      <c r="BX54" s="2"/>
      <c r="BY54" s="2"/>
      <c r="BZ54" s="1">
        <v>739956.55981175939</v>
      </c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1">
        <v>316923.30622689053</v>
      </c>
      <c r="CU54" s="2"/>
      <c r="CV54" s="2"/>
      <c r="CW54" s="2"/>
      <c r="CX54" s="1">
        <v>1010086.0379585989</v>
      </c>
      <c r="CY54" s="2"/>
      <c r="CZ54" s="2"/>
      <c r="DA54" s="2"/>
      <c r="DB54" s="2"/>
      <c r="DC54" s="2"/>
      <c r="DD54" s="2"/>
      <c r="DE54" s="1">
        <v>565492.0315930231</v>
      </c>
      <c r="DF54" s="2"/>
      <c r="DG54" s="2"/>
      <c r="DH54" s="2"/>
      <c r="DI54" s="2"/>
      <c r="DJ54" s="2"/>
      <c r="DK54" s="2"/>
      <c r="DL54" s="1">
        <v>665733.21265678667</v>
      </c>
      <c r="DM54" s="2"/>
      <c r="DN54" s="2"/>
      <c r="DO54" s="2"/>
      <c r="DP54" s="2"/>
      <c r="DQ54" s="2"/>
      <c r="DR54" s="2"/>
      <c r="DS54" s="1">
        <v>276331.01197364199</v>
      </c>
      <c r="DT54" s="2"/>
      <c r="DU54" s="2"/>
      <c r="DV54" s="2"/>
      <c r="DW54" s="2"/>
      <c r="DX54" s="2"/>
      <c r="DY54" s="2"/>
      <c r="DZ54" s="2"/>
      <c r="EA54" s="2"/>
      <c r="EB54" s="1">
        <v>32369.053360094465</v>
      </c>
      <c r="EC54" s="2"/>
      <c r="ED54" s="2"/>
      <c r="EE54" s="1">
        <v>84104.113822104307</v>
      </c>
      <c r="EF54" s="2"/>
      <c r="EG54" s="1">
        <v>301514.77721794997</v>
      </c>
      <c r="EH54" s="2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4"/>
      <c r="HX54" s="2">
        <v>1151685.7450844124</v>
      </c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1">
        <v>1836024.4803118727</v>
      </c>
      <c r="LP54" s="1"/>
      <c r="LQ54" s="1"/>
      <c r="LR54" s="1"/>
      <c r="LS54" s="1"/>
      <c r="LT54" s="1"/>
      <c r="LU54" s="1">
        <v>1351264.752159541</v>
      </c>
      <c r="LV54" s="1"/>
      <c r="LW54" s="1"/>
      <c r="LX54" s="1"/>
      <c r="LY54" s="1"/>
      <c r="LZ54" s="1"/>
      <c r="MA54" s="1"/>
      <c r="MB54" s="1"/>
      <c r="MC54" s="1"/>
      <c r="MD54" s="1"/>
      <c r="ME54" s="1"/>
    </row>
    <row r="55" spans="1:343">
      <c r="A55" s="1">
        <v>1418</v>
      </c>
      <c r="B55" s="1">
        <v>8125220.5387670146</v>
      </c>
      <c r="C55" s="1">
        <v>2308759.0379650178</v>
      </c>
      <c r="D55" s="1"/>
      <c r="E55" s="1"/>
      <c r="F55" s="1"/>
      <c r="G55" s="1"/>
      <c r="H55" s="1"/>
      <c r="I55" s="1"/>
      <c r="J55" s="1"/>
      <c r="K55" s="1">
        <v>914102.53720594721</v>
      </c>
      <c r="L55" s="1"/>
      <c r="M55" s="1"/>
      <c r="N55" s="1"/>
      <c r="O55" s="1"/>
      <c r="P55" s="1"/>
      <c r="Q55" s="1"/>
      <c r="R55" s="1"/>
      <c r="S55" s="1"/>
      <c r="T55" s="1"/>
      <c r="U55" s="1">
        <v>953923.04679334199</v>
      </c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>
        <v>2526046.3653649059</v>
      </c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>
        <v>850125.81556054915</v>
      </c>
      <c r="AU55" s="1"/>
      <c r="AV55" s="1"/>
      <c r="AW55" s="1"/>
      <c r="AX55" s="1"/>
      <c r="AY55" s="1"/>
      <c r="AZ55" s="1"/>
      <c r="BA55" s="1"/>
      <c r="BB55" s="1"/>
      <c r="BC55" s="1">
        <v>572263.73587725242</v>
      </c>
      <c r="BD55" s="1"/>
      <c r="BE55" s="1"/>
      <c r="BF55" s="1"/>
      <c r="BG55" s="1"/>
      <c r="BH55" s="1"/>
      <c r="BI55" s="4">
        <v>4973822.852718086</v>
      </c>
      <c r="BJ55" s="2">
        <v>499333.12009687279</v>
      </c>
      <c r="BK55" s="2"/>
      <c r="BL55" s="2"/>
      <c r="BM55" s="2"/>
      <c r="BN55" s="2"/>
      <c r="BO55" s="2"/>
      <c r="BP55" s="2"/>
      <c r="BQ55" s="1">
        <v>464629.92979412945</v>
      </c>
      <c r="BR55" s="2"/>
      <c r="BS55" s="2"/>
      <c r="BT55" s="2"/>
      <c r="BU55" s="2"/>
      <c r="BV55" s="2"/>
      <c r="BW55" s="2"/>
      <c r="BX55" s="2"/>
      <c r="BY55" s="2"/>
      <c r="BZ55" s="1">
        <v>745136.25573044166</v>
      </c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1">
        <v>318000.84546806198</v>
      </c>
      <c r="CU55" s="2"/>
      <c r="CV55" s="2"/>
      <c r="CW55" s="2"/>
      <c r="CX55" s="1">
        <v>1013520.3304876583</v>
      </c>
      <c r="CY55" s="2"/>
      <c r="CZ55" s="2"/>
      <c r="DA55" s="2"/>
      <c r="DB55" s="2"/>
      <c r="DC55" s="2"/>
      <c r="DD55" s="2"/>
      <c r="DE55" s="1">
        <v>567414.70450043946</v>
      </c>
      <c r="DF55" s="2"/>
      <c r="DG55" s="2"/>
      <c r="DH55" s="2"/>
      <c r="DI55" s="2"/>
      <c r="DJ55" s="2"/>
      <c r="DK55" s="2"/>
      <c r="DL55" s="1">
        <v>667996.70557981974</v>
      </c>
      <c r="DM55" s="2"/>
      <c r="DN55" s="2"/>
      <c r="DO55" s="2"/>
      <c r="DP55" s="2"/>
      <c r="DQ55" s="2"/>
      <c r="DR55" s="2"/>
      <c r="DS55" s="1">
        <v>278265.32905745745</v>
      </c>
      <c r="DT55" s="2"/>
      <c r="DU55" s="2"/>
      <c r="DV55" s="2"/>
      <c r="DW55" s="2"/>
      <c r="DX55" s="2"/>
      <c r="DY55" s="2"/>
      <c r="DZ55" s="2"/>
      <c r="EA55" s="2"/>
      <c r="EB55" s="1">
        <v>32595.636733615123</v>
      </c>
      <c r="EC55" s="2"/>
      <c r="ED55" s="2"/>
      <c r="EE55" s="1">
        <v>84390.067809099462</v>
      </c>
      <c r="EF55" s="2"/>
      <c r="EG55" s="1">
        <v>302539.92746049102</v>
      </c>
      <c r="EH55" s="2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4"/>
      <c r="HX55" s="2">
        <v>1156868.3309372922</v>
      </c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1">
        <v>1842266.9635449331</v>
      </c>
      <c r="LP55" s="1"/>
      <c r="LQ55" s="1"/>
      <c r="LR55" s="1"/>
      <c r="LS55" s="1"/>
      <c r="LT55" s="1"/>
      <c r="LU55" s="1">
        <v>1355859.0523168836</v>
      </c>
      <c r="LV55" s="1"/>
      <c r="LW55" s="1"/>
      <c r="LX55" s="1"/>
      <c r="LY55" s="1"/>
      <c r="LZ55" s="1"/>
      <c r="MA55" s="1"/>
      <c r="MB55" s="1"/>
      <c r="MC55" s="1"/>
      <c r="MD55" s="1"/>
      <c r="ME55" s="1"/>
    </row>
    <row r="56" spans="1:343">
      <c r="A56" s="1">
        <v>1419</v>
      </c>
      <c r="B56" s="1">
        <v>8154901.1167412223</v>
      </c>
      <c r="C56" s="1">
        <v>2316608.8186940989</v>
      </c>
      <c r="D56" s="1"/>
      <c r="E56" s="1"/>
      <c r="F56" s="1"/>
      <c r="G56" s="1"/>
      <c r="H56" s="1"/>
      <c r="I56" s="1"/>
      <c r="J56" s="1"/>
      <c r="K56" s="1">
        <v>918215.99862337392</v>
      </c>
      <c r="L56" s="1"/>
      <c r="M56" s="1"/>
      <c r="N56" s="1"/>
      <c r="O56" s="1"/>
      <c r="P56" s="1"/>
      <c r="Q56" s="1"/>
      <c r="R56" s="1"/>
      <c r="S56" s="1"/>
      <c r="T56" s="1"/>
      <c r="U56" s="1">
        <v>958215.70050391194</v>
      </c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>
        <v>2534634.9230071469</v>
      </c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>
        <v>853016.24333345506</v>
      </c>
      <c r="AU56" s="1"/>
      <c r="AV56" s="1"/>
      <c r="AW56" s="1"/>
      <c r="AX56" s="1"/>
      <c r="AY56" s="1"/>
      <c r="AZ56" s="1"/>
      <c r="BA56" s="1"/>
      <c r="BB56" s="1"/>
      <c r="BC56" s="1">
        <v>574209.43257923506</v>
      </c>
      <c r="BD56" s="1"/>
      <c r="BE56" s="1"/>
      <c r="BF56" s="1"/>
      <c r="BG56" s="1"/>
      <c r="BH56" s="1"/>
      <c r="BI56" s="4">
        <v>4994559.7326480178</v>
      </c>
      <c r="BJ56" s="2">
        <v>501380.38588926999</v>
      </c>
      <c r="BK56" s="2"/>
      <c r="BL56" s="2"/>
      <c r="BM56" s="2"/>
      <c r="BN56" s="2"/>
      <c r="BO56" s="2"/>
      <c r="BP56" s="2"/>
      <c r="BQ56" s="1">
        <v>465884.43060457357</v>
      </c>
      <c r="BR56" s="2"/>
      <c r="BS56" s="2"/>
      <c r="BT56" s="2"/>
      <c r="BU56" s="2"/>
      <c r="BV56" s="2"/>
      <c r="BW56" s="2"/>
      <c r="BX56" s="2"/>
      <c r="BY56" s="2"/>
      <c r="BZ56" s="1">
        <v>750352.20952055464</v>
      </c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1">
        <v>319082.04834265343</v>
      </c>
      <c r="CU56" s="2"/>
      <c r="CV56" s="2"/>
      <c r="CW56" s="2"/>
      <c r="CX56" s="1">
        <v>1016966.2996113164</v>
      </c>
      <c r="CY56" s="2"/>
      <c r="CZ56" s="2"/>
      <c r="DA56" s="2"/>
      <c r="DB56" s="2"/>
      <c r="DC56" s="2"/>
      <c r="DD56" s="2"/>
      <c r="DE56" s="1">
        <v>569343.91449574102</v>
      </c>
      <c r="DF56" s="2"/>
      <c r="DG56" s="2"/>
      <c r="DH56" s="2"/>
      <c r="DI56" s="2"/>
      <c r="DJ56" s="2"/>
      <c r="DK56" s="2"/>
      <c r="DL56" s="1">
        <v>670267.89437879121</v>
      </c>
      <c r="DM56" s="2"/>
      <c r="DN56" s="2"/>
      <c r="DO56" s="2"/>
      <c r="DP56" s="2"/>
      <c r="DQ56" s="2"/>
      <c r="DR56" s="2"/>
      <c r="DS56" s="1">
        <v>280213.1863608596</v>
      </c>
      <c r="DT56" s="2"/>
      <c r="DU56" s="2"/>
      <c r="DV56" s="2"/>
      <c r="DW56" s="2"/>
      <c r="DX56" s="2"/>
      <c r="DY56" s="2"/>
      <c r="DZ56" s="2"/>
      <c r="EA56" s="2"/>
      <c r="EB56" s="1">
        <v>32823.806190750423</v>
      </c>
      <c r="EC56" s="2"/>
      <c r="ED56" s="2"/>
      <c r="EE56" s="1">
        <v>84676.99403965041</v>
      </c>
      <c r="EF56" s="2"/>
      <c r="EG56" s="1">
        <v>303568.56321385672</v>
      </c>
      <c r="EH56" s="2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4"/>
      <c r="HX56" s="2">
        <v>1162074.23842651</v>
      </c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1">
        <v>1848530.6712209859</v>
      </c>
      <c r="LP56" s="1"/>
      <c r="LQ56" s="1"/>
      <c r="LR56" s="1"/>
      <c r="LS56" s="1"/>
      <c r="LT56" s="1"/>
      <c r="LU56" s="1">
        <v>1360468.9730947611</v>
      </c>
      <c r="LV56" s="1"/>
      <c r="LW56" s="1"/>
      <c r="LX56" s="1"/>
      <c r="LY56" s="1"/>
      <c r="LZ56" s="1"/>
      <c r="MA56" s="1"/>
      <c r="MB56" s="1"/>
      <c r="MC56" s="1"/>
      <c r="MD56" s="1"/>
      <c r="ME56" s="1"/>
    </row>
    <row r="57" spans="1:343">
      <c r="A57" s="1">
        <v>1420</v>
      </c>
      <c r="B57" s="1">
        <v>8184691.8554071812</v>
      </c>
      <c r="C57" s="1">
        <v>2324485.2886776589</v>
      </c>
      <c r="D57" s="1"/>
      <c r="E57" s="1"/>
      <c r="F57" s="1"/>
      <c r="G57" s="1"/>
      <c r="H57" s="1"/>
      <c r="I57" s="1"/>
      <c r="J57" s="1"/>
      <c r="K57" s="1">
        <v>922347.97061717906</v>
      </c>
      <c r="L57" s="1"/>
      <c r="M57" s="1"/>
      <c r="N57" s="1"/>
      <c r="O57" s="1"/>
      <c r="P57" s="1"/>
      <c r="Q57" s="1"/>
      <c r="R57" s="1"/>
      <c r="S57" s="1"/>
      <c r="T57" s="1"/>
      <c r="U57" s="1">
        <v>962527.67115617951</v>
      </c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>
        <v>2543252.6817453713</v>
      </c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>
        <v>855916.49856078881</v>
      </c>
      <c r="AU57" s="1"/>
      <c r="AV57" s="1"/>
      <c r="AW57" s="1"/>
      <c r="AX57" s="1"/>
      <c r="AY57" s="1"/>
      <c r="AZ57" s="1"/>
      <c r="BA57" s="1"/>
      <c r="BB57" s="1"/>
      <c r="BC57" s="1">
        <v>576161.74465000455</v>
      </c>
      <c r="BD57" s="1"/>
      <c r="BE57" s="1"/>
      <c r="BF57" s="1"/>
      <c r="BG57" s="1"/>
      <c r="BH57" s="1"/>
      <c r="BI57" s="4">
        <v>5015394.2840351798</v>
      </c>
      <c r="BJ57" s="2">
        <v>503436.04547141597</v>
      </c>
      <c r="BK57" s="2"/>
      <c r="BL57" s="2"/>
      <c r="BM57" s="2"/>
      <c r="BN57" s="2"/>
      <c r="BO57" s="2"/>
      <c r="BP57" s="2"/>
      <c r="BQ57" s="1">
        <v>467142.31856720586</v>
      </c>
      <c r="BR57" s="2"/>
      <c r="BS57" s="2"/>
      <c r="BT57" s="2"/>
      <c r="BU57" s="2"/>
      <c r="BV57" s="2"/>
      <c r="BW57" s="2"/>
      <c r="BX57" s="2"/>
      <c r="BY57" s="2"/>
      <c r="BZ57" s="1">
        <v>755604.67498719844</v>
      </c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1">
        <v>320166.92730701849</v>
      </c>
      <c r="CU57" s="2"/>
      <c r="CV57" s="2"/>
      <c r="CW57" s="2"/>
      <c r="CX57" s="1">
        <v>1020423.985029995</v>
      </c>
      <c r="CY57" s="2"/>
      <c r="CZ57" s="2"/>
      <c r="DA57" s="2"/>
      <c r="DB57" s="2"/>
      <c r="DC57" s="2"/>
      <c r="DD57" s="2"/>
      <c r="DE57" s="1">
        <v>571279.68380502658</v>
      </c>
      <c r="DF57" s="2"/>
      <c r="DG57" s="2"/>
      <c r="DH57" s="2"/>
      <c r="DI57" s="2"/>
      <c r="DJ57" s="2"/>
      <c r="DK57" s="2"/>
      <c r="DL57" s="1">
        <v>672546.80521967914</v>
      </c>
      <c r="DM57" s="2"/>
      <c r="DN57" s="2"/>
      <c r="DO57" s="2"/>
      <c r="DP57" s="2"/>
      <c r="DQ57" s="2"/>
      <c r="DR57" s="2"/>
      <c r="DS57" s="1">
        <v>282174.67866538558</v>
      </c>
      <c r="DT57" s="2"/>
      <c r="DU57" s="2"/>
      <c r="DV57" s="2"/>
      <c r="DW57" s="2"/>
      <c r="DX57" s="2"/>
      <c r="DY57" s="2"/>
      <c r="DZ57" s="2"/>
      <c r="EA57" s="2"/>
      <c r="EB57" s="1">
        <v>33053.572834085673</v>
      </c>
      <c r="EC57" s="2"/>
      <c r="ED57" s="2"/>
      <c r="EE57" s="1">
        <v>84964.89581938523</v>
      </c>
      <c r="EF57" s="2"/>
      <c r="EG57" s="1">
        <v>304600.69632878387</v>
      </c>
      <c r="EH57" s="2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4"/>
      <c r="HX57" s="2">
        <v>1167303.5724994293</v>
      </c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1">
        <v>1854815.6755031375</v>
      </c>
      <c r="LP57" s="1"/>
      <c r="LQ57" s="1"/>
      <c r="LR57" s="1"/>
      <c r="LS57" s="1"/>
      <c r="LT57" s="1"/>
      <c r="LU57" s="1">
        <v>1365094.5676032833</v>
      </c>
      <c r="LV57" s="1"/>
      <c r="LW57" s="1"/>
      <c r="LX57" s="1"/>
      <c r="LY57" s="1"/>
      <c r="LZ57" s="1"/>
      <c r="MA57" s="1"/>
      <c r="MB57" s="1"/>
      <c r="MC57" s="1"/>
      <c r="MD57" s="1"/>
      <c r="ME57" s="1"/>
    </row>
    <row r="58" spans="1:343">
      <c r="A58" s="1">
        <v>1421</v>
      </c>
      <c r="B58" s="1">
        <v>8214593.1709215175</v>
      </c>
      <c r="C58" s="1">
        <v>2332388.5386591633</v>
      </c>
      <c r="D58" s="1"/>
      <c r="E58" s="1"/>
      <c r="F58" s="1"/>
      <c r="G58" s="1"/>
      <c r="H58" s="1"/>
      <c r="I58" s="1"/>
      <c r="J58" s="1"/>
      <c r="K58" s="1">
        <v>926498.53648495628</v>
      </c>
      <c r="L58" s="1"/>
      <c r="M58" s="1"/>
      <c r="N58" s="1"/>
      <c r="O58" s="1"/>
      <c r="P58" s="1"/>
      <c r="Q58" s="1"/>
      <c r="R58" s="1"/>
      <c r="S58" s="1"/>
      <c r="T58" s="1"/>
      <c r="U58" s="1">
        <v>966859.04567638226</v>
      </c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>
        <v>2551899.740863306</v>
      </c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>
        <v>858826.61465589551</v>
      </c>
      <c r="AU58" s="1"/>
      <c r="AV58" s="1"/>
      <c r="AW58" s="1"/>
      <c r="AX58" s="1"/>
      <c r="AY58" s="1"/>
      <c r="AZ58" s="1"/>
      <c r="BA58" s="1"/>
      <c r="BB58" s="1"/>
      <c r="BC58" s="1">
        <v>578120.69458181458</v>
      </c>
      <c r="BD58" s="1"/>
      <c r="BE58" s="1"/>
      <c r="BF58" s="1"/>
      <c r="BG58" s="1"/>
      <c r="BH58" s="1"/>
      <c r="BI58" s="4">
        <v>5036327.0287450841</v>
      </c>
      <c r="BJ58" s="2">
        <v>505500.13325784879</v>
      </c>
      <c r="BK58" s="2"/>
      <c r="BL58" s="2"/>
      <c r="BM58" s="2"/>
      <c r="BN58" s="2"/>
      <c r="BO58" s="2"/>
      <c r="BP58" s="2"/>
      <c r="BQ58" s="1">
        <v>468403.60282733728</v>
      </c>
      <c r="BR58" s="2"/>
      <c r="BS58" s="2"/>
      <c r="BT58" s="2"/>
      <c r="BU58" s="2"/>
      <c r="BV58" s="2"/>
      <c r="BW58" s="2"/>
      <c r="BX58" s="2"/>
      <c r="BY58" s="2"/>
      <c r="BZ58" s="1">
        <v>760893.90771210869</v>
      </c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1">
        <v>321255.49485986237</v>
      </c>
      <c r="CU58" s="2"/>
      <c r="CV58" s="2"/>
      <c r="CW58" s="2"/>
      <c r="CX58" s="1">
        <v>1023893.4265790971</v>
      </c>
      <c r="CY58" s="2"/>
      <c r="CZ58" s="2"/>
      <c r="DA58" s="2"/>
      <c r="DB58" s="2"/>
      <c r="DC58" s="2"/>
      <c r="DD58" s="2"/>
      <c r="DE58" s="1">
        <v>573222.03472996375</v>
      </c>
      <c r="DF58" s="2"/>
      <c r="DG58" s="2"/>
      <c r="DH58" s="2"/>
      <c r="DI58" s="2"/>
      <c r="DJ58" s="2"/>
      <c r="DK58" s="2"/>
      <c r="DL58" s="1">
        <v>674833.46435742604</v>
      </c>
      <c r="DM58" s="2"/>
      <c r="DN58" s="2"/>
      <c r="DO58" s="2"/>
      <c r="DP58" s="2"/>
      <c r="DQ58" s="2"/>
      <c r="DR58" s="2"/>
      <c r="DS58" s="1">
        <v>284149.90141604323</v>
      </c>
      <c r="DT58" s="2"/>
      <c r="DU58" s="2"/>
      <c r="DV58" s="2"/>
      <c r="DW58" s="2"/>
      <c r="DX58" s="2"/>
      <c r="DY58" s="2"/>
      <c r="DZ58" s="2"/>
      <c r="EA58" s="2"/>
      <c r="EB58" s="1">
        <v>33284.947843924267</v>
      </c>
      <c r="EC58" s="2"/>
      <c r="ED58" s="2"/>
      <c r="EE58" s="1">
        <v>85253.776465171148</v>
      </c>
      <c r="EF58" s="2"/>
      <c r="EG58" s="1">
        <v>305636.33869630174</v>
      </c>
      <c r="EH58" s="2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4"/>
      <c r="HX58" s="2">
        <v>1172556.4385756766</v>
      </c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1">
        <v>1861122.0487998484</v>
      </c>
      <c r="LP58" s="1"/>
      <c r="LQ58" s="1"/>
      <c r="LR58" s="1"/>
      <c r="LS58" s="1"/>
      <c r="LT58" s="1"/>
      <c r="LU58" s="1">
        <v>1369735.8891331346</v>
      </c>
      <c r="LV58" s="1"/>
      <c r="LW58" s="1"/>
      <c r="LX58" s="1"/>
      <c r="LY58" s="1"/>
      <c r="LZ58" s="1"/>
      <c r="MA58" s="1"/>
      <c r="MB58" s="1"/>
      <c r="MC58" s="1"/>
      <c r="MD58" s="1"/>
      <c r="ME58" s="1"/>
    </row>
    <row r="59" spans="1:343">
      <c r="A59" s="1">
        <v>1422</v>
      </c>
      <c r="B59" s="1">
        <v>8244605.4810430286</v>
      </c>
      <c r="C59" s="1">
        <v>2340318.6596906045</v>
      </c>
      <c r="D59" s="1"/>
      <c r="E59" s="1"/>
      <c r="F59" s="1"/>
      <c r="G59" s="1"/>
      <c r="H59" s="1"/>
      <c r="I59" s="1"/>
      <c r="J59" s="1"/>
      <c r="K59" s="1">
        <v>930667.77989913849</v>
      </c>
      <c r="L59" s="1"/>
      <c r="M59" s="1"/>
      <c r="N59" s="1"/>
      <c r="O59" s="1"/>
      <c r="P59" s="1"/>
      <c r="Q59" s="1"/>
      <c r="R59" s="1"/>
      <c r="S59" s="1"/>
      <c r="T59" s="1"/>
      <c r="U59" s="1">
        <v>971209.91138192592</v>
      </c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>
        <v>2560576.1999822413</v>
      </c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>
        <v>861746.62514572556</v>
      </c>
      <c r="AU59" s="1"/>
      <c r="AV59" s="1"/>
      <c r="AW59" s="1"/>
      <c r="AX59" s="1"/>
      <c r="AY59" s="1"/>
      <c r="AZ59" s="1"/>
      <c r="BA59" s="1"/>
      <c r="BB59" s="1"/>
      <c r="BC59" s="1">
        <v>580086.30494339275</v>
      </c>
      <c r="BD59" s="1"/>
      <c r="BE59" s="1"/>
      <c r="BF59" s="1"/>
      <c r="BG59" s="1"/>
      <c r="BH59" s="1"/>
      <c r="BI59" s="4">
        <v>5057358.4917392191</v>
      </c>
      <c r="BJ59" s="2">
        <v>507572.68380420597</v>
      </c>
      <c r="BK59" s="2"/>
      <c r="BL59" s="2"/>
      <c r="BM59" s="2"/>
      <c r="BN59" s="2"/>
      <c r="BO59" s="2"/>
      <c r="BP59" s="2"/>
      <c r="BQ59" s="1">
        <v>469668.29255497106</v>
      </c>
      <c r="BR59" s="2"/>
      <c r="BS59" s="2"/>
      <c r="BT59" s="2"/>
      <c r="BU59" s="2"/>
      <c r="BV59" s="2"/>
      <c r="BW59" s="2"/>
      <c r="BX59" s="2"/>
      <c r="BY59" s="2"/>
      <c r="BZ59" s="1">
        <v>766220.16506609332</v>
      </c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1">
        <v>322347.76354238595</v>
      </c>
      <c r="CU59" s="2"/>
      <c r="CV59" s="2"/>
      <c r="CW59" s="2"/>
      <c r="CX59" s="1">
        <v>1027374.664229466</v>
      </c>
      <c r="CY59" s="2"/>
      <c r="CZ59" s="2"/>
      <c r="DA59" s="2"/>
      <c r="DB59" s="2"/>
      <c r="DC59" s="2"/>
      <c r="DD59" s="2"/>
      <c r="DE59" s="1">
        <v>575170.98964804562</v>
      </c>
      <c r="DF59" s="2"/>
      <c r="DG59" s="2"/>
      <c r="DH59" s="2"/>
      <c r="DI59" s="2"/>
      <c r="DJ59" s="2"/>
      <c r="DK59" s="2"/>
      <c r="DL59" s="1">
        <v>677127.89813624136</v>
      </c>
      <c r="DM59" s="2"/>
      <c r="DN59" s="2"/>
      <c r="DO59" s="2"/>
      <c r="DP59" s="2"/>
      <c r="DQ59" s="2"/>
      <c r="DR59" s="2"/>
      <c r="DS59" s="1">
        <v>286138.95072595548</v>
      </c>
      <c r="DT59" s="2"/>
      <c r="DU59" s="2"/>
      <c r="DV59" s="2"/>
      <c r="DW59" s="2"/>
      <c r="DX59" s="2"/>
      <c r="DY59" s="2"/>
      <c r="DZ59" s="2"/>
      <c r="EA59" s="2"/>
      <c r="EB59" s="1">
        <v>33517.942478831734</v>
      </c>
      <c r="EC59" s="2"/>
      <c r="ED59" s="2"/>
      <c r="EE59" s="1">
        <v>85543.639305152741</v>
      </c>
      <c r="EF59" s="2"/>
      <c r="EG59" s="1">
        <v>306675.50224786921</v>
      </c>
      <c r="EH59" s="2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4"/>
      <c r="HX59" s="2">
        <v>1177832.9425492671</v>
      </c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1">
        <v>1867449.863765768</v>
      </c>
      <c r="LP59" s="1"/>
      <c r="LQ59" s="1"/>
      <c r="LR59" s="1"/>
      <c r="LS59" s="1"/>
      <c r="LT59" s="1"/>
      <c r="LU59" s="1">
        <v>1374392.9911561874</v>
      </c>
      <c r="LV59" s="1"/>
      <c r="LW59" s="1"/>
      <c r="LX59" s="1"/>
      <c r="LY59" s="1"/>
      <c r="LZ59" s="1"/>
      <c r="MA59" s="1"/>
      <c r="MB59" s="1"/>
      <c r="MC59" s="1"/>
      <c r="MD59" s="1"/>
      <c r="ME59" s="1"/>
    </row>
    <row r="60" spans="1:343">
      <c r="A60" s="1">
        <v>1423</v>
      </c>
      <c r="B60" s="1">
        <v>8274729.2051389841</v>
      </c>
      <c r="C60" s="1">
        <v>2348275.7431335528</v>
      </c>
      <c r="D60" s="1"/>
      <c r="E60" s="1"/>
      <c r="F60" s="1"/>
      <c r="G60" s="1"/>
      <c r="H60" s="1"/>
      <c r="I60" s="1"/>
      <c r="J60" s="1"/>
      <c r="K60" s="1">
        <v>934855.78490868455</v>
      </c>
      <c r="L60" s="1"/>
      <c r="M60" s="1"/>
      <c r="N60" s="1"/>
      <c r="O60" s="1"/>
      <c r="P60" s="1"/>
      <c r="Q60" s="1"/>
      <c r="R60" s="1"/>
      <c r="S60" s="1"/>
      <c r="T60" s="1"/>
      <c r="U60" s="1">
        <v>975580.35598314449</v>
      </c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>
        <v>2569282.1590621811</v>
      </c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>
        <v>864676.56367122114</v>
      </c>
      <c r="AU60" s="1"/>
      <c r="AV60" s="1"/>
      <c r="AW60" s="1"/>
      <c r="AX60" s="1"/>
      <c r="AY60" s="1"/>
      <c r="AZ60" s="1"/>
      <c r="BA60" s="1"/>
      <c r="BB60" s="1"/>
      <c r="BC60" s="1">
        <v>582058.59838020033</v>
      </c>
      <c r="BD60" s="1"/>
      <c r="BE60" s="1"/>
      <c r="BF60" s="1"/>
      <c r="BG60" s="1"/>
      <c r="BH60" s="1"/>
      <c r="BI60" s="4">
        <v>5078489.201094782</v>
      </c>
      <c r="BJ60" s="2">
        <v>509653.73180780321</v>
      </c>
      <c r="BK60" s="2"/>
      <c r="BL60" s="2"/>
      <c r="BM60" s="2"/>
      <c r="BN60" s="2"/>
      <c r="BO60" s="2"/>
      <c r="BP60" s="2"/>
      <c r="BQ60" s="1">
        <v>470936.39694486943</v>
      </c>
      <c r="BR60" s="2"/>
      <c r="BS60" s="2"/>
      <c r="BT60" s="2"/>
      <c r="BU60" s="2"/>
      <c r="BV60" s="2"/>
      <c r="BW60" s="2"/>
      <c r="BX60" s="2"/>
      <c r="BY60" s="2"/>
      <c r="BZ60" s="1">
        <v>771583.70622155594</v>
      </c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1">
        <v>323443.74593843007</v>
      </c>
      <c r="CU60" s="2"/>
      <c r="CV60" s="2"/>
      <c r="CW60" s="2"/>
      <c r="CX60" s="1">
        <v>1030867.7380878462</v>
      </c>
      <c r="CY60" s="2"/>
      <c r="CZ60" s="2"/>
      <c r="DA60" s="2"/>
      <c r="DB60" s="2"/>
      <c r="DC60" s="2"/>
      <c r="DD60" s="2"/>
      <c r="DE60" s="1">
        <v>577126.57101284899</v>
      </c>
      <c r="DF60" s="2"/>
      <c r="DG60" s="2"/>
      <c r="DH60" s="2"/>
      <c r="DI60" s="2"/>
      <c r="DJ60" s="2"/>
      <c r="DK60" s="2"/>
      <c r="DL60" s="1">
        <v>679430.13298990461</v>
      </c>
      <c r="DM60" s="2"/>
      <c r="DN60" s="2"/>
      <c r="DO60" s="2"/>
      <c r="DP60" s="2"/>
      <c r="DQ60" s="2"/>
      <c r="DR60" s="2"/>
      <c r="DS60" s="1">
        <v>288141.92338103714</v>
      </c>
      <c r="DT60" s="2"/>
      <c r="DU60" s="2"/>
      <c r="DV60" s="2"/>
      <c r="DW60" s="2"/>
      <c r="DX60" s="2"/>
      <c r="DY60" s="2"/>
      <c r="DZ60" s="2"/>
      <c r="EA60" s="2"/>
      <c r="EB60" s="1">
        <v>33752.568076183554</v>
      </c>
      <c r="EC60" s="2"/>
      <c r="ED60" s="2"/>
      <c r="EE60" s="1">
        <v>85834.487678790261</v>
      </c>
      <c r="EF60" s="2"/>
      <c r="EG60" s="1">
        <v>307718.19895551197</v>
      </c>
      <c r="EH60" s="2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4"/>
      <c r="HX60" s="2">
        <v>1183133.1907907387</v>
      </c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1">
        <v>1873799.1933025718</v>
      </c>
      <c r="LP60" s="1"/>
      <c r="LQ60" s="1"/>
      <c r="LR60" s="1"/>
      <c r="LS60" s="1"/>
      <c r="LT60" s="1"/>
      <c r="LU60" s="1">
        <v>1379065.9273261186</v>
      </c>
      <c r="LV60" s="1"/>
      <c r="LW60" s="1"/>
      <c r="LX60" s="1"/>
      <c r="LY60" s="1"/>
      <c r="LZ60" s="1"/>
      <c r="MA60" s="1"/>
      <c r="MB60" s="1"/>
      <c r="MC60" s="1"/>
      <c r="MD60" s="1"/>
      <c r="ME60" s="1"/>
    </row>
    <row r="61" spans="1:343">
      <c r="A61" s="1">
        <v>1424</v>
      </c>
      <c r="B61" s="1">
        <v>8304964.7641914384</v>
      </c>
      <c r="C61" s="1">
        <v>2356259.880660207</v>
      </c>
      <c r="D61" s="1"/>
      <c r="E61" s="1"/>
      <c r="F61" s="1"/>
      <c r="G61" s="1"/>
      <c r="H61" s="1"/>
      <c r="I61" s="1"/>
      <c r="J61" s="1"/>
      <c r="K61" s="1">
        <v>939062.63594077353</v>
      </c>
      <c r="L61" s="1"/>
      <c r="M61" s="1"/>
      <c r="N61" s="1"/>
      <c r="O61" s="1"/>
      <c r="P61" s="1"/>
      <c r="Q61" s="1"/>
      <c r="R61" s="1"/>
      <c r="S61" s="1"/>
      <c r="T61" s="1"/>
      <c r="U61" s="1">
        <v>979970.46758506855</v>
      </c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>
        <v>2578017.7184029929</v>
      </c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>
        <v>867616.46398770332</v>
      </c>
      <c r="AU61" s="1"/>
      <c r="AV61" s="1"/>
      <c r="AW61" s="1"/>
      <c r="AX61" s="1"/>
      <c r="AY61" s="1"/>
      <c r="AZ61" s="1"/>
      <c r="BA61" s="1"/>
      <c r="BB61" s="1"/>
      <c r="BC61" s="1">
        <v>584037.59761469311</v>
      </c>
      <c r="BD61" s="1"/>
      <c r="BE61" s="1"/>
      <c r="BF61" s="1"/>
      <c r="BG61" s="1"/>
      <c r="BH61" s="1"/>
      <c r="BI61" s="4">
        <v>5099719.6880245516</v>
      </c>
      <c r="BJ61" s="2">
        <v>511743.31210821518</v>
      </c>
      <c r="BK61" s="2"/>
      <c r="BL61" s="2"/>
      <c r="BM61" s="2"/>
      <c r="BN61" s="2"/>
      <c r="BO61" s="2"/>
      <c r="BP61" s="2"/>
      <c r="BQ61" s="1">
        <v>472207.92521662056</v>
      </c>
      <c r="BR61" s="2"/>
      <c r="BS61" s="2"/>
      <c r="BT61" s="2"/>
      <c r="BU61" s="2"/>
      <c r="BV61" s="2"/>
      <c r="BW61" s="2"/>
      <c r="BX61" s="2"/>
      <c r="BY61" s="2"/>
      <c r="BZ61" s="1">
        <v>776984.79216510674</v>
      </c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1">
        <v>324543.45467462076</v>
      </c>
      <c r="CU61" s="2"/>
      <c r="CV61" s="2"/>
      <c r="CW61" s="2"/>
      <c r="CX61" s="1">
        <v>1034372.6883973449</v>
      </c>
      <c r="CY61" s="2"/>
      <c r="CZ61" s="2"/>
      <c r="DA61" s="2"/>
      <c r="DB61" s="2"/>
      <c r="DC61" s="2"/>
      <c r="DD61" s="2"/>
      <c r="DE61" s="1">
        <v>579088.80135429266</v>
      </c>
      <c r="DF61" s="2"/>
      <c r="DG61" s="2"/>
      <c r="DH61" s="2"/>
      <c r="DI61" s="2"/>
      <c r="DJ61" s="2"/>
      <c r="DK61" s="2"/>
      <c r="DL61" s="1">
        <v>681740.19544207037</v>
      </c>
      <c r="DM61" s="2"/>
      <c r="DN61" s="2"/>
      <c r="DO61" s="2"/>
      <c r="DP61" s="2"/>
      <c r="DQ61" s="2"/>
      <c r="DR61" s="2"/>
      <c r="DS61" s="1">
        <v>290158.91684470436</v>
      </c>
      <c r="DT61" s="2"/>
      <c r="DU61" s="2"/>
      <c r="DV61" s="2"/>
      <c r="DW61" s="2"/>
      <c r="DX61" s="2"/>
      <c r="DY61" s="2"/>
      <c r="DZ61" s="2"/>
      <c r="EA61" s="2"/>
      <c r="EB61" s="1">
        <v>33988.836052716833</v>
      </c>
      <c r="EC61" s="2"/>
      <c r="ED61" s="2"/>
      <c r="EE61" s="1">
        <v>86126.324936898149</v>
      </c>
      <c r="EF61" s="2"/>
      <c r="EG61" s="1">
        <v>308764.4408319607</v>
      </c>
      <c r="EH61" s="2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4"/>
      <c r="HX61" s="2">
        <v>1188457.2901492969</v>
      </c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15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1">
        <v>1880170.1105598006</v>
      </c>
      <c r="LP61" s="1"/>
      <c r="LQ61" s="1"/>
      <c r="LR61" s="1"/>
      <c r="LS61" s="1"/>
      <c r="LT61" s="1"/>
      <c r="LU61" s="1">
        <v>1383754.7514790276</v>
      </c>
      <c r="LV61" s="1"/>
      <c r="LW61" s="1"/>
      <c r="LX61" s="1"/>
      <c r="LY61" s="1"/>
      <c r="LZ61" s="1"/>
      <c r="MA61" s="1"/>
      <c r="MB61" s="1"/>
      <c r="MC61" s="1"/>
      <c r="MD61" s="1"/>
      <c r="ME61" s="1"/>
    </row>
    <row r="62" spans="1:343">
      <c r="A62" s="1">
        <v>1425</v>
      </c>
      <c r="B62" s="1">
        <v>8335312.5808035675</v>
      </c>
      <c r="C62" s="1">
        <v>2364271.1642544521</v>
      </c>
      <c r="D62" s="1"/>
      <c r="E62" s="1"/>
      <c r="F62" s="1"/>
      <c r="G62" s="1"/>
      <c r="H62" s="1"/>
      <c r="I62" s="1"/>
      <c r="J62" s="1"/>
      <c r="K62" s="1">
        <v>943288.41780250694</v>
      </c>
      <c r="L62" s="1"/>
      <c r="M62" s="1"/>
      <c r="N62" s="1"/>
      <c r="O62" s="1"/>
      <c r="P62" s="1"/>
      <c r="Q62" s="1"/>
      <c r="R62" s="1"/>
      <c r="S62" s="1"/>
      <c r="T62" s="1"/>
      <c r="U62" s="1">
        <v>984380.33468920132</v>
      </c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>
        <v>2586782.9786455631</v>
      </c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>
        <v>870566.35996526154</v>
      </c>
      <c r="AU62" s="1"/>
      <c r="AV62" s="1"/>
      <c r="AW62" s="1"/>
      <c r="AX62" s="1"/>
      <c r="AY62" s="1"/>
      <c r="AZ62" s="1"/>
      <c r="BA62" s="1"/>
      <c r="BB62" s="1"/>
      <c r="BC62" s="1">
        <v>586023.3254465831</v>
      </c>
      <c r="BD62" s="1"/>
      <c r="BE62" s="1"/>
      <c r="BF62" s="1"/>
      <c r="BG62" s="1"/>
      <c r="BH62" s="1"/>
      <c r="BI62" s="4">
        <v>5121050.4868968837</v>
      </c>
      <c r="BJ62" s="2">
        <v>513841.45968785888</v>
      </c>
      <c r="BK62" s="2"/>
      <c r="BL62" s="2"/>
      <c r="BM62" s="2"/>
      <c r="BN62" s="2"/>
      <c r="BO62" s="2"/>
      <c r="BP62" s="2"/>
      <c r="BQ62" s="1">
        <v>473482.88661470538</v>
      </c>
      <c r="BR62" s="2"/>
      <c r="BS62" s="2"/>
      <c r="BT62" s="2"/>
      <c r="BU62" s="2"/>
      <c r="BV62" s="2"/>
      <c r="BW62" s="2"/>
      <c r="BX62" s="2"/>
      <c r="BY62" s="2"/>
      <c r="BZ62" s="1">
        <v>782423.68571026239</v>
      </c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1">
        <v>325646.9024205145</v>
      </c>
      <c r="CU62" s="2"/>
      <c r="CV62" s="2"/>
      <c r="CW62" s="2"/>
      <c r="CX62" s="1">
        <v>1037889.555537896</v>
      </c>
      <c r="CY62" s="2"/>
      <c r="CZ62" s="2"/>
      <c r="DA62" s="2"/>
      <c r="DB62" s="2"/>
      <c r="DC62" s="2"/>
      <c r="DD62" s="2"/>
      <c r="DE62" s="1">
        <v>581057.70327889733</v>
      </c>
      <c r="DF62" s="2"/>
      <c r="DG62" s="2"/>
      <c r="DH62" s="2"/>
      <c r="DI62" s="2"/>
      <c r="DJ62" s="2"/>
      <c r="DK62" s="2"/>
      <c r="DL62" s="1">
        <v>684058.11210657342</v>
      </c>
      <c r="DM62" s="2"/>
      <c r="DN62" s="2"/>
      <c r="DO62" s="2"/>
      <c r="DP62" s="2"/>
      <c r="DQ62" s="2"/>
      <c r="DR62" s="2"/>
      <c r="DS62" s="1">
        <v>292190.02926261729</v>
      </c>
      <c r="DT62" s="2"/>
      <c r="DU62" s="2"/>
      <c r="DV62" s="2"/>
      <c r="DW62" s="2"/>
      <c r="DX62" s="2"/>
      <c r="DY62" s="2"/>
      <c r="DZ62" s="2"/>
      <c r="EA62" s="2"/>
      <c r="EB62" s="1">
        <v>34226.757905085848</v>
      </c>
      <c r="EC62" s="2"/>
      <c r="ED62" s="2"/>
      <c r="EE62" s="1">
        <v>86419.154441683611</v>
      </c>
      <c r="EF62" s="2"/>
      <c r="EG62" s="1">
        <v>309814.23993078939</v>
      </c>
      <c r="EH62" s="2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4"/>
      <c r="HX62" s="2">
        <v>1193805.3479549687</v>
      </c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15"/>
      <c r="JN62" s="2"/>
      <c r="JO62" s="2"/>
      <c r="JP62" s="2"/>
      <c r="JQ62" s="2"/>
      <c r="JR62" s="2"/>
      <c r="JS62" s="2"/>
      <c r="JT62" s="15"/>
      <c r="JU62" s="2"/>
      <c r="JV62" s="2"/>
      <c r="JW62" s="15"/>
      <c r="JX62" s="2"/>
      <c r="JY62" s="2"/>
      <c r="JZ62" s="2"/>
      <c r="KA62" s="2"/>
      <c r="KB62" s="2"/>
      <c r="KC62" s="2"/>
      <c r="KD62" s="2"/>
      <c r="KE62" s="2"/>
      <c r="KF62" s="2"/>
      <c r="KG62" s="15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15"/>
      <c r="LM62" s="2"/>
      <c r="LN62" s="2"/>
      <c r="LO62" s="1">
        <v>1886562.6889357041</v>
      </c>
      <c r="LP62" s="1"/>
      <c r="LQ62" s="1"/>
      <c r="LR62" s="1"/>
      <c r="LS62" s="1"/>
      <c r="LT62" s="1"/>
      <c r="LU62" s="1">
        <v>1388459.5176340563</v>
      </c>
      <c r="LV62" s="1"/>
      <c r="LW62" s="1"/>
      <c r="LX62" s="1"/>
      <c r="LY62" s="1"/>
      <c r="LZ62" s="1"/>
      <c r="MA62" s="1"/>
      <c r="MB62" s="1"/>
      <c r="MC62" s="1"/>
      <c r="MD62" s="1"/>
      <c r="ME62" s="1"/>
    </row>
    <row r="63" spans="1:343">
      <c r="A63" s="1">
        <v>1426</v>
      </c>
      <c r="B63" s="1">
        <v>8365773.0792060411</v>
      </c>
      <c r="C63" s="1">
        <v>2372309.6862129173</v>
      </c>
      <c r="D63" s="1"/>
      <c r="E63" s="1"/>
      <c r="F63" s="1"/>
      <c r="G63" s="1"/>
      <c r="H63" s="1"/>
      <c r="I63" s="1"/>
      <c r="J63" s="1"/>
      <c r="K63" s="1">
        <v>947533.2156826182</v>
      </c>
      <c r="L63" s="1"/>
      <c r="M63" s="1"/>
      <c r="N63" s="1"/>
      <c r="O63" s="1"/>
      <c r="P63" s="1"/>
      <c r="Q63" s="1"/>
      <c r="R63" s="1"/>
      <c r="S63" s="1"/>
      <c r="T63" s="1"/>
      <c r="U63" s="1">
        <v>988810.04619530262</v>
      </c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>
        <v>2595578.0407729582</v>
      </c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>
        <v>873526.28558914352</v>
      </c>
      <c r="AU63" s="1"/>
      <c r="AV63" s="1"/>
      <c r="AW63" s="1"/>
      <c r="AX63" s="1"/>
      <c r="AY63" s="1"/>
      <c r="AZ63" s="1"/>
      <c r="BA63" s="1"/>
      <c r="BB63" s="1"/>
      <c r="BC63" s="1">
        <v>588015.80475310155</v>
      </c>
      <c r="BD63" s="1"/>
      <c r="BE63" s="1"/>
      <c r="BF63" s="1"/>
      <c r="BG63" s="1"/>
      <c r="BH63" s="1"/>
      <c r="BI63" s="4">
        <v>5142482.1352558462</v>
      </c>
      <c r="BJ63" s="2">
        <v>515948.20967257908</v>
      </c>
      <c r="BK63" s="2"/>
      <c r="BL63" s="2"/>
      <c r="BM63" s="2"/>
      <c r="BN63" s="2"/>
      <c r="BO63" s="2"/>
      <c r="BP63" s="2"/>
      <c r="BQ63" s="1">
        <v>474761.29040856502</v>
      </c>
      <c r="BR63" s="2"/>
      <c r="BS63" s="2"/>
      <c r="BT63" s="2"/>
      <c r="BU63" s="2"/>
      <c r="BV63" s="2"/>
      <c r="BW63" s="2"/>
      <c r="BX63" s="2"/>
      <c r="BY63" s="2"/>
      <c r="BZ63" s="1">
        <v>787900.65151023411</v>
      </c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1">
        <v>326754.10188874428</v>
      </c>
      <c r="CU63" s="2"/>
      <c r="CV63" s="2"/>
      <c r="CW63" s="2"/>
      <c r="CX63" s="1">
        <v>1041418.3800267249</v>
      </c>
      <c r="CY63" s="2"/>
      <c r="CZ63" s="2"/>
      <c r="DA63" s="2"/>
      <c r="DB63" s="2"/>
      <c r="DC63" s="2"/>
      <c r="DD63" s="2"/>
      <c r="DE63" s="1">
        <v>583033.2994700456</v>
      </c>
      <c r="DF63" s="2"/>
      <c r="DG63" s="2"/>
      <c r="DH63" s="2"/>
      <c r="DI63" s="2"/>
      <c r="DJ63" s="2"/>
      <c r="DK63" s="2"/>
      <c r="DL63" s="1">
        <v>686383.90968773584</v>
      </c>
      <c r="DM63" s="2"/>
      <c r="DN63" s="2"/>
      <c r="DO63" s="2"/>
      <c r="DP63" s="2"/>
      <c r="DQ63" s="2"/>
      <c r="DR63" s="2"/>
      <c r="DS63" s="1">
        <v>294235.35946745559</v>
      </c>
      <c r="DT63" s="2"/>
      <c r="DU63" s="2"/>
      <c r="DV63" s="2"/>
      <c r="DW63" s="2"/>
      <c r="DX63" s="2"/>
      <c r="DY63" s="2"/>
      <c r="DZ63" s="2"/>
      <c r="EA63" s="2"/>
      <c r="EB63" s="1">
        <v>34466.345210421445</v>
      </c>
      <c r="EC63" s="2"/>
      <c r="ED63" s="2"/>
      <c r="EE63" s="1">
        <v>86712.979566785347</v>
      </c>
      <c r="EF63" s="2"/>
      <c r="EG63" s="1">
        <v>310867.6083465541</v>
      </c>
      <c r="EH63" s="2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4"/>
      <c r="HX63" s="2">
        <v>1199177.472020766</v>
      </c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1">
        <v>1892977.0020780857</v>
      </c>
      <c r="LP63" s="1"/>
      <c r="LQ63" s="1"/>
      <c r="LR63" s="1"/>
      <c r="LS63" s="1"/>
      <c r="LT63" s="1"/>
      <c r="LU63" s="1">
        <v>1393180.2799940121</v>
      </c>
      <c r="LV63" s="1"/>
      <c r="LW63" s="1"/>
      <c r="LX63" s="1"/>
      <c r="LY63" s="1"/>
      <c r="LZ63" s="1"/>
      <c r="MA63" s="1"/>
      <c r="MB63" s="1"/>
      <c r="MC63" s="1"/>
      <c r="MD63" s="1"/>
      <c r="ME63" s="1"/>
    </row>
    <row r="64" spans="1:343">
      <c r="A64" s="1">
        <v>1427</v>
      </c>
      <c r="B64" s="1">
        <v>8396346.6852634065</v>
      </c>
      <c r="C64" s="1">
        <v>2380375.5391460415</v>
      </c>
      <c r="D64" s="1"/>
      <c r="E64" s="1"/>
      <c r="F64" s="1"/>
      <c r="G64" s="1"/>
      <c r="H64" s="1"/>
      <c r="I64" s="1"/>
      <c r="J64" s="1"/>
      <c r="K64" s="1">
        <v>951797.11515318998</v>
      </c>
      <c r="L64" s="1"/>
      <c r="M64" s="1"/>
      <c r="N64" s="1"/>
      <c r="O64" s="1"/>
      <c r="P64" s="1"/>
      <c r="Q64" s="1"/>
      <c r="R64" s="1"/>
      <c r="S64" s="1"/>
      <c r="T64" s="1"/>
      <c r="U64" s="1">
        <v>993259.69140318141</v>
      </c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>
        <v>2604403.0061115865</v>
      </c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>
        <v>876496.27496014663</v>
      </c>
      <c r="AU64" s="1"/>
      <c r="AV64" s="1"/>
      <c r="AW64" s="1"/>
      <c r="AX64" s="1"/>
      <c r="AY64" s="1"/>
      <c r="AZ64" s="1"/>
      <c r="BA64" s="1"/>
      <c r="BB64" s="1"/>
      <c r="BC64" s="1">
        <v>590015.05848926213</v>
      </c>
      <c r="BD64" s="1"/>
      <c r="BE64" s="1"/>
      <c r="BF64" s="1"/>
      <c r="BG64" s="1"/>
      <c r="BH64" s="1"/>
      <c r="BI64" s="4">
        <v>5164015.1738414783</v>
      </c>
      <c r="BJ64" s="2">
        <v>518063.59733223665</v>
      </c>
      <c r="BK64" s="2"/>
      <c r="BL64" s="2"/>
      <c r="BM64" s="2"/>
      <c r="BN64" s="2"/>
      <c r="BO64" s="2"/>
      <c r="BP64" s="2"/>
      <c r="BQ64" s="1">
        <v>476043.14589266811</v>
      </c>
      <c r="BR64" s="2"/>
      <c r="BS64" s="2"/>
      <c r="BT64" s="2"/>
      <c r="BU64" s="2"/>
      <c r="BV64" s="2"/>
      <c r="BW64" s="2"/>
      <c r="BX64" s="2"/>
      <c r="BY64" s="2"/>
      <c r="BZ64" s="1">
        <v>793415.95607080567</v>
      </c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1">
        <v>327865.06583516602</v>
      </c>
      <c r="CU64" s="2"/>
      <c r="CV64" s="2"/>
      <c r="CW64" s="2"/>
      <c r="CX64" s="1">
        <v>1044959.2025188159</v>
      </c>
      <c r="CY64" s="2"/>
      <c r="CZ64" s="2"/>
      <c r="DA64" s="2"/>
      <c r="DB64" s="2"/>
      <c r="DC64" s="2"/>
      <c r="DD64" s="2"/>
      <c r="DE64" s="1">
        <v>585015.61268824385</v>
      </c>
      <c r="DF64" s="2"/>
      <c r="DG64" s="2"/>
      <c r="DH64" s="2"/>
      <c r="DI64" s="2"/>
      <c r="DJ64" s="2"/>
      <c r="DK64" s="2"/>
      <c r="DL64" s="1">
        <v>688717.61498067423</v>
      </c>
      <c r="DM64" s="2"/>
      <c r="DN64" s="2"/>
      <c r="DO64" s="2"/>
      <c r="DP64" s="2"/>
      <c r="DQ64" s="2"/>
      <c r="DR64" s="2"/>
      <c r="DS64" s="1">
        <v>296295.00698372774</v>
      </c>
      <c r="DT64" s="2"/>
      <c r="DU64" s="2"/>
      <c r="DV64" s="2"/>
      <c r="DW64" s="2"/>
      <c r="DX64" s="2"/>
      <c r="DY64" s="2"/>
      <c r="DZ64" s="2"/>
      <c r="EA64" s="2"/>
      <c r="EB64" s="1">
        <v>34707.609626894395</v>
      </c>
      <c r="EC64" s="2"/>
      <c r="ED64" s="2"/>
      <c r="EE64" s="1">
        <v>87007.803697312425</v>
      </c>
      <c r="EF64" s="2"/>
      <c r="EG64" s="1">
        <v>311924.55821493239</v>
      </c>
      <c r="EH64" s="2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4"/>
      <c r="HX64" s="2">
        <v>1204573.7706448594</v>
      </c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1">
        <v>1899413.1238851512</v>
      </c>
      <c r="LP64" s="1"/>
      <c r="LQ64" s="1"/>
      <c r="LR64" s="1"/>
      <c r="LS64" s="1"/>
      <c r="LT64" s="1"/>
      <c r="LU64" s="1">
        <v>1397917.0929459918</v>
      </c>
      <c r="LV64" s="1"/>
      <c r="LW64" s="1"/>
      <c r="LX64" s="1"/>
      <c r="LY64" s="1"/>
      <c r="LZ64" s="1"/>
      <c r="MA64" s="1"/>
      <c r="MB64" s="1"/>
      <c r="MC64" s="1"/>
      <c r="MD64" s="1"/>
      <c r="ME64" s="1"/>
    </row>
    <row r="65" spans="1:343">
      <c r="A65" s="1">
        <v>1428</v>
      </c>
      <c r="B65" s="1">
        <v>8427033.8264805153</v>
      </c>
      <c r="C65" s="1">
        <v>2388468.815979138</v>
      </c>
      <c r="D65" s="1"/>
      <c r="E65" s="1"/>
      <c r="F65" s="1"/>
      <c r="G65" s="1"/>
      <c r="H65" s="1"/>
      <c r="I65" s="1"/>
      <c r="J65" s="1"/>
      <c r="K65" s="1">
        <v>956080.20217137923</v>
      </c>
      <c r="L65" s="1"/>
      <c r="M65" s="1"/>
      <c r="N65" s="1"/>
      <c r="O65" s="1"/>
      <c r="P65" s="1"/>
      <c r="Q65" s="1"/>
      <c r="R65" s="1"/>
      <c r="S65" s="1"/>
      <c r="T65" s="1"/>
      <c r="U65" s="1">
        <v>997729.36001449567</v>
      </c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>
        <v>2613257.976332366</v>
      </c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>
        <v>879476.36229501117</v>
      </c>
      <c r="AU65" s="1"/>
      <c r="AV65" s="1"/>
      <c r="AW65" s="1"/>
      <c r="AX65" s="1"/>
      <c r="AY65" s="1"/>
      <c r="AZ65" s="1"/>
      <c r="BA65" s="1"/>
      <c r="BB65" s="1"/>
      <c r="BC65" s="1">
        <v>592021.10968812567</v>
      </c>
      <c r="BD65" s="1"/>
      <c r="BE65" s="1"/>
      <c r="BF65" s="1"/>
      <c r="BG65" s="1"/>
      <c r="BH65" s="1"/>
      <c r="BI65" s="4">
        <v>5185650.1466101985</v>
      </c>
      <c r="BJ65" s="2">
        <v>520187.65808129881</v>
      </c>
      <c r="BK65" s="2"/>
      <c r="BL65" s="2"/>
      <c r="BM65" s="2"/>
      <c r="BN65" s="2"/>
      <c r="BO65" s="2"/>
      <c r="BP65" s="2"/>
      <c r="BQ65" s="1">
        <v>477328.46238657826</v>
      </c>
      <c r="BR65" s="2"/>
      <c r="BS65" s="2"/>
      <c r="BT65" s="2"/>
      <c r="BU65" s="2"/>
      <c r="BV65" s="2"/>
      <c r="BW65" s="2"/>
      <c r="BX65" s="2"/>
      <c r="BY65" s="2"/>
      <c r="BZ65" s="1">
        <v>798969.86776330124</v>
      </c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1">
        <v>328979.8070590056</v>
      </c>
      <c r="CU65" s="2"/>
      <c r="CV65" s="2"/>
      <c r="CW65" s="2"/>
      <c r="CX65" s="1">
        <v>1048512.0638073799</v>
      </c>
      <c r="CY65" s="2"/>
      <c r="CZ65" s="2"/>
      <c r="DA65" s="2"/>
      <c r="DB65" s="2"/>
      <c r="DC65" s="2"/>
      <c r="DD65" s="2"/>
      <c r="DE65" s="1">
        <v>587004.66577138391</v>
      </c>
      <c r="DF65" s="2"/>
      <c r="DG65" s="2"/>
      <c r="DH65" s="2"/>
      <c r="DI65" s="2"/>
      <c r="DJ65" s="2"/>
      <c r="DK65" s="2"/>
      <c r="DL65" s="1">
        <v>691059.25487160857</v>
      </c>
      <c r="DM65" s="2"/>
      <c r="DN65" s="2"/>
      <c r="DO65" s="2"/>
      <c r="DP65" s="2"/>
      <c r="DQ65" s="2"/>
      <c r="DR65" s="2"/>
      <c r="DS65" s="1">
        <v>298369.0720326138</v>
      </c>
      <c r="DT65" s="2"/>
      <c r="DU65" s="2"/>
      <c r="DV65" s="2"/>
      <c r="DW65" s="2"/>
      <c r="DX65" s="2"/>
      <c r="DY65" s="2"/>
      <c r="DZ65" s="2"/>
      <c r="EA65" s="2"/>
      <c r="EB65" s="1">
        <v>34950.562894282652</v>
      </c>
      <c r="EC65" s="2"/>
      <c r="ED65" s="2"/>
      <c r="EE65" s="1">
        <v>87303.630229883289</v>
      </c>
      <c r="EF65" s="2"/>
      <c r="EG65" s="1">
        <v>312985.10171286319</v>
      </c>
      <c r="EH65" s="2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4"/>
      <c r="HX65" s="2">
        <v>1209994.3526127613</v>
      </c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1">
        <v>1905871.1285063608</v>
      </c>
      <c r="LP65" s="1"/>
      <c r="LQ65" s="1"/>
      <c r="LR65" s="1"/>
      <c r="LS65" s="1"/>
      <c r="LT65" s="1"/>
      <c r="LU65" s="1">
        <v>1402670.0110620083</v>
      </c>
      <c r="LV65" s="1"/>
      <c r="LW65" s="1"/>
      <c r="LX65" s="1"/>
      <c r="LY65" s="1"/>
      <c r="LZ65" s="1"/>
      <c r="MA65" s="1"/>
      <c r="MB65" s="1"/>
      <c r="MC65" s="1"/>
      <c r="MD65" s="1"/>
      <c r="ME65" s="1"/>
    </row>
    <row r="66" spans="1:343">
      <c r="A66" s="1">
        <v>1429</v>
      </c>
      <c r="B66" s="1">
        <v>8457834.9320089556</v>
      </c>
      <c r="C66" s="1">
        <v>2396589.6099534673</v>
      </c>
      <c r="D66" s="1"/>
      <c r="E66" s="1"/>
      <c r="F66" s="1"/>
      <c r="G66" s="1"/>
      <c r="H66" s="1"/>
      <c r="I66" s="1"/>
      <c r="J66" s="1"/>
      <c r="K66" s="1">
        <v>960382.56308115041</v>
      </c>
      <c r="L66" s="1"/>
      <c r="M66" s="1"/>
      <c r="N66" s="1"/>
      <c r="O66" s="1"/>
      <c r="P66" s="1"/>
      <c r="Q66" s="1"/>
      <c r="R66" s="1"/>
      <c r="S66" s="1"/>
      <c r="T66" s="1"/>
      <c r="U66" s="1">
        <v>1002219.1421345609</v>
      </c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>
        <v>2622143.0534518962</v>
      </c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>
        <v>882466.58192681428</v>
      </c>
      <c r="AU66" s="1"/>
      <c r="AV66" s="1"/>
      <c r="AW66" s="1"/>
      <c r="AX66" s="1"/>
      <c r="AY66" s="1"/>
      <c r="AZ66" s="1"/>
      <c r="BA66" s="1"/>
      <c r="BB66" s="1"/>
      <c r="BC66" s="1">
        <v>594033.98146106536</v>
      </c>
      <c r="BD66" s="1"/>
      <c r="BE66" s="1"/>
      <c r="BF66" s="1"/>
      <c r="BG66" s="1"/>
      <c r="BH66" s="1"/>
      <c r="BI66" s="4">
        <v>5207387.6007553432</v>
      </c>
      <c r="BJ66" s="2">
        <v>522320.42747943214</v>
      </c>
      <c r="BK66" s="2"/>
      <c r="BL66" s="2"/>
      <c r="BM66" s="2"/>
      <c r="BN66" s="2"/>
      <c r="BO66" s="2"/>
      <c r="BP66" s="2"/>
      <c r="BQ66" s="1">
        <v>478617.249235022</v>
      </c>
      <c r="BR66" s="2"/>
      <c r="BS66" s="2"/>
      <c r="BT66" s="2"/>
      <c r="BU66" s="2"/>
      <c r="BV66" s="2"/>
      <c r="BW66" s="2"/>
      <c r="BX66" s="2"/>
      <c r="BY66" s="2"/>
      <c r="BZ66" s="1">
        <v>804562.65683764429</v>
      </c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1">
        <v>330098.33840300626</v>
      </c>
      <c r="CU66" s="2"/>
      <c r="CV66" s="2"/>
      <c r="CW66" s="2"/>
      <c r="CX66" s="1">
        <v>1052077.004824325</v>
      </c>
      <c r="CY66" s="2"/>
      <c r="CZ66" s="2"/>
      <c r="DA66" s="2"/>
      <c r="DB66" s="2"/>
      <c r="DC66" s="2"/>
      <c r="DD66" s="2"/>
      <c r="DE66" s="1">
        <v>589000.48163500661</v>
      </c>
      <c r="DF66" s="2"/>
      <c r="DG66" s="2"/>
      <c r="DH66" s="2"/>
      <c r="DI66" s="2"/>
      <c r="DJ66" s="2"/>
      <c r="DK66" s="2"/>
      <c r="DL66" s="1">
        <v>693408.8563381721</v>
      </c>
      <c r="DM66" s="2"/>
      <c r="DN66" s="2"/>
      <c r="DO66" s="2"/>
      <c r="DP66" s="2"/>
      <c r="DQ66" s="2"/>
      <c r="DR66" s="2"/>
      <c r="DS66" s="1">
        <v>300457.65553684207</v>
      </c>
      <c r="DT66" s="2"/>
      <c r="DU66" s="2"/>
      <c r="DV66" s="2"/>
      <c r="DW66" s="2"/>
      <c r="DX66" s="2"/>
      <c r="DY66" s="2"/>
      <c r="DZ66" s="2"/>
      <c r="EA66" s="2"/>
      <c r="EB66" s="1">
        <v>35195.216834542625</v>
      </c>
      <c r="EC66" s="2"/>
      <c r="ED66" s="2"/>
      <c r="EE66" s="1">
        <v>87600.462572664896</v>
      </c>
      <c r="EF66" s="2"/>
      <c r="EG66" s="1">
        <v>314049.25105868693</v>
      </c>
      <c r="EH66" s="2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4"/>
      <c r="HX66" s="2">
        <v>1215439.3271995187</v>
      </c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1">
        <v>1912351.0903432826</v>
      </c>
      <c r="LP66" s="1"/>
      <c r="LQ66" s="1"/>
      <c r="LR66" s="1"/>
      <c r="LS66" s="1"/>
      <c r="LT66" s="1"/>
      <c r="LU66" s="1">
        <v>1407439.0890996193</v>
      </c>
      <c r="LV66" s="1"/>
      <c r="LW66" s="1"/>
      <c r="LX66" s="1"/>
      <c r="LY66" s="1"/>
      <c r="LZ66" s="1"/>
      <c r="MA66" s="1"/>
      <c r="MB66" s="1"/>
      <c r="MC66" s="1"/>
      <c r="MD66" s="1"/>
      <c r="ME66" s="1"/>
    </row>
    <row r="67" spans="1:343">
      <c r="A67" s="1">
        <v>1430</v>
      </c>
      <c r="B67" s="1">
        <v>8488750.4326535221</v>
      </c>
      <c r="C67" s="1">
        <v>2404738.0146273091</v>
      </c>
      <c r="D67" s="1"/>
      <c r="E67" s="1"/>
      <c r="F67" s="1"/>
      <c r="G67" s="1"/>
      <c r="H67" s="1"/>
      <c r="I67" s="1"/>
      <c r="J67" s="1"/>
      <c r="K67" s="1">
        <v>964704.28461501549</v>
      </c>
      <c r="L67" s="1"/>
      <c r="M67" s="1"/>
      <c r="N67" s="1"/>
      <c r="O67" s="1"/>
      <c r="P67" s="1"/>
      <c r="Q67" s="1"/>
      <c r="R67" s="1"/>
      <c r="S67" s="1"/>
      <c r="T67" s="1"/>
      <c r="U67" s="1">
        <v>1006729.1282741664</v>
      </c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>
        <v>2631058.3398336326</v>
      </c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>
        <v>885466.96830536553</v>
      </c>
      <c r="AU67" s="1"/>
      <c r="AV67" s="1"/>
      <c r="AW67" s="1"/>
      <c r="AX67" s="1"/>
      <c r="AY67" s="1"/>
      <c r="AZ67" s="1"/>
      <c r="BA67" s="1"/>
      <c r="BB67" s="1"/>
      <c r="BC67" s="1">
        <v>596053.69699803297</v>
      </c>
      <c r="BD67" s="1"/>
      <c r="BE67" s="1"/>
      <c r="BF67" s="1"/>
      <c r="BG67" s="1"/>
      <c r="BH67" s="1"/>
      <c r="BI67" s="4">
        <v>5229228.0867278362</v>
      </c>
      <c r="BJ67" s="2">
        <v>524461.9412320978</v>
      </c>
      <c r="BK67" s="2"/>
      <c r="BL67" s="2"/>
      <c r="BM67" s="2"/>
      <c r="BN67" s="2"/>
      <c r="BO67" s="2"/>
      <c r="BP67" s="2"/>
      <c r="BQ67" s="1">
        <v>479909.51580795652</v>
      </c>
      <c r="BR67" s="2"/>
      <c r="BS67" s="2"/>
      <c r="BT67" s="2"/>
      <c r="BU67" s="2"/>
      <c r="BV67" s="2"/>
      <c r="BW67" s="2"/>
      <c r="BX67" s="2"/>
      <c r="BY67" s="2"/>
      <c r="BZ67" s="1">
        <v>810194.59543550771</v>
      </c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1">
        <v>331220.67275357648</v>
      </c>
      <c r="CU67" s="2"/>
      <c r="CV67" s="2"/>
      <c r="CW67" s="2"/>
      <c r="CX67" s="1">
        <v>1055654.0666407277</v>
      </c>
      <c r="CY67" s="2"/>
      <c r="CZ67" s="2"/>
      <c r="DA67" s="2"/>
      <c r="DB67" s="2"/>
      <c r="DC67" s="2"/>
      <c r="DD67" s="2"/>
      <c r="DE67" s="1">
        <v>591003.08327256562</v>
      </c>
      <c r="DF67" s="2"/>
      <c r="DG67" s="2"/>
      <c r="DH67" s="2"/>
      <c r="DI67" s="2"/>
      <c r="DJ67" s="2"/>
      <c r="DK67" s="2"/>
      <c r="DL67" s="1">
        <v>695766.44644972193</v>
      </c>
      <c r="DM67" s="2"/>
      <c r="DN67" s="2"/>
      <c r="DO67" s="2"/>
      <c r="DP67" s="2"/>
      <c r="DQ67" s="2"/>
      <c r="DR67" s="2"/>
      <c r="DS67" s="1">
        <v>302560.85912559991</v>
      </c>
      <c r="DT67" s="2"/>
      <c r="DU67" s="2"/>
      <c r="DV67" s="2"/>
      <c r="DW67" s="2"/>
      <c r="DX67" s="2"/>
      <c r="DY67" s="2"/>
      <c r="DZ67" s="2"/>
      <c r="EA67" s="2"/>
      <c r="EB67" s="1">
        <v>35441.583352384419</v>
      </c>
      <c r="EC67" s="2"/>
      <c r="ED67" s="2"/>
      <c r="EE67" s="1">
        <v>87898.304145411967</v>
      </c>
      <c r="EF67" s="2"/>
      <c r="EG67" s="1">
        <v>315117.01851228648</v>
      </c>
      <c r="EH67" s="2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4"/>
      <c r="HX67" s="2">
        <v>1220908.8041719166</v>
      </c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1">
        <v>1918853.0840504498</v>
      </c>
      <c r="LP67" s="1"/>
      <c r="LQ67" s="1"/>
      <c r="LR67" s="1"/>
      <c r="LS67" s="1"/>
      <c r="LT67" s="1"/>
      <c r="LU67" s="1">
        <v>1412224.3820025581</v>
      </c>
      <c r="LV67" s="1"/>
      <c r="LW67" s="1"/>
      <c r="LX67" s="1"/>
      <c r="LY67" s="1"/>
      <c r="LZ67" s="1"/>
      <c r="MA67" s="1"/>
      <c r="MB67" s="1"/>
      <c r="MC67" s="1"/>
      <c r="MD67" s="1"/>
      <c r="ME67" s="1"/>
    </row>
    <row r="68" spans="1:343">
      <c r="A68" s="1">
        <v>1431</v>
      </c>
      <c r="B68" s="1">
        <v>8519780.7608787213</v>
      </c>
      <c r="C68" s="1">
        <v>2412914.123877042</v>
      </c>
      <c r="D68" s="1"/>
      <c r="E68" s="1"/>
      <c r="F68" s="1"/>
      <c r="G68" s="1"/>
      <c r="H68" s="1"/>
      <c r="I68" s="1"/>
      <c r="J68" s="1"/>
      <c r="K68" s="1">
        <v>969045.45389578305</v>
      </c>
      <c r="L68" s="1"/>
      <c r="M68" s="1"/>
      <c r="N68" s="1"/>
      <c r="O68" s="1"/>
      <c r="P68" s="1"/>
      <c r="Q68" s="1"/>
      <c r="R68" s="1"/>
      <c r="S68" s="1"/>
      <c r="T68" s="1"/>
      <c r="U68" s="1">
        <v>1011259.4093514001</v>
      </c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>
        <v>2640003.9381890669</v>
      </c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>
        <v>888477.55599760381</v>
      </c>
      <c r="AU68" s="1"/>
      <c r="AV68" s="1"/>
      <c r="AW68" s="1"/>
      <c r="AX68" s="1"/>
      <c r="AY68" s="1"/>
      <c r="AZ68" s="1"/>
      <c r="BA68" s="1"/>
      <c r="BB68" s="1"/>
      <c r="BC68" s="1">
        <v>598080.27956782631</v>
      </c>
      <c r="BD68" s="1"/>
      <c r="BE68" s="1"/>
      <c r="BF68" s="1"/>
      <c r="BG68" s="1"/>
      <c r="BH68" s="1"/>
      <c r="BI68" s="4">
        <v>5251172.1582569964</v>
      </c>
      <c r="BJ68" s="2">
        <v>526612.2351911494</v>
      </c>
      <c r="BK68" s="2"/>
      <c r="BL68" s="2"/>
      <c r="BM68" s="2"/>
      <c r="BN68" s="2"/>
      <c r="BO68" s="2"/>
      <c r="BP68" s="2"/>
      <c r="BQ68" s="1">
        <v>481205.27150063799</v>
      </c>
      <c r="BR68" s="2"/>
      <c r="BS68" s="2"/>
      <c r="BT68" s="2"/>
      <c r="BU68" s="2"/>
      <c r="BV68" s="2"/>
      <c r="BW68" s="2"/>
      <c r="BX68" s="2"/>
      <c r="BY68" s="2"/>
      <c r="BZ68" s="1">
        <v>815865.95760355622</v>
      </c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1">
        <v>332346.82304093865</v>
      </c>
      <c r="CU68" s="2"/>
      <c r="CV68" s="2"/>
      <c r="CW68" s="2"/>
      <c r="CX68" s="1">
        <v>1059243.2904673063</v>
      </c>
      <c r="CY68" s="2"/>
      <c r="CZ68" s="2"/>
      <c r="DA68" s="2"/>
      <c r="DB68" s="2"/>
      <c r="DC68" s="2"/>
      <c r="DD68" s="2"/>
      <c r="DE68" s="1">
        <v>593012.49375569238</v>
      </c>
      <c r="DF68" s="2"/>
      <c r="DG68" s="2"/>
      <c r="DH68" s="2"/>
      <c r="DI68" s="2"/>
      <c r="DJ68" s="2"/>
      <c r="DK68" s="2"/>
      <c r="DL68" s="1">
        <v>698132.05236765102</v>
      </c>
      <c r="DM68" s="2"/>
      <c r="DN68" s="2"/>
      <c r="DO68" s="2"/>
      <c r="DP68" s="2"/>
      <c r="DQ68" s="2"/>
      <c r="DR68" s="2"/>
      <c r="DS68" s="1">
        <v>304678.78513947909</v>
      </c>
      <c r="DT68" s="2"/>
      <c r="DU68" s="2"/>
      <c r="DV68" s="2"/>
      <c r="DW68" s="2"/>
      <c r="DX68" s="2"/>
      <c r="DY68" s="2"/>
      <c r="DZ68" s="2"/>
      <c r="EA68" s="2"/>
      <c r="EB68" s="1">
        <v>35689.674435851106</v>
      </c>
      <c r="EC68" s="2"/>
      <c r="ED68" s="2"/>
      <c r="EE68" s="1">
        <v>88197.158379506378</v>
      </c>
      <c r="EF68" s="2"/>
      <c r="EG68" s="1">
        <v>316188.41637522826</v>
      </c>
      <c r="EH68" s="2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4"/>
      <c r="HX68" s="2">
        <v>1226402.8937906902</v>
      </c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1">
        <v>1925377.1845362214</v>
      </c>
      <c r="LP68" s="1"/>
      <c r="LQ68" s="1"/>
      <c r="LR68" s="1"/>
      <c r="LS68" s="1"/>
      <c r="LT68" s="1"/>
      <c r="LU68" s="1">
        <v>1417025.944901367</v>
      </c>
      <c r="LV68" s="1"/>
      <c r="LW68" s="1"/>
      <c r="LX68" s="1"/>
      <c r="LY68" s="1"/>
      <c r="LZ68" s="1"/>
      <c r="MA68" s="1"/>
      <c r="MB68" s="1"/>
      <c r="MC68" s="1"/>
      <c r="MD68" s="1"/>
      <c r="ME68" s="1"/>
    </row>
    <row r="69" spans="1:343">
      <c r="A69" s="1">
        <v>1432</v>
      </c>
      <c r="B69" s="1">
        <v>8550926.3508152813</v>
      </c>
      <c r="C69" s="1">
        <v>2421118.0318982243</v>
      </c>
      <c r="D69" s="1"/>
      <c r="E69" s="1"/>
      <c r="F69" s="1"/>
      <c r="G69" s="1"/>
      <c r="H69" s="1"/>
      <c r="I69" s="1"/>
      <c r="J69" s="1"/>
      <c r="K69" s="1">
        <v>973406.15843831399</v>
      </c>
      <c r="L69" s="1"/>
      <c r="M69" s="1"/>
      <c r="N69" s="1"/>
      <c r="O69" s="1"/>
      <c r="P69" s="1"/>
      <c r="Q69" s="1"/>
      <c r="R69" s="1"/>
      <c r="S69" s="1"/>
      <c r="T69" s="1"/>
      <c r="U69" s="1">
        <v>1015810.0766934813</v>
      </c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>
        <v>2648979.95157891</v>
      </c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>
        <v>891498.37968799577</v>
      </c>
      <c r="AU69" s="1"/>
      <c r="AV69" s="1"/>
      <c r="AW69" s="1"/>
      <c r="AX69" s="1"/>
      <c r="AY69" s="1"/>
      <c r="AZ69" s="1"/>
      <c r="BA69" s="1"/>
      <c r="BB69" s="1"/>
      <c r="BC69" s="1">
        <v>600113.75251835701</v>
      </c>
      <c r="BD69" s="1"/>
      <c r="BE69" s="1"/>
      <c r="BF69" s="1"/>
      <c r="BG69" s="1"/>
      <c r="BH69" s="1"/>
      <c r="BI69" s="4">
        <v>5273220.3723714976</v>
      </c>
      <c r="BJ69" s="2">
        <v>528771.34535543306</v>
      </c>
      <c r="BK69" s="2"/>
      <c r="BL69" s="2"/>
      <c r="BM69" s="2"/>
      <c r="BN69" s="2"/>
      <c r="BO69" s="2"/>
      <c r="BP69" s="2"/>
      <c r="BQ69" s="1">
        <v>482504.52573368966</v>
      </c>
      <c r="BR69" s="2"/>
      <c r="BS69" s="2"/>
      <c r="BT69" s="2"/>
      <c r="BU69" s="2"/>
      <c r="BV69" s="2"/>
      <c r="BW69" s="2"/>
      <c r="BX69" s="2"/>
      <c r="BY69" s="2"/>
      <c r="BZ69" s="1">
        <v>821577.019306781</v>
      </c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1">
        <v>333476.80223927787</v>
      </c>
      <c r="CU69" s="2"/>
      <c r="CV69" s="2"/>
      <c r="CW69" s="2"/>
      <c r="CX69" s="1">
        <v>1062844.7176548953</v>
      </c>
      <c r="CY69" s="2"/>
      <c r="CZ69" s="2"/>
      <c r="DA69" s="2"/>
      <c r="DB69" s="2"/>
      <c r="DC69" s="2"/>
      <c r="DD69" s="2"/>
      <c r="DE69" s="1">
        <v>595028.73623446177</v>
      </c>
      <c r="DF69" s="2"/>
      <c r="DG69" s="2"/>
      <c r="DH69" s="2"/>
      <c r="DI69" s="2"/>
      <c r="DJ69" s="2"/>
      <c r="DK69" s="2"/>
      <c r="DL69" s="1">
        <v>700505.70134570112</v>
      </c>
      <c r="DM69" s="2"/>
      <c r="DN69" s="2"/>
      <c r="DO69" s="2"/>
      <c r="DP69" s="2"/>
      <c r="DQ69" s="2"/>
      <c r="DR69" s="2"/>
      <c r="DS69" s="1">
        <v>306811.53663545544</v>
      </c>
      <c r="DT69" s="2"/>
      <c r="DU69" s="2"/>
      <c r="DV69" s="2"/>
      <c r="DW69" s="2"/>
      <c r="DX69" s="2"/>
      <c r="DY69" s="2"/>
      <c r="DZ69" s="2"/>
      <c r="EA69" s="2"/>
      <c r="EB69" s="1">
        <v>35939.502156902061</v>
      </c>
      <c r="EC69" s="2"/>
      <c r="ED69" s="2"/>
      <c r="EE69" s="1">
        <v>88497.028717996713</v>
      </c>
      <c r="EF69" s="2"/>
      <c r="EG69" s="1">
        <v>317263.45699090406</v>
      </c>
      <c r="EH69" s="2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4"/>
      <c r="HX69" s="2">
        <v>1231921.7068127482</v>
      </c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1">
        <v>1931923.4669636448</v>
      </c>
      <c r="LP69" s="1"/>
      <c r="LQ69" s="1"/>
      <c r="LR69" s="1"/>
      <c r="LS69" s="1"/>
      <c r="LT69" s="1"/>
      <c r="LU69" s="1">
        <v>1421843.8331140317</v>
      </c>
      <c r="LV69" s="1"/>
      <c r="LW69" s="1"/>
      <c r="LX69" s="1"/>
      <c r="LY69" s="1"/>
      <c r="LZ69" s="1"/>
      <c r="MA69" s="1"/>
      <c r="MB69" s="1"/>
      <c r="MC69" s="1"/>
      <c r="MD69" s="1"/>
      <c r="ME69" s="1"/>
    </row>
    <row r="70" spans="1:343">
      <c r="A70" s="1">
        <v>1433</v>
      </c>
      <c r="B70" s="1">
        <v>8582187.6382666994</v>
      </c>
      <c r="C70" s="1">
        <v>2429349.8332066783</v>
      </c>
      <c r="D70" s="1"/>
      <c r="E70" s="1"/>
      <c r="F70" s="1"/>
      <c r="G70" s="1"/>
      <c r="H70" s="1"/>
      <c r="I70" s="1"/>
      <c r="J70" s="1"/>
      <c r="K70" s="1">
        <v>977786.4861512864</v>
      </c>
      <c r="L70" s="1"/>
      <c r="M70" s="1"/>
      <c r="N70" s="1"/>
      <c r="O70" s="1"/>
      <c r="P70" s="1"/>
      <c r="Q70" s="1"/>
      <c r="R70" s="1"/>
      <c r="S70" s="1"/>
      <c r="T70" s="1"/>
      <c r="U70" s="1">
        <v>1020381.2220386019</v>
      </c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>
        <v>2657986.4834142784</v>
      </c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>
        <v>894529.47417893505</v>
      </c>
      <c r="AU70" s="1"/>
      <c r="AV70" s="1"/>
      <c r="AW70" s="1"/>
      <c r="AX70" s="1"/>
      <c r="AY70" s="1"/>
      <c r="AZ70" s="1"/>
      <c r="BA70" s="1"/>
      <c r="BB70" s="1"/>
      <c r="BC70" s="1">
        <v>602154.13927691942</v>
      </c>
      <c r="BD70" s="1"/>
      <c r="BE70" s="1"/>
      <c r="BF70" s="1"/>
      <c r="BG70" s="1"/>
      <c r="BH70" s="1"/>
      <c r="BI70" s="4">
        <v>5295373.2894204529</v>
      </c>
      <c r="BJ70" s="2">
        <v>530939.30787139037</v>
      </c>
      <c r="BK70" s="2"/>
      <c r="BL70" s="2"/>
      <c r="BM70" s="2"/>
      <c r="BN70" s="2"/>
      <c r="BO70" s="2"/>
      <c r="BP70" s="2"/>
      <c r="BQ70" s="1">
        <v>483807.2879531706</v>
      </c>
      <c r="BR70" s="2"/>
      <c r="BS70" s="2"/>
      <c r="BT70" s="2"/>
      <c r="BU70" s="2"/>
      <c r="BV70" s="2"/>
      <c r="BW70" s="2"/>
      <c r="BX70" s="2"/>
      <c r="BY70" s="2"/>
      <c r="BZ70" s="1">
        <v>827328.05844192836</v>
      </c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1">
        <v>334610.62336689141</v>
      </c>
      <c r="CU70" s="2"/>
      <c r="CV70" s="2"/>
      <c r="CW70" s="2"/>
      <c r="CX70" s="1">
        <v>1066458.3896949219</v>
      </c>
      <c r="CY70" s="2"/>
      <c r="CZ70" s="2"/>
      <c r="DA70" s="2"/>
      <c r="DB70" s="2"/>
      <c r="DC70" s="2"/>
      <c r="DD70" s="2"/>
      <c r="DE70" s="1">
        <v>597051.83393765893</v>
      </c>
      <c r="DF70" s="2"/>
      <c r="DG70" s="2"/>
      <c r="DH70" s="2"/>
      <c r="DI70" s="2"/>
      <c r="DJ70" s="2"/>
      <c r="DK70" s="2"/>
      <c r="DL70" s="1">
        <v>702887.4207302765</v>
      </c>
      <c r="DM70" s="2"/>
      <c r="DN70" s="2"/>
      <c r="DO70" s="2"/>
      <c r="DP70" s="2"/>
      <c r="DQ70" s="2"/>
      <c r="DR70" s="2"/>
      <c r="DS70" s="1">
        <v>308959.21739190357</v>
      </c>
      <c r="DT70" s="2"/>
      <c r="DU70" s="2"/>
      <c r="DV70" s="2"/>
      <c r="DW70" s="2"/>
      <c r="DX70" s="2"/>
      <c r="DY70" s="2"/>
      <c r="DZ70" s="2"/>
      <c r="EA70" s="2"/>
      <c r="EB70" s="1">
        <v>36191.078672000374</v>
      </c>
      <c r="EC70" s="2"/>
      <c r="ED70" s="2"/>
      <c r="EE70" s="1">
        <v>88797.918615637915</v>
      </c>
      <c r="EF70" s="2"/>
      <c r="EG70" s="1">
        <v>318342.15274467313</v>
      </c>
      <c r="EH70" s="2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4"/>
      <c r="HX70" s="2">
        <v>1237465.3544934054</v>
      </c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1">
        <v>1938492.0067513213</v>
      </c>
      <c r="LP70" s="1"/>
      <c r="LQ70" s="1"/>
      <c r="LR70" s="1"/>
      <c r="LS70" s="1"/>
      <c r="LT70" s="1"/>
      <c r="LU70" s="1">
        <v>1426678.1021466195</v>
      </c>
      <c r="LV70" s="1"/>
      <c r="LW70" s="1"/>
      <c r="LX70" s="1"/>
      <c r="LY70" s="1"/>
      <c r="LZ70" s="1"/>
      <c r="MA70" s="1"/>
      <c r="MB70" s="1"/>
      <c r="MC70" s="1"/>
      <c r="MD70" s="1"/>
      <c r="ME70" s="1"/>
    </row>
    <row r="71" spans="1:343">
      <c r="A71" s="1">
        <v>1434</v>
      </c>
      <c r="B71" s="1">
        <v>8613565.0607158151</v>
      </c>
      <c r="C71" s="1">
        <v>2437609.6226395811</v>
      </c>
      <c r="D71" s="1"/>
      <c r="E71" s="1"/>
      <c r="F71" s="1"/>
      <c r="G71" s="1"/>
      <c r="H71" s="1"/>
      <c r="I71" s="1"/>
      <c r="J71" s="1"/>
      <c r="K71" s="1">
        <v>982186.5253389671</v>
      </c>
      <c r="L71" s="1"/>
      <c r="M71" s="1"/>
      <c r="N71" s="1"/>
      <c r="O71" s="1"/>
      <c r="P71" s="1"/>
      <c r="Q71" s="1"/>
      <c r="R71" s="1"/>
      <c r="S71" s="1"/>
      <c r="T71" s="1"/>
      <c r="U71" s="1">
        <v>1024972.9375377755</v>
      </c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>
        <v>2667023.6374578872</v>
      </c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>
        <v>897570.87439114344</v>
      </c>
      <c r="AU71" s="1"/>
      <c r="AV71" s="1"/>
      <c r="AW71" s="1"/>
      <c r="AX71" s="1"/>
      <c r="AY71" s="1"/>
      <c r="AZ71" s="1"/>
      <c r="BA71" s="1"/>
      <c r="BB71" s="1"/>
      <c r="BC71" s="1">
        <v>604201.46335046098</v>
      </c>
      <c r="BD71" s="1"/>
      <c r="BE71" s="1"/>
      <c r="BF71" s="1"/>
      <c r="BG71" s="1"/>
      <c r="BH71" s="1"/>
      <c r="BI71" s="4">
        <v>5317631.4730946468</v>
      </c>
      <c r="BJ71" s="2">
        <v>533116.15903366311</v>
      </c>
      <c r="BK71" s="2"/>
      <c r="BL71" s="2"/>
      <c r="BM71" s="2"/>
      <c r="BN71" s="2"/>
      <c r="BO71" s="2"/>
      <c r="BP71" s="2"/>
      <c r="BQ71" s="1">
        <v>485113.56763064413</v>
      </c>
      <c r="BR71" s="2"/>
      <c r="BS71" s="2"/>
      <c r="BT71" s="2"/>
      <c r="BU71" s="2"/>
      <c r="BV71" s="2"/>
      <c r="BW71" s="2"/>
      <c r="BX71" s="2"/>
      <c r="BY71" s="2"/>
      <c r="BZ71" s="1">
        <v>833119.35485102178</v>
      </c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1">
        <v>335748.29948633886</v>
      </c>
      <c r="CU71" s="2"/>
      <c r="CV71" s="2"/>
      <c r="CW71" s="2"/>
      <c r="CX71" s="1">
        <v>1070084.3482198848</v>
      </c>
      <c r="CY71" s="2"/>
      <c r="CZ71" s="2"/>
      <c r="DA71" s="2"/>
      <c r="DB71" s="2"/>
      <c r="DC71" s="2"/>
      <c r="DD71" s="2"/>
      <c r="DE71" s="1">
        <v>599081.81017304701</v>
      </c>
      <c r="DF71" s="2"/>
      <c r="DG71" s="2"/>
      <c r="DH71" s="2"/>
      <c r="DI71" s="2"/>
      <c r="DJ71" s="2"/>
      <c r="DK71" s="2"/>
      <c r="DL71" s="1">
        <v>705277.23796075943</v>
      </c>
      <c r="DM71" s="2"/>
      <c r="DN71" s="2"/>
      <c r="DO71" s="2"/>
      <c r="DP71" s="2"/>
      <c r="DQ71" s="2"/>
      <c r="DR71" s="2"/>
      <c r="DS71" s="1">
        <v>311121.93191364687</v>
      </c>
      <c r="DT71" s="2"/>
      <c r="DU71" s="2"/>
      <c r="DV71" s="2"/>
      <c r="DW71" s="2"/>
      <c r="DX71" s="2"/>
      <c r="DY71" s="2"/>
      <c r="DZ71" s="2"/>
      <c r="EA71" s="2"/>
      <c r="EB71" s="1">
        <v>36444.416222704371</v>
      </c>
      <c r="EC71" s="2"/>
      <c r="ED71" s="2"/>
      <c r="EE71" s="1">
        <v>89099.831538931088</v>
      </c>
      <c r="EF71" s="2"/>
      <c r="EG71" s="1">
        <v>319424.51606400503</v>
      </c>
      <c r="EH71" s="2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4"/>
      <c r="HX71" s="2">
        <v>1243033.9485886258</v>
      </c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1">
        <v>1945082.8795742758</v>
      </c>
      <c r="LP71" s="1"/>
      <c r="LQ71" s="1"/>
      <c r="LR71" s="1"/>
      <c r="LS71" s="1"/>
      <c r="LT71" s="1"/>
      <c r="LU71" s="1">
        <v>1431528.807693918</v>
      </c>
      <c r="LV71" s="1"/>
      <c r="LW71" s="1"/>
      <c r="LX71" s="1"/>
      <c r="LY71" s="1"/>
      <c r="LZ71" s="1"/>
      <c r="MA71" s="1"/>
      <c r="MB71" s="1"/>
      <c r="MC71" s="1"/>
      <c r="MD71" s="1"/>
      <c r="ME71" s="1"/>
    </row>
    <row r="72" spans="1:343">
      <c r="A72" s="1">
        <v>1435</v>
      </c>
      <c r="B72" s="1">
        <v>8645059.057331413</v>
      </c>
      <c r="C72" s="1">
        <v>2445897.495356556</v>
      </c>
      <c r="D72" s="1"/>
      <c r="E72" s="1"/>
      <c r="F72" s="1"/>
      <c r="G72" s="1"/>
      <c r="H72" s="1"/>
      <c r="I72" s="1"/>
      <c r="J72" s="1"/>
      <c r="K72" s="1">
        <v>986606.36470299237</v>
      </c>
      <c r="L72" s="1"/>
      <c r="M72" s="1"/>
      <c r="N72" s="1"/>
      <c r="O72" s="1"/>
      <c r="P72" s="1"/>
      <c r="Q72" s="1"/>
      <c r="R72" s="1"/>
      <c r="S72" s="1"/>
      <c r="T72" s="1"/>
      <c r="U72" s="1">
        <v>1029585.3157566955</v>
      </c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>
        <v>2676091.517825244</v>
      </c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>
        <v>900622.61536407343</v>
      </c>
      <c r="AU72" s="1"/>
      <c r="AV72" s="1"/>
      <c r="AW72" s="1"/>
      <c r="AX72" s="1"/>
      <c r="AY72" s="1"/>
      <c r="AZ72" s="1"/>
      <c r="BA72" s="1"/>
      <c r="BB72" s="1"/>
      <c r="BC72" s="1">
        <v>606255.74832585256</v>
      </c>
      <c r="BD72" s="1"/>
      <c r="BE72" s="1"/>
      <c r="BF72" s="1"/>
      <c r="BG72" s="1"/>
      <c r="BH72" s="1"/>
      <c r="BI72" s="4">
        <v>5339995.4904479049</v>
      </c>
      <c r="BJ72" s="2">
        <v>535301.93528570107</v>
      </c>
      <c r="BK72" s="2"/>
      <c r="BL72" s="2"/>
      <c r="BM72" s="2"/>
      <c r="BN72" s="2"/>
      <c r="BO72" s="2"/>
      <c r="BP72" s="2"/>
      <c r="BQ72" s="1">
        <v>486423.37426324683</v>
      </c>
      <c r="BR72" s="2"/>
      <c r="BS72" s="2"/>
      <c r="BT72" s="2"/>
      <c r="BU72" s="2"/>
      <c r="BV72" s="2"/>
      <c r="BW72" s="2"/>
      <c r="BX72" s="2"/>
      <c r="BY72" s="2"/>
      <c r="BZ72" s="1">
        <v>838951.19033497886</v>
      </c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1">
        <v>336889.84370459244</v>
      </c>
      <c r="CU72" s="2"/>
      <c r="CV72" s="2"/>
      <c r="CW72" s="2"/>
      <c r="CX72" s="1">
        <v>1073722.6350038324</v>
      </c>
      <c r="CY72" s="2"/>
      <c r="CZ72" s="2"/>
      <c r="DA72" s="2"/>
      <c r="DB72" s="2"/>
      <c r="DC72" s="2"/>
      <c r="DD72" s="2"/>
      <c r="DE72" s="1">
        <v>601118.68832763541</v>
      </c>
      <c r="DF72" s="2"/>
      <c r="DG72" s="2"/>
      <c r="DH72" s="2"/>
      <c r="DI72" s="2"/>
      <c r="DJ72" s="2"/>
      <c r="DK72" s="2"/>
      <c r="DL72" s="1">
        <v>707675.18056982604</v>
      </c>
      <c r="DM72" s="2"/>
      <c r="DN72" s="2"/>
      <c r="DO72" s="2"/>
      <c r="DP72" s="2"/>
      <c r="DQ72" s="2"/>
      <c r="DR72" s="2"/>
      <c r="DS72" s="1">
        <v>313299.78543704236</v>
      </c>
      <c r="DT72" s="2"/>
      <c r="DU72" s="2"/>
      <c r="DV72" s="2"/>
      <c r="DW72" s="2"/>
      <c r="DX72" s="2"/>
      <c r="DY72" s="2"/>
      <c r="DZ72" s="2"/>
      <c r="EA72" s="2"/>
      <c r="EB72" s="1">
        <v>36699.527136263299</v>
      </c>
      <c r="EC72" s="2"/>
      <c r="ED72" s="2"/>
      <c r="EE72" s="1">
        <v>89402.770966163458</v>
      </c>
      <c r="EF72" s="2"/>
      <c r="EG72" s="1">
        <v>320510.5594186227</v>
      </c>
      <c r="EH72" s="2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4"/>
      <c r="HX72" s="2">
        <v>1248627.6013572745</v>
      </c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1">
        <v>1951696.1613648285</v>
      </c>
      <c r="LP72" s="1"/>
      <c r="LQ72" s="1"/>
      <c r="LR72" s="1"/>
      <c r="LS72" s="1"/>
      <c r="LT72" s="1"/>
      <c r="LU72" s="1">
        <v>1436396.0056400774</v>
      </c>
      <c r="LV72" s="1"/>
      <c r="LW72" s="1"/>
      <c r="LX72" s="1"/>
      <c r="LY72" s="1"/>
      <c r="LZ72" s="1"/>
      <c r="MA72" s="1"/>
      <c r="MB72" s="1"/>
      <c r="MC72" s="1"/>
      <c r="MD72" s="1"/>
      <c r="ME72" s="1"/>
    </row>
    <row r="73" spans="1:343">
      <c r="A73" s="1">
        <v>1436</v>
      </c>
      <c r="B73" s="1">
        <v>8676670.068974847</v>
      </c>
      <c r="C73" s="1">
        <v>2454213.5468407683</v>
      </c>
      <c r="D73" s="1"/>
      <c r="E73" s="1"/>
      <c r="F73" s="1"/>
      <c r="G73" s="1"/>
      <c r="H73" s="1"/>
      <c r="I73" s="1"/>
      <c r="J73" s="1"/>
      <c r="K73" s="1">
        <v>991046.09334415582</v>
      </c>
      <c r="L73" s="1"/>
      <c r="M73" s="1"/>
      <c r="N73" s="1"/>
      <c r="O73" s="1"/>
      <c r="P73" s="1"/>
      <c r="Q73" s="1"/>
      <c r="R73" s="1"/>
      <c r="S73" s="1"/>
      <c r="T73" s="1"/>
      <c r="U73" s="1">
        <v>1034218.4496776005</v>
      </c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>
        <v>2685190.2289858502</v>
      </c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>
        <v>903684.73225631134</v>
      </c>
      <c r="AU73" s="1"/>
      <c r="AV73" s="1"/>
      <c r="AW73" s="1"/>
      <c r="AX73" s="1"/>
      <c r="AY73" s="1"/>
      <c r="AZ73" s="1"/>
      <c r="BA73" s="1"/>
      <c r="BB73" s="1"/>
      <c r="BC73" s="1">
        <v>608317.01787016052</v>
      </c>
      <c r="BD73" s="1"/>
      <c r="BE73" s="1"/>
      <c r="BF73" s="1"/>
      <c r="BG73" s="1"/>
      <c r="BH73" s="1"/>
      <c r="BI73" s="4">
        <v>5362465.9119186122</v>
      </c>
      <c r="BJ73" s="2">
        <v>537496.67322037241</v>
      </c>
      <c r="BK73" s="2"/>
      <c r="BL73" s="2"/>
      <c r="BM73" s="2"/>
      <c r="BN73" s="2"/>
      <c r="BO73" s="2"/>
      <c r="BP73" s="2"/>
      <c r="BQ73" s="1">
        <v>487736.71737375756</v>
      </c>
      <c r="BR73" s="2"/>
      <c r="BS73" s="2"/>
      <c r="BT73" s="2"/>
      <c r="BU73" s="2"/>
      <c r="BV73" s="2"/>
      <c r="BW73" s="2"/>
      <c r="BX73" s="2"/>
      <c r="BY73" s="2"/>
      <c r="BZ73" s="1">
        <v>844823.84866732359</v>
      </c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1">
        <v>338035.26917318808</v>
      </c>
      <c r="CU73" s="2"/>
      <c r="CV73" s="2"/>
      <c r="CW73" s="2"/>
      <c r="CX73" s="1">
        <v>1077373.2919628455</v>
      </c>
      <c r="CY73" s="2"/>
      <c r="CZ73" s="2"/>
      <c r="DA73" s="2"/>
      <c r="DB73" s="2"/>
      <c r="DC73" s="2"/>
      <c r="DD73" s="2"/>
      <c r="DE73" s="1">
        <v>603162.49186794937</v>
      </c>
      <c r="DF73" s="2"/>
      <c r="DG73" s="2"/>
      <c r="DH73" s="2"/>
      <c r="DI73" s="2"/>
      <c r="DJ73" s="2"/>
      <c r="DK73" s="2"/>
      <c r="DL73" s="1">
        <v>710081.27618376352</v>
      </c>
      <c r="DM73" s="2"/>
      <c r="DN73" s="2"/>
      <c r="DO73" s="2"/>
      <c r="DP73" s="2"/>
      <c r="DQ73" s="2"/>
      <c r="DR73" s="2"/>
      <c r="DS73" s="1">
        <v>315492.88393510162</v>
      </c>
      <c r="DT73" s="2"/>
      <c r="DU73" s="2"/>
      <c r="DV73" s="2"/>
      <c r="DW73" s="2"/>
      <c r="DX73" s="2"/>
      <c r="DY73" s="2"/>
      <c r="DZ73" s="2"/>
      <c r="EA73" s="2"/>
      <c r="EB73" s="1">
        <v>36956.423826217142</v>
      </c>
      <c r="EC73" s="2"/>
      <c r="ED73" s="2"/>
      <c r="EE73" s="1">
        <v>89706.740387448415</v>
      </c>
      <c r="EF73" s="2"/>
      <c r="EG73" s="1">
        <v>321600.29532064602</v>
      </c>
      <c r="EH73" s="2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4"/>
      <c r="HX73" s="2">
        <v>1254246.4255633822</v>
      </c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1">
        <v>1958331.928313469</v>
      </c>
      <c r="LP73" s="1"/>
      <c r="LQ73" s="1"/>
      <c r="LR73" s="1"/>
      <c r="LS73" s="1"/>
      <c r="LT73" s="1"/>
      <c r="LU73" s="1">
        <v>1441279.7520592539</v>
      </c>
      <c r="LV73" s="1"/>
      <c r="LW73" s="1"/>
      <c r="LX73" s="1"/>
      <c r="LY73" s="1"/>
      <c r="LZ73" s="1"/>
      <c r="MA73" s="1"/>
      <c r="MB73" s="1"/>
      <c r="MC73" s="1"/>
      <c r="MD73" s="1"/>
      <c r="ME73" s="1"/>
    </row>
    <row r="74" spans="1:343">
      <c r="A74" s="1">
        <v>1437</v>
      </c>
      <c r="B74" s="1">
        <v>8708398.5382066853</v>
      </c>
      <c r="C74" s="1">
        <v>2462557.8729000273</v>
      </c>
      <c r="D74" s="1"/>
      <c r="E74" s="1"/>
      <c r="F74" s="1"/>
      <c r="G74" s="1"/>
      <c r="H74" s="1"/>
      <c r="I74" s="1"/>
      <c r="J74" s="1"/>
      <c r="K74" s="1">
        <v>995505.80076420447</v>
      </c>
      <c r="L74" s="1"/>
      <c r="M74" s="1"/>
      <c r="N74" s="1"/>
      <c r="O74" s="1"/>
      <c r="P74" s="1"/>
      <c r="Q74" s="1"/>
      <c r="R74" s="1"/>
      <c r="S74" s="1"/>
      <c r="T74" s="1"/>
      <c r="U74" s="1">
        <v>1038872.4327011497</v>
      </c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>
        <v>2694319.8757644021</v>
      </c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>
        <v>906757.26034598285</v>
      </c>
      <c r="AU74" s="1"/>
      <c r="AV74" s="1"/>
      <c r="AW74" s="1"/>
      <c r="AX74" s="1"/>
      <c r="AY74" s="1"/>
      <c r="AZ74" s="1"/>
      <c r="BA74" s="1"/>
      <c r="BB74" s="1"/>
      <c r="BC74" s="1">
        <v>610385.29573091911</v>
      </c>
      <c r="BD74" s="1"/>
      <c r="BE74" s="1"/>
      <c r="BF74" s="1"/>
      <c r="BG74" s="1"/>
      <c r="BH74" s="1"/>
      <c r="BI74" s="4">
        <v>5385043.3113513719</v>
      </c>
      <c r="BJ74" s="2">
        <v>539700.40958057588</v>
      </c>
      <c r="BK74" s="2"/>
      <c r="BL74" s="2"/>
      <c r="BM74" s="2"/>
      <c r="BN74" s="2"/>
      <c r="BO74" s="2"/>
      <c r="BP74" s="2"/>
      <c r="BQ74" s="1">
        <v>489053.60651066666</v>
      </c>
      <c r="BR74" s="2"/>
      <c r="BS74" s="2"/>
      <c r="BT74" s="2"/>
      <c r="BU74" s="2"/>
      <c r="BV74" s="2"/>
      <c r="BW74" s="2"/>
      <c r="BX74" s="2"/>
      <c r="BY74" s="2"/>
      <c r="BZ74" s="1">
        <v>850737.61560799472</v>
      </c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1">
        <v>339184.58908837696</v>
      </c>
      <c r="CU74" s="2"/>
      <c r="CV74" s="2"/>
      <c r="CW74" s="2"/>
      <c r="CX74" s="1">
        <v>1081036.3611555193</v>
      </c>
      <c r="CY74" s="2"/>
      <c r="CZ74" s="2"/>
      <c r="DA74" s="2"/>
      <c r="DB74" s="2"/>
      <c r="DC74" s="2"/>
      <c r="DD74" s="2"/>
      <c r="DE74" s="1">
        <v>605213.24434030044</v>
      </c>
      <c r="DF74" s="2"/>
      <c r="DG74" s="2"/>
      <c r="DH74" s="2"/>
      <c r="DI74" s="2"/>
      <c r="DJ74" s="2"/>
      <c r="DK74" s="2"/>
      <c r="DL74" s="1">
        <v>712495.55252278841</v>
      </c>
      <c r="DM74" s="2"/>
      <c r="DN74" s="2"/>
      <c r="DO74" s="2"/>
      <c r="DP74" s="2"/>
      <c r="DQ74" s="2"/>
      <c r="DR74" s="2"/>
      <c r="DS74" s="1">
        <v>317701.3341226473</v>
      </c>
      <c r="DT74" s="2"/>
      <c r="DU74" s="2"/>
      <c r="DV74" s="2"/>
      <c r="DW74" s="2"/>
      <c r="DX74" s="2"/>
      <c r="DY74" s="2"/>
      <c r="DZ74" s="2"/>
      <c r="EA74" s="2"/>
      <c r="EB74" s="1">
        <v>37215.118793000656</v>
      </c>
      <c r="EC74" s="2"/>
      <c r="ED74" s="2"/>
      <c r="EE74" s="1">
        <v>90011.74330476574</v>
      </c>
      <c r="EF74" s="2"/>
      <c r="EG74" s="1">
        <v>322693.73632473627</v>
      </c>
      <c r="EH74" s="2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4"/>
      <c r="HX74" s="2">
        <v>1259890.5344784174</v>
      </c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1">
        <v>1964990.256869735</v>
      </c>
      <c r="LP74" s="1"/>
      <c r="LQ74" s="1"/>
      <c r="LR74" s="1"/>
      <c r="LS74" s="1"/>
      <c r="LT74" s="1"/>
      <c r="LU74" s="1">
        <v>1446180.1032162553</v>
      </c>
      <c r="LV74" s="1"/>
      <c r="LW74" s="1"/>
      <c r="LX74" s="1"/>
      <c r="LY74" s="1"/>
      <c r="LZ74" s="1"/>
      <c r="MA74" s="1"/>
      <c r="MB74" s="1"/>
      <c r="MC74" s="1"/>
      <c r="MD74" s="1"/>
      <c r="ME74" s="1"/>
    </row>
    <row r="75" spans="1:343">
      <c r="A75" s="1">
        <v>1438</v>
      </c>
      <c r="B75" s="1">
        <v>8740244.9092934001</v>
      </c>
      <c r="C75" s="1">
        <v>2470930.5696678874</v>
      </c>
      <c r="D75" s="1"/>
      <c r="E75" s="1"/>
      <c r="F75" s="1"/>
      <c r="G75" s="1"/>
      <c r="H75" s="1"/>
      <c r="I75" s="1"/>
      <c r="J75" s="1"/>
      <c r="K75" s="1">
        <v>999985.57686764339</v>
      </c>
      <c r="L75" s="1"/>
      <c r="M75" s="1"/>
      <c r="N75" s="1"/>
      <c r="O75" s="1"/>
      <c r="P75" s="1"/>
      <c r="Q75" s="1"/>
      <c r="R75" s="1"/>
      <c r="S75" s="1"/>
      <c r="T75" s="1"/>
      <c r="U75" s="1">
        <v>1043547.3586483048</v>
      </c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>
        <v>2703480.5633420013</v>
      </c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>
        <v>909840.23503115925</v>
      </c>
      <c r="AU75" s="1"/>
      <c r="AV75" s="1"/>
      <c r="AW75" s="1"/>
      <c r="AX75" s="1"/>
      <c r="AY75" s="1"/>
      <c r="AZ75" s="1"/>
      <c r="BA75" s="1"/>
      <c r="BB75" s="1"/>
      <c r="BC75" s="1">
        <v>612460.60573640431</v>
      </c>
      <c r="BD75" s="1"/>
      <c r="BE75" s="1"/>
      <c r="BF75" s="1"/>
      <c r="BG75" s="1"/>
      <c r="BH75" s="1"/>
      <c r="BI75" s="4">
        <v>5407728.2660187995</v>
      </c>
      <c r="BJ75" s="2">
        <v>541913.18125985621</v>
      </c>
      <c r="BK75" s="2"/>
      <c r="BL75" s="2"/>
      <c r="BM75" s="2"/>
      <c r="BN75" s="2"/>
      <c r="BO75" s="2"/>
      <c r="BP75" s="2"/>
      <c r="BQ75" s="1">
        <v>490374.05124824541</v>
      </c>
      <c r="BR75" s="2"/>
      <c r="BS75" s="2"/>
      <c r="BT75" s="2"/>
      <c r="BU75" s="2"/>
      <c r="BV75" s="2"/>
      <c r="BW75" s="2"/>
      <c r="BX75" s="2"/>
      <c r="BY75" s="2"/>
      <c r="BZ75" s="1">
        <v>856692.77891725057</v>
      </c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1">
        <v>340337.81669127749</v>
      </c>
      <c r="CU75" s="2"/>
      <c r="CV75" s="2"/>
      <c r="CW75" s="2"/>
      <c r="CX75" s="1">
        <v>1084711.8847834482</v>
      </c>
      <c r="CY75" s="2"/>
      <c r="CZ75" s="2"/>
      <c r="DA75" s="2"/>
      <c r="DB75" s="2"/>
      <c r="DC75" s="2"/>
      <c r="DD75" s="2"/>
      <c r="DE75" s="1">
        <v>607270.96937105746</v>
      </c>
      <c r="DF75" s="2"/>
      <c r="DG75" s="2"/>
      <c r="DH75" s="2"/>
      <c r="DI75" s="2"/>
      <c r="DJ75" s="2"/>
      <c r="DK75" s="2"/>
      <c r="DL75" s="1">
        <v>714918.03740136593</v>
      </c>
      <c r="DM75" s="2"/>
      <c r="DN75" s="2"/>
      <c r="DO75" s="2"/>
      <c r="DP75" s="2"/>
      <c r="DQ75" s="2"/>
      <c r="DR75" s="2"/>
      <c r="DS75" s="1">
        <v>319925.2434615058</v>
      </c>
      <c r="DT75" s="2"/>
      <c r="DU75" s="2"/>
      <c r="DV75" s="2"/>
      <c r="DW75" s="2"/>
      <c r="DX75" s="2"/>
      <c r="DY75" s="2"/>
      <c r="DZ75" s="2"/>
      <c r="EA75" s="2"/>
      <c r="EB75" s="1">
        <v>37475.62462455166</v>
      </c>
      <c r="EC75" s="2"/>
      <c r="ED75" s="2"/>
      <c r="EE75" s="1">
        <v>90317.783232001952</v>
      </c>
      <c r="EF75" s="2"/>
      <c r="EG75" s="1">
        <v>323790.8950282404</v>
      </c>
      <c r="EH75" s="2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4"/>
      <c r="HX75" s="2">
        <v>1265560.0418835701</v>
      </c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1">
        <v>1971671.2237430923</v>
      </c>
      <c r="LP75" s="1"/>
      <c r="LQ75" s="1"/>
      <c r="LR75" s="1"/>
      <c r="LS75" s="1"/>
      <c r="LT75" s="1"/>
      <c r="LU75" s="1">
        <v>1451097.1155671906</v>
      </c>
      <c r="LV75" s="1"/>
      <c r="LW75" s="1"/>
      <c r="LX75" s="1"/>
      <c r="LY75" s="1"/>
      <c r="LZ75" s="1"/>
      <c r="MA75" s="1"/>
      <c r="MB75" s="1"/>
      <c r="MC75" s="1"/>
      <c r="MD75" s="1"/>
      <c r="ME75" s="1"/>
    </row>
    <row r="76" spans="1:343">
      <c r="A76" s="1">
        <v>1439</v>
      </c>
      <c r="B76" s="1">
        <v>8772209.628214065</v>
      </c>
      <c r="C76" s="1">
        <v>2479331.7336047585</v>
      </c>
      <c r="D76" s="1"/>
      <c r="E76" s="1"/>
      <c r="F76" s="1"/>
      <c r="G76" s="1"/>
      <c r="H76" s="1"/>
      <c r="I76" s="1"/>
      <c r="J76" s="1"/>
      <c r="K76" s="1">
        <v>1004485.5119635478</v>
      </c>
      <c r="L76" s="1"/>
      <c r="M76" s="1"/>
      <c r="N76" s="1"/>
      <c r="O76" s="1"/>
      <c r="P76" s="1"/>
      <c r="Q76" s="1"/>
      <c r="R76" s="1"/>
      <c r="S76" s="1"/>
      <c r="T76" s="1"/>
      <c r="U76" s="1">
        <v>1048243.3217622221</v>
      </c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>
        <v>2712672.3972573644</v>
      </c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>
        <v>912933.69183026522</v>
      </c>
      <c r="AU76" s="1"/>
      <c r="AV76" s="1"/>
      <c r="AW76" s="1"/>
      <c r="AX76" s="1"/>
      <c r="AY76" s="1"/>
      <c r="AZ76" s="1"/>
      <c r="BA76" s="1"/>
      <c r="BB76" s="1"/>
      <c r="BC76" s="1">
        <v>614542.97179590818</v>
      </c>
      <c r="BD76" s="1"/>
      <c r="BE76" s="1"/>
      <c r="BF76" s="1"/>
      <c r="BG76" s="1"/>
      <c r="BH76" s="1"/>
      <c r="BI76" s="4">
        <v>5430521.3566434858</v>
      </c>
      <c r="BJ76" s="2">
        <v>544135.02530302166</v>
      </c>
      <c r="BK76" s="2"/>
      <c r="BL76" s="2"/>
      <c r="BM76" s="2"/>
      <c r="BN76" s="2"/>
      <c r="BO76" s="2"/>
      <c r="BP76" s="2"/>
      <c r="BQ76" s="1">
        <v>491698.06118661561</v>
      </c>
      <c r="BR76" s="2"/>
      <c r="BS76" s="2"/>
      <c r="BT76" s="2"/>
      <c r="BU76" s="2"/>
      <c r="BV76" s="2"/>
      <c r="BW76" s="2"/>
      <c r="BX76" s="2"/>
      <c r="BY76" s="2"/>
      <c r="BZ76" s="1">
        <v>862689.62836967129</v>
      </c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1">
        <v>341494.96526802785</v>
      </c>
      <c r="CU76" s="2"/>
      <c r="CV76" s="2"/>
      <c r="CW76" s="2"/>
      <c r="CX76" s="1">
        <v>1088399.9051917121</v>
      </c>
      <c r="CY76" s="2"/>
      <c r="CZ76" s="2"/>
      <c r="DA76" s="2"/>
      <c r="DB76" s="2"/>
      <c r="DC76" s="2"/>
      <c r="DD76" s="2"/>
      <c r="DE76" s="1">
        <v>609335.69066691911</v>
      </c>
      <c r="DF76" s="2"/>
      <c r="DG76" s="2"/>
      <c r="DH76" s="2"/>
      <c r="DI76" s="2"/>
      <c r="DJ76" s="2"/>
      <c r="DK76" s="2"/>
      <c r="DL76" s="1">
        <v>717348.75872853061</v>
      </c>
      <c r="DM76" s="2"/>
      <c r="DN76" s="2"/>
      <c r="DO76" s="2"/>
      <c r="DP76" s="2"/>
      <c r="DQ76" s="2"/>
      <c r="DR76" s="2"/>
      <c r="DS76" s="1">
        <v>322164.72016573633</v>
      </c>
      <c r="DT76" s="2"/>
      <c r="DU76" s="2"/>
      <c r="DV76" s="2"/>
      <c r="DW76" s="2"/>
      <c r="DX76" s="2"/>
      <c r="DY76" s="2"/>
      <c r="DZ76" s="2"/>
      <c r="EA76" s="2"/>
      <c r="EB76" s="1">
        <v>37737.953996923519</v>
      </c>
      <c r="EC76" s="2"/>
      <c r="ED76" s="2"/>
      <c r="EE76" s="1">
        <v>90624.863694990767</v>
      </c>
      <c r="EF76" s="2"/>
      <c r="EG76" s="1">
        <v>324891.78407133644</v>
      </c>
      <c r="EH76" s="2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4"/>
      <c r="HX76" s="2">
        <v>1271255.0620720461</v>
      </c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1">
        <v>1978374.905903819</v>
      </c>
      <c r="LP76" s="1"/>
      <c r="LQ76" s="1"/>
      <c r="LR76" s="1"/>
      <c r="LS76" s="1"/>
      <c r="LT76" s="1"/>
      <c r="LU76" s="1">
        <v>1456030.8457601191</v>
      </c>
      <c r="LV76" s="1"/>
      <c r="LW76" s="1"/>
      <c r="LX76" s="1"/>
      <c r="LY76" s="1"/>
      <c r="LZ76" s="1"/>
      <c r="MA76" s="1"/>
      <c r="MB76" s="1"/>
      <c r="MC76" s="1"/>
      <c r="MD76" s="1"/>
      <c r="ME76" s="1"/>
    </row>
    <row r="77" spans="1:343">
      <c r="A77" s="1">
        <v>1440</v>
      </c>
      <c r="B77" s="1">
        <v>8804293.1426670924</v>
      </c>
      <c r="C77" s="1">
        <v>2487761.4614990149</v>
      </c>
      <c r="D77" s="1"/>
      <c r="E77" s="1"/>
      <c r="F77" s="1"/>
      <c r="G77" s="1"/>
      <c r="H77" s="1"/>
      <c r="I77" s="1"/>
      <c r="J77" s="1"/>
      <c r="K77" s="1">
        <v>1009005.6967673837</v>
      </c>
      <c r="L77" s="1"/>
      <c r="M77" s="1"/>
      <c r="N77" s="1"/>
      <c r="O77" s="1"/>
      <c r="P77" s="1"/>
      <c r="Q77" s="1"/>
      <c r="R77" s="1"/>
      <c r="S77" s="1"/>
      <c r="T77" s="1"/>
      <c r="U77" s="1">
        <v>1052960.4167101521</v>
      </c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>
        <v>2721895.4834080394</v>
      </c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>
        <v>916037.66638248821</v>
      </c>
      <c r="AU77" s="1"/>
      <c r="AV77" s="1"/>
      <c r="AW77" s="1"/>
      <c r="AX77" s="1"/>
      <c r="AY77" s="1"/>
      <c r="AZ77" s="1"/>
      <c r="BA77" s="1"/>
      <c r="BB77" s="1"/>
      <c r="BC77" s="1">
        <v>616632.41790001432</v>
      </c>
      <c r="BD77" s="1"/>
      <c r="BE77" s="1"/>
      <c r="BF77" s="1"/>
      <c r="BG77" s="1"/>
      <c r="BH77" s="1"/>
      <c r="BI77" s="4">
        <v>5453423.1674200715</v>
      </c>
      <c r="BJ77" s="2">
        <v>546365.97890676407</v>
      </c>
      <c r="BK77" s="2"/>
      <c r="BL77" s="2"/>
      <c r="BM77" s="2"/>
      <c r="BN77" s="2"/>
      <c r="BO77" s="2"/>
      <c r="BP77" s="2"/>
      <c r="BQ77" s="1">
        <v>493025.64595181943</v>
      </c>
      <c r="BR77" s="2"/>
      <c r="BS77" s="2"/>
      <c r="BT77" s="2"/>
      <c r="BU77" s="2"/>
      <c r="BV77" s="2"/>
      <c r="BW77" s="2"/>
      <c r="BX77" s="2"/>
      <c r="BY77" s="2"/>
      <c r="BZ77" s="1">
        <v>868728.45576825889</v>
      </c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1">
        <v>342656.04814993916</v>
      </c>
      <c r="CU77" s="2"/>
      <c r="CV77" s="2"/>
      <c r="CW77" s="2"/>
      <c r="CX77" s="1">
        <v>1092100.4648693639</v>
      </c>
      <c r="CY77" s="2"/>
      <c r="CZ77" s="2"/>
      <c r="DA77" s="2"/>
      <c r="DB77" s="2"/>
      <c r="DC77" s="2"/>
      <c r="DD77" s="2"/>
      <c r="DE77" s="1">
        <v>611407.43201518664</v>
      </c>
      <c r="DF77" s="2"/>
      <c r="DG77" s="2"/>
      <c r="DH77" s="2"/>
      <c r="DI77" s="2"/>
      <c r="DJ77" s="2"/>
      <c r="DK77" s="2"/>
      <c r="DL77" s="1">
        <v>719787.74450820766</v>
      </c>
      <c r="DM77" s="2"/>
      <c r="DN77" s="2"/>
      <c r="DO77" s="2"/>
      <c r="DP77" s="2"/>
      <c r="DQ77" s="2"/>
      <c r="DR77" s="2"/>
      <c r="DS77" s="1">
        <v>324419.87320689647</v>
      </c>
      <c r="DT77" s="2"/>
      <c r="DU77" s="2"/>
      <c r="DV77" s="2"/>
      <c r="DW77" s="2"/>
      <c r="DX77" s="2"/>
      <c r="DY77" s="2"/>
      <c r="DZ77" s="2"/>
      <c r="EA77" s="2"/>
      <c r="EB77" s="1">
        <v>38002.11967490198</v>
      </c>
      <c r="EC77" s="2"/>
      <c r="ED77" s="2"/>
      <c r="EE77" s="1">
        <v>90932.98823155374</v>
      </c>
      <c r="EF77" s="2"/>
      <c r="EG77" s="1">
        <v>325996.41613717901</v>
      </c>
      <c r="EH77" s="2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4"/>
      <c r="HX77" s="2">
        <v>1276975.7098513702</v>
      </c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1">
        <v>1985101.3805838921</v>
      </c>
      <c r="LP77" s="1"/>
      <c r="LQ77" s="1"/>
      <c r="LR77" s="1"/>
      <c r="LS77" s="1"/>
      <c r="LT77" s="1"/>
      <c r="LU77" s="1">
        <v>1460981.3506357037</v>
      </c>
      <c r="LV77" s="1"/>
      <c r="LW77" s="1"/>
      <c r="LX77" s="1"/>
      <c r="LY77" s="1"/>
      <c r="LZ77" s="1"/>
      <c r="MA77" s="1"/>
      <c r="MB77" s="1"/>
      <c r="MC77" s="1"/>
      <c r="MD77" s="1"/>
      <c r="ME77" s="1"/>
    </row>
    <row r="78" spans="1:343">
      <c r="A78" s="1">
        <v>1441</v>
      </c>
      <c r="B78" s="1">
        <v>8836495.9020769857</v>
      </c>
      <c r="C78" s="1">
        <v>2496219.8504681117</v>
      </c>
      <c r="D78" s="1"/>
      <c r="E78" s="1"/>
      <c r="F78" s="1"/>
      <c r="G78" s="1"/>
      <c r="H78" s="1"/>
      <c r="I78" s="1"/>
      <c r="J78" s="1"/>
      <c r="K78" s="1">
        <v>1013546.2224028369</v>
      </c>
      <c r="L78" s="1"/>
      <c r="M78" s="1"/>
      <c r="N78" s="1"/>
      <c r="O78" s="1"/>
      <c r="P78" s="1"/>
      <c r="Q78" s="1"/>
      <c r="R78" s="1"/>
      <c r="S78" s="1"/>
      <c r="T78" s="1"/>
      <c r="U78" s="1">
        <v>1057698.7385853478</v>
      </c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>
        <v>2731149.9280516268</v>
      </c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>
        <v>919152.19444818876</v>
      </c>
      <c r="AU78" s="1"/>
      <c r="AV78" s="1"/>
      <c r="AW78" s="1"/>
      <c r="AX78" s="1"/>
      <c r="AY78" s="1"/>
      <c r="AZ78" s="1"/>
      <c r="BA78" s="1"/>
      <c r="BB78" s="1"/>
      <c r="BC78" s="1">
        <v>618728.96812087437</v>
      </c>
      <c r="BD78" s="1"/>
      <c r="BE78" s="1"/>
      <c r="BF78" s="1"/>
      <c r="BG78" s="1"/>
      <c r="BH78" s="1"/>
      <c r="BI78" s="4">
        <v>5476434.2860375084</v>
      </c>
      <c r="BJ78" s="2">
        <v>548606.07942028181</v>
      </c>
      <c r="BK78" s="2"/>
      <c r="BL78" s="2"/>
      <c r="BM78" s="2"/>
      <c r="BN78" s="2"/>
      <c r="BO78" s="2"/>
      <c r="BP78" s="2"/>
      <c r="BQ78" s="1">
        <v>494356.81519588933</v>
      </c>
      <c r="BR78" s="2"/>
      <c r="BS78" s="2"/>
      <c r="BT78" s="2"/>
      <c r="BU78" s="2"/>
      <c r="BV78" s="2"/>
      <c r="BW78" s="2"/>
      <c r="BX78" s="2"/>
      <c r="BY78" s="2"/>
      <c r="BZ78" s="1">
        <v>874809.55495863664</v>
      </c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1">
        <v>343821.07871364895</v>
      </c>
      <c r="CU78" s="2"/>
      <c r="CV78" s="2"/>
      <c r="CW78" s="2"/>
      <c r="CX78" s="1">
        <v>1095813.6064499198</v>
      </c>
      <c r="CY78" s="2"/>
      <c r="CZ78" s="2"/>
      <c r="DA78" s="2"/>
      <c r="DB78" s="2"/>
      <c r="DC78" s="2"/>
      <c r="DD78" s="2"/>
      <c r="DE78" s="1">
        <v>613486.21728403831</v>
      </c>
      <c r="DF78" s="2"/>
      <c r="DG78" s="2"/>
      <c r="DH78" s="2"/>
      <c r="DI78" s="2"/>
      <c r="DJ78" s="2"/>
      <c r="DK78" s="2"/>
      <c r="DL78" s="1">
        <v>722235.02283953561</v>
      </c>
      <c r="DM78" s="2"/>
      <c r="DN78" s="2"/>
      <c r="DO78" s="2"/>
      <c r="DP78" s="2"/>
      <c r="DQ78" s="2"/>
      <c r="DR78" s="2"/>
      <c r="DS78" s="1">
        <v>326690.81231934472</v>
      </c>
      <c r="DT78" s="2"/>
      <c r="DU78" s="2"/>
      <c r="DV78" s="2"/>
      <c r="DW78" s="2"/>
      <c r="DX78" s="2"/>
      <c r="DY78" s="2"/>
      <c r="DZ78" s="2"/>
      <c r="EA78" s="2"/>
      <c r="EB78" s="1">
        <v>38268.13451262629</v>
      </c>
      <c r="EC78" s="2"/>
      <c r="ED78" s="2"/>
      <c r="EE78" s="1">
        <v>91242.160391541023</v>
      </c>
      <c r="EF78" s="2"/>
      <c r="EG78" s="1">
        <v>327104.80395204545</v>
      </c>
      <c r="EH78" s="2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4"/>
      <c r="HX78" s="2">
        <v>1282722.1005457013</v>
      </c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1">
        <v>1991850.7252778774</v>
      </c>
      <c r="LP78" s="1"/>
      <c r="LQ78" s="1"/>
      <c r="LR78" s="1"/>
      <c r="LS78" s="1"/>
      <c r="LT78" s="1"/>
      <c r="LU78" s="1">
        <v>1465948.6872278652</v>
      </c>
      <c r="LV78" s="1"/>
      <c r="LW78" s="1"/>
      <c r="LX78" s="1"/>
      <c r="LY78" s="1"/>
      <c r="LZ78" s="1"/>
      <c r="MA78" s="1"/>
      <c r="MB78" s="1"/>
      <c r="MC78" s="1"/>
      <c r="MD78" s="1"/>
      <c r="ME78" s="1"/>
    </row>
    <row r="79" spans="1:343">
      <c r="A79" s="1">
        <v>1442</v>
      </c>
      <c r="B79" s="1">
        <v>8868818.3576011341</v>
      </c>
      <c r="C79" s="1">
        <v>2504706.9979597037</v>
      </c>
      <c r="D79" s="1"/>
      <c r="E79" s="1"/>
      <c r="F79" s="1"/>
      <c r="G79" s="1"/>
      <c r="H79" s="1"/>
      <c r="I79" s="1"/>
      <c r="J79" s="1"/>
      <c r="K79" s="1">
        <v>1018107.1804036496</v>
      </c>
      <c r="L79" s="1"/>
      <c r="M79" s="1"/>
      <c r="N79" s="1"/>
      <c r="O79" s="1"/>
      <c r="P79" s="1"/>
      <c r="Q79" s="1"/>
      <c r="R79" s="1"/>
      <c r="S79" s="1"/>
      <c r="T79" s="1"/>
      <c r="U79" s="1">
        <v>1062458.3829089818</v>
      </c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>
        <v>2740435.8378070025</v>
      </c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>
        <v>922277.31190931262</v>
      </c>
      <c r="AU79" s="1"/>
      <c r="AV79" s="1"/>
      <c r="AW79" s="1"/>
      <c r="AX79" s="1"/>
      <c r="AY79" s="1"/>
      <c r="AZ79" s="1"/>
      <c r="BA79" s="1"/>
      <c r="BB79" s="1"/>
      <c r="BC79" s="1">
        <v>620832.64661248541</v>
      </c>
      <c r="BD79" s="1"/>
      <c r="BE79" s="1"/>
      <c r="BF79" s="1"/>
      <c r="BG79" s="1"/>
      <c r="BH79" s="1"/>
      <c r="BI79" s="4">
        <v>5499555.303701438</v>
      </c>
      <c r="BJ79" s="2">
        <v>550855.36434590491</v>
      </c>
      <c r="BK79" s="2"/>
      <c r="BL79" s="2"/>
      <c r="BM79" s="2"/>
      <c r="BN79" s="2"/>
      <c r="BO79" s="2"/>
      <c r="BP79" s="2"/>
      <c r="BQ79" s="1">
        <v>495691.5785969182</v>
      </c>
      <c r="BR79" s="2"/>
      <c r="BS79" s="2"/>
      <c r="BT79" s="2"/>
      <c r="BU79" s="2"/>
      <c r="BV79" s="2"/>
      <c r="BW79" s="2"/>
      <c r="BX79" s="2"/>
      <c r="BY79" s="2"/>
      <c r="BZ79" s="1">
        <v>880933.22184334695</v>
      </c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1">
        <v>344990.07038127538</v>
      </c>
      <c r="CU79" s="2"/>
      <c r="CV79" s="2"/>
      <c r="CW79" s="2"/>
      <c r="CX79" s="1">
        <v>1099539.3727118496</v>
      </c>
      <c r="CY79" s="2"/>
      <c r="CZ79" s="2"/>
      <c r="DA79" s="2"/>
      <c r="DB79" s="2"/>
      <c r="DC79" s="2"/>
      <c r="DD79" s="2"/>
      <c r="DE79" s="1">
        <v>615572.0704228041</v>
      </c>
      <c r="DF79" s="2"/>
      <c r="DG79" s="2"/>
      <c r="DH79" s="2"/>
      <c r="DI79" s="2"/>
      <c r="DJ79" s="2"/>
      <c r="DK79" s="2"/>
      <c r="DL79" s="1">
        <v>724690.62191719003</v>
      </c>
      <c r="DM79" s="2"/>
      <c r="DN79" s="2"/>
      <c r="DO79" s="2"/>
      <c r="DP79" s="2"/>
      <c r="DQ79" s="2"/>
      <c r="DR79" s="2"/>
      <c r="DS79" s="1">
        <v>328977.64800558012</v>
      </c>
      <c r="DT79" s="2"/>
      <c r="DU79" s="2"/>
      <c r="DV79" s="2"/>
      <c r="DW79" s="2"/>
      <c r="DX79" s="2"/>
      <c r="DY79" s="2"/>
      <c r="DZ79" s="2"/>
      <c r="EA79" s="2"/>
      <c r="EB79" s="1">
        <v>38536.011454214669</v>
      </c>
      <c r="EC79" s="2"/>
      <c r="ED79" s="2"/>
      <c r="EE79" s="1">
        <v>91552.383736872274</v>
      </c>
      <c r="EF79" s="2"/>
      <c r="EG79" s="1">
        <v>328216.9602854824</v>
      </c>
      <c r="EH79" s="2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4"/>
      <c r="HX79" s="2">
        <v>1288494.349998157</v>
      </c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1">
        <v>1998623.0177438224</v>
      </c>
      <c r="LP79" s="1"/>
      <c r="LQ79" s="1"/>
      <c r="LR79" s="1"/>
      <c r="LS79" s="1"/>
      <c r="LT79" s="1"/>
      <c r="LU79" s="1">
        <v>1470932.9127644401</v>
      </c>
      <c r="LV79" s="1"/>
      <c r="LW79" s="1"/>
      <c r="LX79" s="1"/>
      <c r="LY79" s="1"/>
      <c r="LZ79" s="1"/>
      <c r="MA79" s="1"/>
      <c r="MB79" s="1"/>
      <c r="MC79" s="1"/>
      <c r="MD79" s="1"/>
      <c r="ME79" s="1"/>
    </row>
    <row r="80" spans="1:343">
      <c r="A80" s="1">
        <v>1443</v>
      </c>
      <c r="B80" s="1">
        <v>8901260.9621366244</v>
      </c>
      <c r="C80" s="1">
        <v>2513223.0017527668</v>
      </c>
      <c r="D80" s="1"/>
      <c r="E80" s="1"/>
      <c r="F80" s="1"/>
      <c r="G80" s="1"/>
      <c r="H80" s="1"/>
      <c r="I80" s="1"/>
      <c r="J80" s="1"/>
      <c r="K80" s="1">
        <v>1022688.662715466</v>
      </c>
      <c r="L80" s="1"/>
      <c r="M80" s="1"/>
      <c r="N80" s="1"/>
      <c r="O80" s="1"/>
      <c r="P80" s="1"/>
      <c r="Q80" s="1"/>
      <c r="R80" s="1"/>
      <c r="S80" s="1"/>
      <c r="T80" s="1"/>
      <c r="U80" s="1">
        <v>1067239.4456320722</v>
      </c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>
        <v>2749753.3196555465</v>
      </c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>
        <v>925413.05476980435</v>
      </c>
      <c r="AU80" s="1"/>
      <c r="AV80" s="1"/>
      <c r="AW80" s="1"/>
      <c r="AX80" s="1"/>
      <c r="AY80" s="1"/>
      <c r="AZ80" s="1"/>
      <c r="BA80" s="1"/>
      <c r="BB80" s="1"/>
      <c r="BC80" s="1">
        <v>622943.47761096794</v>
      </c>
      <c r="BD80" s="1"/>
      <c r="BE80" s="1"/>
      <c r="BF80" s="1"/>
      <c r="BG80" s="1"/>
      <c r="BH80" s="1"/>
      <c r="BI80" s="4">
        <v>5522786.8151567392</v>
      </c>
      <c r="BJ80" s="2">
        <v>553113.87133972312</v>
      </c>
      <c r="BK80" s="2"/>
      <c r="BL80" s="2"/>
      <c r="BM80" s="2"/>
      <c r="BN80" s="2"/>
      <c r="BO80" s="2"/>
      <c r="BP80" s="2"/>
      <c r="BQ80" s="1">
        <v>497029.94585912983</v>
      </c>
      <c r="BR80" s="2"/>
      <c r="BS80" s="2"/>
      <c r="BT80" s="2"/>
      <c r="BU80" s="2"/>
      <c r="BV80" s="2"/>
      <c r="BW80" s="2"/>
      <c r="BX80" s="2"/>
      <c r="BY80" s="2"/>
      <c r="BZ80" s="1">
        <v>887099.75439625024</v>
      </c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1">
        <v>346163.03662057174</v>
      </c>
      <c r="CU80" s="2"/>
      <c r="CV80" s="2"/>
      <c r="CW80" s="2"/>
      <c r="CX80" s="1">
        <v>1103277.8065790699</v>
      </c>
      <c r="CY80" s="2"/>
      <c r="CZ80" s="2"/>
      <c r="DA80" s="2"/>
      <c r="DB80" s="2"/>
      <c r="DC80" s="2"/>
      <c r="DD80" s="2"/>
      <c r="DE80" s="1">
        <v>617665.01546224172</v>
      </c>
      <c r="DF80" s="2"/>
      <c r="DG80" s="2"/>
      <c r="DH80" s="2"/>
      <c r="DI80" s="2"/>
      <c r="DJ80" s="2"/>
      <c r="DK80" s="2"/>
      <c r="DL80" s="1">
        <v>727154.57003170857</v>
      </c>
      <c r="DM80" s="2"/>
      <c r="DN80" s="2"/>
      <c r="DO80" s="2"/>
      <c r="DP80" s="2"/>
      <c r="DQ80" s="2"/>
      <c r="DR80" s="2"/>
      <c r="DS80" s="1">
        <v>331280.49154161912</v>
      </c>
      <c r="DT80" s="2"/>
      <c r="DU80" s="2"/>
      <c r="DV80" s="2"/>
      <c r="DW80" s="2"/>
      <c r="DX80" s="2"/>
      <c r="DY80" s="2"/>
      <c r="DZ80" s="2"/>
      <c r="EA80" s="2"/>
      <c r="EB80" s="1">
        <v>38805.763534394166</v>
      </c>
      <c r="EC80" s="2"/>
      <c r="ED80" s="2"/>
      <c r="EE80" s="1">
        <v>91863.661841577647</v>
      </c>
      <c r="EF80" s="2"/>
      <c r="EG80" s="1">
        <v>329332.89795045304</v>
      </c>
      <c r="EH80" s="2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4"/>
      <c r="HX80" s="2">
        <v>1294292.5745731487</v>
      </c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1">
        <v>2005418.3360041515</v>
      </c>
      <c r="LP80" s="1"/>
      <c r="LQ80" s="1"/>
      <c r="LR80" s="1"/>
      <c r="LS80" s="1"/>
      <c r="LT80" s="1"/>
      <c r="LU80" s="1">
        <v>1475934.0846678393</v>
      </c>
      <c r="LV80" s="1"/>
      <c r="LW80" s="1"/>
      <c r="LX80" s="1"/>
      <c r="LY80" s="1"/>
      <c r="LZ80" s="1"/>
      <c r="MA80" s="1"/>
      <c r="MB80" s="1"/>
      <c r="MC80" s="1"/>
      <c r="MD80" s="1"/>
      <c r="ME80" s="1"/>
    </row>
    <row r="81" spans="1:343">
      <c r="A81" s="1">
        <v>1444</v>
      </c>
      <c r="B81" s="1">
        <v>8933824.1703270711</v>
      </c>
      <c r="C81" s="1">
        <v>2521767.9599587265</v>
      </c>
      <c r="D81" s="1"/>
      <c r="E81" s="1"/>
      <c r="F81" s="1"/>
      <c r="G81" s="1"/>
      <c r="H81" s="1"/>
      <c r="I81" s="1"/>
      <c r="J81" s="1"/>
      <c r="K81" s="1">
        <v>1027290.7616976856</v>
      </c>
      <c r="L81" s="1"/>
      <c r="M81" s="1"/>
      <c r="N81" s="1"/>
      <c r="O81" s="1"/>
      <c r="P81" s="1"/>
      <c r="Q81" s="1"/>
      <c r="R81" s="1"/>
      <c r="S81" s="1"/>
      <c r="T81" s="1"/>
      <c r="U81" s="1">
        <v>1072042.0231374165</v>
      </c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>
        <v>2759102.4809423755</v>
      </c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>
        <v>928559.45915602171</v>
      </c>
      <c r="AU81" s="1"/>
      <c r="AV81" s="1"/>
      <c r="AW81" s="1"/>
      <c r="AX81" s="1"/>
      <c r="AY81" s="1"/>
      <c r="AZ81" s="1"/>
      <c r="BA81" s="1"/>
      <c r="BB81" s="1"/>
      <c r="BC81" s="1">
        <v>625061.48543484532</v>
      </c>
      <c r="BD81" s="1"/>
      <c r="BE81" s="1"/>
      <c r="BF81" s="1"/>
      <c r="BG81" s="1"/>
      <c r="BH81" s="1"/>
      <c r="BI81" s="4">
        <v>5546129.4187102076</v>
      </c>
      <c r="BJ81" s="2">
        <v>555381.63821221597</v>
      </c>
      <c r="BK81" s="2"/>
      <c r="BL81" s="2"/>
      <c r="BM81" s="2"/>
      <c r="BN81" s="2"/>
      <c r="BO81" s="2"/>
      <c r="BP81" s="2"/>
      <c r="BQ81" s="1">
        <v>498371.92671294947</v>
      </c>
      <c r="BR81" s="2"/>
      <c r="BS81" s="2"/>
      <c r="BT81" s="2"/>
      <c r="BU81" s="2"/>
      <c r="BV81" s="2"/>
      <c r="BW81" s="2"/>
      <c r="BX81" s="2"/>
      <c r="BY81" s="2"/>
      <c r="BZ81" s="1">
        <v>893309.45267702395</v>
      </c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1">
        <v>347339.99094508169</v>
      </c>
      <c r="CU81" s="2"/>
      <c r="CV81" s="2"/>
      <c r="CW81" s="2"/>
      <c r="CX81" s="1">
        <v>1107028.9511214388</v>
      </c>
      <c r="CY81" s="2"/>
      <c r="CZ81" s="2"/>
      <c r="DA81" s="2"/>
      <c r="DB81" s="2"/>
      <c r="DC81" s="2"/>
      <c r="DD81" s="2"/>
      <c r="DE81" s="1">
        <v>619765.07651481335</v>
      </c>
      <c r="DF81" s="2"/>
      <c r="DG81" s="2"/>
      <c r="DH81" s="2"/>
      <c r="DI81" s="2"/>
      <c r="DJ81" s="2"/>
      <c r="DK81" s="2"/>
      <c r="DL81" s="1">
        <v>729626.89556981646</v>
      </c>
      <c r="DM81" s="2"/>
      <c r="DN81" s="2"/>
      <c r="DO81" s="2"/>
      <c r="DP81" s="2"/>
      <c r="DQ81" s="2"/>
      <c r="DR81" s="2"/>
      <c r="DS81" s="1">
        <v>333599.45498241042</v>
      </c>
      <c r="DT81" s="2"/>
      <c r="DU81" s="2"/>
      <c r="DV81" s="2"/>
      <c r="DW81" s="2"/>
      <c r="DX81" s="2"/>
      <c r="DY81" s="2"/>
      <c r="DZ81" s="2"/>
      <c r="EA81" s="2"/>
      <c r="EB81" s="1">
        <v>39077.403879134923</v>
      </c>
      <c r="EC81" s="2"/>
      <c r="ED81" s="2"/>
      <c r="EE81" s="1">
        <v>92175.998291839016</v>
      </c>
      <c r="EF81" s="2"/>
      <c r="EG81" s="1">
        <v>330452.6298034846</v>
      </c>
      <c r="EH81" s="2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4"/>
      <c r="HX81" s="2">
        <v>1300116.8911587279</v>
      </c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1">
        <v>2012236.7583465658</v>
      </c>
      <c r="LP81" s="1"/>
      <c r="LQ81" s="1"/>
      <c r="LR81" s="1"/>
      <c r="LS81" s="1"/>
      <c r="LT81" s="1"/>
      <c r="LU81" s="1">
        <v>1480952.2605557102</v>
      </c>
      <c r="LV81" s="1"/>
      <c r="LW81" s="1"/>
      <c r="LX81" s="1"/>
      <c r="LY81" s="1"/>
      <c r="LZ81" s="1"/>
      <c r="MA81" s="1"/>
      <c r="MB81" s="1"/>
      <c r="MC81" s="1"/>
      <c r="MD81" s="1"/>
      <c r="ME81" s="1"/>
    </row>
    <row r="82" spans="1:343">
      <c r="A82" s="1">
        <v>1445</v>
      </c>
      <c r="B82" s="1">
        <v>8966508.4385695029</v>
      </c>
      <c r="C82" s="1">
        <v>2530341.9710225863</v>
      </c>
      <c r="D82" s="1"/>
      <c r="E82" s="1"/>
      <c r="F82" s="1"/>
      <c r="G82" s="1"/>
      <c r="H82" s="1"/>
      <c r="I82" s="1"/>
      <c r="J82" s="1"/>
      <c r="K82" s="1">
        <v>1031913.5701253251</v>
      </c>
      <c r="L82" s="1"/>
      <c r="M82" s="1"/>
      <c r="N82" s="1"/>
      <c r="O82" s="1"/>
      <c r="P82" s="1"/>
      <c r="Q82" s="1"/>
      <c r="R82" s="1"/>
      <c r="S82" s="1"/>
      <c r="T82" s="1"/>
      <c r="U82" s="1">
        <v>1076866.2122415348</v>
      </c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>
        <v>2768483.4293775796</v>
      </c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>
        <v>931716.56131715223</v>
      </c>
      <c r="AU82" s="1"/>
      <c r="AV82" s="1"/>
      <c r="AW82" s="1"/>
      <c r="AX82" s="1"/>
      <c r="AY82" s="1"/>
      <c r="AZ82" s="1"/>
      <c r="BA82" s="1"/>
      <c r="BB82" s="1"/>
      <c r="BC82" s="1">
        <v>627186.69448532385</v>
      </c>
      <c r="BD82" s="1"/>
      <c r="BE82" s="1"/>
      <c r="BF82" s="1"/>
      <c r="BG82" s="1"/>
      <c r="BH82" s="1"/>
      <c r="BI82" s="4">
        <v>5569583.716253412</v>
      </c>
      <c r="BJ82" s="2">
        <v>557658.70292888605</v>
      </c>
      <c r="BK82" s="2"/>
      <c r="BL82" s="2"/>
      <c r="BM82" s="2"/>
      <c r="BN82" s="2"/>
      <c r="BO82" s="2"/>
      <c r="BP82" s="2"/>
      <c r="BQ82" s="1">
        <v>499717.5309150744</v>
      </c>
      <c r="BR82" s="2"/>
      <c r="BS82" s="2"/>
      <c r="BT82" s="2"/>
      <c r="BU82" s="2"/>
      <c r="BV82" s="2"/>
      <c r="BW82" s="2"/>
      <c r="BX82" s="2"/>
      <c r="BY82" s="2"/>
      <c r="BZ82" s="1">
        <v>899562.61884576303</v>
      </c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1">
        <v>348520.94691429497</v>
      </c>
      <c r="CU82" s="2"/>
      <c r="CV82" s="2"/>
      <c r="CW82" s="2"/>
      <c r="CX82" s="1">
        <v>1110792.8495552517</v>
      </c>
      <c r="CY82" s="2"/>
      <c r="CZ82" s="2"/>
      <c r="DA82" s="2"/>
      <c r="DB82" s="2"/>
      <c r="DC82" s="2"/>
      <c r="DD82" s="2"/>
      <c r="DE82" s="1">
        <v>621872.27777496376</v>
      </c>
      <c r="DF82" s="2"/>
      <c r="DG82" s="2"/>
      <c r="DH82" s="2"/>
      <c r="DI82" s="2"/>
      <c r="DJ82" s="2"/>
      <c r="DK82" s="2"/>
      <c r="DL82" s="1">
        <v>732107.62701475387</v>
      </c>
      <c r="DM82" s="2"/>
      <c r="DN82" s="2"/>
      <c r="DO82" s="2"/>
      <c r="DP82" s="2"/>
      <c r="DQ82" s="2"/>
      <c r="DR82" s="2"/>
      <c r="DS82" s="1">
        <v>335934.65116728726</v>
      </c>
      <c r="DT82" s="2"/>
      <c r="DU82" s="2"/>
      <c r="DV82" s="2"/>
      <c r="DW82" s="2"/>
      <c r="DX82" s="2"/>
      <c r="DY82" s="2"/>
      <c r="DZ82" s="2"/>
      <c r="EA82" s="2"/>
      <c r="EB82" s="1">
        <v>39350.945706288861</v>
      </c>
      <c r="EC82" s="2"/>
      <c r="ED82" s="2"/>
      <c r="EE82" s="1">
        <v>92489.396686031279</v>
      </c>
      <c r="EF82" s="2"/>
      <c r="EG82" s="1">
        <v>331576.16874481644</v>
      </c>
      <c r="EH82" s="2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4"/>
      <c r="HX82" s="2">
        <v>1305967.417168942</v>
      </c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1">
        <v>2019078.3633249442</v>
      </c>
      <c r="LP82" s="1"/>
      <c r="LQ82" s="1"/>
      <c r="LR82" s="1"/>
      <c r="LS82" s="1"/>
      <c r="LT82" s="1"/>
      <c r="LU82" s="1">
        <v>1485987.4982415996</v>
      </c>
      <c r="LV82" s="1"/>
      <c r="LW82" s="1"/>
      <c r="LX82" s="1"/>
      <c r="LY82" s="1"/>
      <c r="LZ82" s="1"/>
      <c r="MA82" s="1"/>
      <c r="MB82" s="1"/>
      <c r="MC82" s="1"/>
      <c r="MD82" s="1"/>
      <c r="ME82" s="1"/>
    </row>
    <row r="83" spans="1:343">
      <c r="A83" s="1">
        <v>1446</v>
      </c>
      <c r="B83" s="1">
        <v>8999314.2250212412</v>
      </c>
      <c r="C83" s="1">
        <v>2538945.1337240632</v>
      </c>
      <c r="D83" s="1"/>
      <c r="E83" s="1"/>
      <c r="F83" s="1"/>
      <c r="G83" s="1"/>
      <c r="H83" s="1"/>
      <c r="I83" s="1"/>
      <c r="J83" s="1"/>
      <c r="K83" s="1">
        <v>1036557.181190889</v>
      </c>
      <c r="L83" s="1"/>
      <c r="M83" s="1"/>
      <c r="N83" s="1"/>
      <c r="O83" s="1"/>
      <c r="P83" s="1"/>
      <c r="Q83" s="1"/>
      <c r="R83" s="1"/>
      <c r="S83" s="1"/>
      <c r="T83" s="1"/>
      <c r="U83" s="1">
        <v>1081712.1101966216</v>
      </c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>
        <v>2777896.2730374634</v>
      </c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>
        <v>934884.39762563061</v>
      </c>
      <c r="AU83" s="1"/>
      <c r="AV83" s="1"/>
      <c r="AW83" s="1"/>
      <c r="AX83" s="1"/>
      <c r="AY83" s="1"/>
      <c r="AZ83" s="1"/>
      <c r="BA83" s="1"/>
      <c r="BB83" s="1"/>
      <c r="BC83" s="1">
        <v>629319.12924657401</v>
      </c>
      <c r="BD83" s="1"/>
      <c r="BE83" s="1"/>
      <c r="BF83" s="1"/>
      <c r="BG83" s="1"/>
      <c r="BH83" s="1"/>
      <c r="BI83" s="4">
        <v>5593150.313285673</v>
      </c>
      <c r="BJ83" s="2">
        <v>559945.10361089453</v>
      </c>
      <c r="BK83" s="2"/>
      <c r="BL83" s="2"/>
      <c r="BM83" s="2"/>
      <c r="BN83" s="2"/>
      <c r="BO83" s="2"/>
      <c r="BP83" s="2"/>
      <c r="BQ83" s="1">
        <v>501066.76824854506</v>
      </c>
      <c r="BR83" s="2"/>
      <c r="BS83" s="2"/>
      <c r="BT83" s="2"/>
      <c r="BU83" s="2"/>
      <c r="BV83" s="2"/>
      <c r="BW83" s="2"/>
      <c r="BX83" s="2"/>
      <c r="BY83" s="2"/>
      <c r="BZ83" s="1">
        <v>905859.55717768334</v>
      </c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1">
        <v>349705.91813380359</v>
      </c>
      <c r="CU83" s="2"/>
      <c r="CV83" s="2"/>
      <c r="CW83" s="2"/>
      <c r="CX83" s="1">
        <v>1114569.5452437396</v>
      </c>
      <c r="CY83" s="2"/>
      <c r="CZ83" s="2"/>
      <c r="DA83" s="2"/>
      <c r="DB83" s="2"/>
      <c r="DC83" s="2"/>
      <c r="DD83" s="2"/>
      <c r="DE83" s="1">
        <v>623986.64351939864</v>
      </c>
      <c r="DF83" s="2"/>
      <c r="DG83" s="2"/>
      <c r="DH83" s="2"/>
      <c r="DI83" s="2"/>
      <c r="DJ83" s="2"/>
      <c r="DK83" s="2"/>
      <c r="DL83" s="1">
        <v>734596.79294660408</v>
      </c>
      <c r="DM83" s="2"/>
      <c r="DN83" s="2"/>
      <c r="DO83" s="2"/>
      <c r="DP83" s="2"/>
      <c r="DQ83" s="2"/>
      <c r="DR83" s="2"/>
      <c r="DS83" s="1">
        <v>338286.19372545823</v>
      </c>
      <c r="DT83" s="2"/>
      <c r="DU83" s="2"/>
      <c r="DV83" s="2"/>
      <c r="DW83" s="2"/>
      <c r="DX83" s="2"/>
      <c r="DY83" s="2"/>
      <c r="DZ83" s="2"/>
      <c r="EA83" s="2"/>
      <c r="EB83" s="1">
        <v>39626.402326232877</v>
      </c>
      <c r="EC83" s="2"/>
      <c r="ED83" s="2"/>
      <c r="EE83" s="1">
        <v>92803.860634763798</v>
      </c>
      <c r="EF83" s="2"/>
      <c r="EG83" s="1">
        <v>332703.52771854884</v>
      </c>
      <c r="EH83" s="2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4"/>
      <c r="HX83" s="2">
        <v>1311844.2705462023</v>
      </c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1">
        <v>2025943.2297602491</v>
      </c>
      <c r="LP83" s="1"/>
      <c r="LQ83" s="1"/>
      <c r="LR83" s="1"/>
      <c r="LS83" s="1"/>
      <c r="LT83" s="1"/>
      <c r="LU83" s="1">
        <v>1491039.8557356212</v>
      </c>
      <c r="LV83" s="1"/>
      <c r="LW83" s="1"/>
      <c r="LX83" s="1"/>
      <c r="LY83" s="1"/>
      <c r="LZ83" s="1"/>
      <c r="MA83" s="1"/>
      <c r="MB83" s="1"/>
      <c r="MC83" s="1"/>
      <c r="MD83" s="1"/>
      <c r="ME83" s="1"/>
    </row>
    <row r="84" spans="1:343">
      <c r="A84" s="1">
        <v>1447</v>
      </c>
      <c r="B84" s="1">
        <v>9032241.9896068405</v>
      </c>
      <c r="C84" s="1">
        <v>2547577.5471787252</v>
      </c>
      <c r="D84" s="1"/>
      <c r="E84" s="1"/>
      <c r="F84" s="1"/>
      <c r="G84" s="1"/>
      <c r="H84" s="1"/>
      <c r="I84" s="1"/>
      <c r="J84" s="1"/>
      <c r="K84" s="1">
        <v>1041221.6885062479</v>
      </c>
      <c r="L84" s="1"/>
      <c r="M84" s="1"/>
      <c r="N84" s="1"/>
      <c r="O84" s="1"/>
      <c r="P84" s="1"/>
      <c r="Q84" s="1"/>
      <c r="R84" s="1"/>
      <c r="S84" s="1"/>
      <c r="T84" s="1"/>
      <c r="U84" s="1">
        <v>1086579.8146925063</v>
      </c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>
        <v>2787341.120365791</v>
      </c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>
        <v>938063.00457755779</v>
      </c>
      <c r="AU84" s="1"/>
      <c r="AV84" s="1"/>
      <c r="AW84" s="1"/>
      <c r="AX84" s="1"/>
      <c r="AY84" s="1"/>
      <c r="AZ84" s="1"/>
      <c r="BA84" s="1"/>
      <c r="BB84" s="1"/>
      <c r="BC84" s="1">
        <v>631458.81428601244</v>
      </c>
      <c r="BD84" s="1"/>
      <c r="BE84" s="1"/>
      <c r="BF84" s="1"/>
      <c r="BG84" s="1"/>
      <c r="BH84" s="1"/>
      <c r="BI84" s="4">
        <v>5616829.8189372225</v>
      </c>
      <c r="BJ84" s="2">
        <v>562240.87853569922</v>
      </c>
      <c r="BK84" s="2"/>
      <c r="BL84" s="2"/>
      <c r="BM84" s="2"/>
      <c r="BN84" s="2"/>
      <c r="BO84" s="2"/>
      <c r="BP84" s="2"/>
      <c r="BQ84" s="1">
        <v>502419.64852281607</v>
      </c>
      <c r="BR84" s="2"/>
      <c r="BS84" s="2"/>
      <c r="BT84" s="2"/>
      <c r="BU84" s="2"/>
      <c r="BV84" s="2"/>
      <c r="BW84" s="2"/>
      <c r="BX84" s="2"/>
      <c r="BY84" s="2"/>
      <c r="BZ84" s="1">
        <v>912200.57407792704</v>
      </c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1">
        <v>350894.91825545853</v>
      </c>
      <c r="CU84" s="2"/>
      <c r="CV84" s="2"/>
      <c r="CW84" s="2"/>
      <c r="CX84" s="1">
        <v>1118359.0816975683</v>
      </c>
      <c r="CY84" s="2"/>
      <c r="CZ84" s="2"/>
      <c r="DA84" s="2"/>
      <c r="DB84" s="2"/>
      <c r="DC84" s="2"/>
      <c r="DD84" s="2"/>
      <c r="DE84" s="1">
        <v>626108.19810736459</v>
      </c>
      <c r="DF84" s="2"/>
      <c r="DG84" s="2"/>
      <c r="DH84" s="2"/>
      <c r="DI84" s="2"/>
      <c r="DJ84" s="2"/>
      <c r="DK84" s="2"/>
      <c r="DL84" s="1">
        <v>737094.42204262258</v>
      </c>
      <c r="DM84" s="2"/>
      <c r="DN84" s="2"/>
      <c r="DO84" s="2"/>
      <c r="DP84" s="2"/>
      <c r="DQ84" s="2"/>
      <c r="DR84" s="2"/>
      <c r="DS84" s="1">
        <v>340654.1970815364</v>
      </c>
      <c r="DT84" s="2"/>
      <c r="DU84" s="2"/>
      <c r="DV84" s="2"/>
      <c r="DW84" s="2"/>
      <c r="DX84" s="2"/>
      <c r="DY84" s="2"/>
      <c r="DZ84" s="2"/>
      <c r="EA84" s="2"/>
      <c r="EB84" s="1">
        <v>39903.787142516507</v>
      </c>
      <c r="EC84" s="2"/>
      <c r="ED84" s="2"/>
      <c r="EE84" s="1">
        <v>93119.393760922001</v>
      </c>
      <c r="EF84" s="2"/>
      <c r="EG84" s="1">
        <v>333834.71971279191</v>
      </c>
      <c r="EH84" s="2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4"/>
      <c r="HX84" s="2">
        <v>1317747.5697636602</v>
      </c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1">
        <v>2032831.436741434</v>
      </c>
      <c r="LP84" s="1"/>
      <c r="LQ84" s="1"/>
      <c r="LR84" s="1"/>
      <c r="LS84" s="1"/>
      <c r="LT84" s="1"/>
      <c r="LU84" s="1">
        <v>1496109.3912451223</v>
      </c>
      <c r="LV84" s="1"/>
      <c r="LW84" s="1"/>
      <c r="LX84" s="1"/>
      <c r="LY84" s="1"/>
      <c r="LZ84" s="1"/>
      <c r="MA84" s="1"/>
      <c r="MB84" s="1"/>
      <c r="MC84" s="1"/>
      <c r="MD84" s="1"/>
      <c r="ME84" s="1"/>
    </row>
    <row r="85" spans="1:343">
      <c r="A85" s="1">
        <v>1448</v>
      </c>
      <c r="B85" s="1">
        <v>9065292.1940250229</v>
      </c>
      <c r="C85" s="1">
        <v>2556239.3108391329</v>
      </c>
      <c r="D85" s="1"/>
      <c r="E85" s="1"/>
      <c r="F85" s="1"/>
      <c r="G85" s="1"/>
      <c r="H85" s="1"/>
      <c r="I85" s="1"/>
      <c r="J85" s="1"/>
      <c r="K85" s="1">
        <v>1045907.186104526</v>
      </c>
      <c r="L85" s="1"/>
      <c r="M85" s="1"/>
      <c r="N85" s="1"/>
      <c r="O85" s="1"/>
      <c r="P85" s="1"/>
      <c r="Q85" s="1"/>
      <c r="R85" s="1"/>
      <c r="S85" s="1"/>
      <c r="T85" s="1"/>
      <c r="U85" s="1">
        <v>1091469.4238586226</v>
      </c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>
        <v>2796818.0801750347</v>
      </c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>
        <v>941252.41879312159</v>
      </c>
      <c r="AU85" s="1"/>
      <c r="AV85" s="1"/>
      <c r="AW85" s="1"/>
      <c r="AX85" s="1"/>
      <c r="AY85" s="1"/>
      <c r="AZ85" s="1"/>
      <c r="BA85" s="1"/>
      <c r="BB85" s="1"/>
      <c r="BC85" s="1">
        <v>633605.77425458492</v>
      </c>
      <c r="BD85" s="1"/>
      <c r="BE85" s="1"/>
      <c r="BF85" s="1"/>
      <c r="BG85" s="1"/>
      <c r="BH85" s="1"/>
      <c r="BI85" s="4">
        <v>5640622.8459925056</v>
      </c>
      <c r="BJ85" s="2">
        <v>564546.06613769557</v>
      </c>
      <c r="BK85" s="2"/>
      <c r="BL85" s="2"/>
      <c r="BM85" s="2"/>
      <c r="BN85" s="2"/>
      <c r="BO85" s="2"/>
      <c r="BP85" s="2"/>
      <c r="BQ85" s="1">
        <v>503776.18157382763</v>
      </c>
      <c r="BR85" s="2"/>
      <c r="BS85" s="2"/>
      <c r="BT85" s="2"/>
      <c r="BU85" s="2"/>
      <c r="BV85" s="2"/>
      <c r="BW85" s="2"/>
      <c r="BX85" s="2"/>
      <c r="BY85" s="2"/>
      <c r="BZ85" s="1">
        <v>918585.97809647245</v>
      </c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1">
        <v>352087.96097752714</v>
      </c>
      <c r="CU85" s="2"/>
      <c r="CV85" s="2"/>
      <c r="CW85" s="2"/>
      <c r="CX85" s="1">
        <v>1122161.5025753402</v>
      </c>
      <c r="CY85" s="2"/>
      <c r="CZ85" s="2"/>
      <c r="DA85" s="2"/>
      <c r="DB85" s="2"/>
      <c r="DC85" s="2"/>
      <c r="DD85" s="2"/>
      <c r="DE85" s="1">
        <v>628236.96598092967</v>
      </c>
      <c r="DF85" s="2"/>
      <c r="DG85" s="2"/>
      <c r="DH85" s="2"/>
      <c r="DI85" s="2"/>
      <c r="DJ85" s="2"/>
      <c r="DK85" s="2"/>
      <c r="DL85" s="1">
        <v>739600.54307756759</v>
      </c>
      <c r="DM85" s="2"/>
      <c r="DN85" s="2"/>
      <c r="DO85" s="2"/>
      <c r="DP85" s="2"/>
      <c r="DQ85" s="2"/>
      <c r="DR85" s="2"/>
      <c r="DS85" s="1">
        <v>343038.77646110713</v>
      </c>
      <c r="DT85" s="2"/>
      <c r="DU85" s="2"/>
      <c r="DV85" s="2"/>
      <c r="DW85" s="2"/>
      <c r="DX85" s="2"/>
      <c r="DY85" s="2"/>
      <c r="DZ85" s="2"/>
      <c r="EA85" s="2"/>
      <c r="EB85" s="1">
        <v>40183.113652514119</v>
      </c>
      <c r="EC85" s="2"/>
      <c r="ED85" s="2"/>
      <c r="EE85" s="1">
        <v>93435.999699709137</v>
      </c>
      <c r="EF85" s="2"/>
      <c r="EG85" s="1">
        <v>334969.75775981543</v>
      </c>
      <c r="EH85" s="2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4"/>
      <c r="HX85" s="2">
        <v>1323677.4338275967</v>
      </c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1">
        <v>2039743.063626355</v>
      </c>
      <c r="LP85" s="1"/>
      <c r="LQ85" s="1"/>
      <c r="LR85" s="1"/>
      <c r="LS85" s="1"/>
      <c r="LT85" s="1"/>
      <c r="LU85" s="1">
        <v>1501196.1631753559</v>
      </c>
      <c r="LV85" s="1"/>
      <c r="LW85" s="1"/>
      <c r="LX85" s="1"/>
      <c r="LY85" s="1"/>
      <c r="LZ85" s="1"/>
      <c r="MA85" s="1"/>
      <c r="MB85" s="1"/>
      <c r="MC85" s="1"/>
      <c r="MD85" s="1"/>
      <c r="ME85" s="1"/>
    </row>
    <row r="86" spans="1:343">
      <c r="A86" s="1">
        <v>1449</v>
      </c>
      <c r="B86" s="1">
        <v>9098465.3017556686</v>
      </c>
      <c r="C86" s="1">
        <v>2564930.5244959863</v>
      </c>
      <c r="D86" s="1"/>
      <c r="E86" s="1"/>
      <c r="F86" s="1"/>
      <c r="G86" s="1"/>
      <c r="H86" s="1"/>
      <c r="I86" s="1"/>
      <c r="J86" s="1"/>
      <c r="K86" s="1">
        <v>1050613.7684419963</v>
      </c>
      <c r="L86" s="1"/>
      <c r="M86" s="1"/>
      <c r="N86" s="1"/>
      <c r="O86" s="1"/>
      <c r="P86" s="1"/>
      <c r="Q86" s="1"/>
      <c r="R86" s="1"/>
      <c r="S86" s="1"/>
      <c r="T86" s="1"/>
      <c r="U86" s="1">
        <v>1096381.0362659863</v>
      </c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>
        <v>2806327.26164763</v>
      </c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>
        <v>944452.67701701832</v>
      </c>
      <c r="AU86" s="1"/>
      <c r="AV86" s="1"/>
      <c r="AW86" s="1"/>
      <c r="AX86" s="1"/>
      <c r="AY86" s="1"/>
      <c r="AZ86" s="1"/>
      <c r="BA86" s="1"/>
      <c r="BB86" s="1"/>
      <c r="BC86" s="1">
        <v>635760.03388705058</v>
      </c>
      <c r="BD86" s="1"/>
      <c r="BE86" s="1"/>
      <c r="BF86" s="1"/>
      <c r="BG86" s="1"/>
      <c r="BH86" s="1"/>
      <c r="BI86" s="4">
        <v>5664530.0109136328</v>
      </c>
      <c r="BJ86" s="2">
        <v>566860.7050088601</v>
      </c>
      <c r="BK86" s="2"/>
      <c r="BL86" s="2"/>
      <c r="BM86" s="2"/>
      <c r="BN86" s="2"/>
      <c r="BO86" s="2"/>
      <c r="BP86" s="2"/>
      <c r="BQ86" s="1">
        <v>505136.37726407696</v>
      </c>
      <c r="BR86" s="2"/>
      <c r="BS86" s="2"/>
      <c r="BT86" s="2"/>
      <c r="BU86" s="2"/>
      <c r="BV86" s="2"/>
      <c r="BW86" s="2"/>
      <c r="BX86" s="2"/>
      <c r="BY86" s="2"/>
      <c r="BZ86" s="1">
        <v>925016.0799431476</v>
      </c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1">
        <v>353285.06004485075</v>
      </c>
      <c r="CU86" s="2"/>
      <c r="CV86" s="2"/>
      <c r="CW86" s="2"/>
      <c r="CX86" s="1">
        <v>1125976.8516840965</v>
      </c>
      <c r="CY86" s="2"/>
      <c r="CZ86" s="2"/>
      <c r="DA86" s="2"/>
      <c r="DB86" s="2"/>
      <c r="DC86" s="2"/>
      <c r="DD86" s="2"/>
      <c r="DE86" s="1">
        <v>630372.97166526492</v>
      </c>
      <c r="DF86" s="2"/>
      <c r="DG86" s="2"/>
      <c r="DH86" s="2"/>
      <c r="DI86" s="2"/>
      <c r="DJ86" s="2"/>
      <c r="DK86" s="2"/>
      <c r="DL86" s="1">
        <v>742115.18492403137</v>
      </c>
      <c r="DM86" s="2"/>
      <c r="DN86" s="2"/>
      <c r="DO86" s="2"/>
      <c r="DP86" s="2"/>
      <c r="DQ86" s="2"/>
      <c r="DR86" s="2"/>
      <c r="DS86" s="1">
        <v>345440.04789633484</v>
      </c>
      <c r="DT86" s="2"/>
      <c r="DU86" s="2"/>
      <c r="DV86" s="2"/>
      <c r="DW86" s="2"/>
      <c r="DX86" s="2"/>
      <c r="DY86" s="2"/>
      <c r="DZ86" s="2"/>
      <c r="EA86" s="2"/>
      <c r="EB86" s="1">
        <v>40464.395448081712</v>
      </c>
      <c r="EC86" s="2"/>
      <c r="ED86" s="2"/>
      <c r="EE86" s="1">
        <v>93753.68209868815</v>
      </c>
      <c r="EF86" s="2"/>
      <c r="EG86" s="1">
        <v>336108.65493619884</v>
      </c>
      <c r="EH86" s="2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4"/>
      <c r="HX86" s="2">
        <v>1329633.9822798208</v>
      </c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1">
        <v>2046678.1900426848</v>
      </c>
      <c r="LP86" s="1"/>
      <c r="LQ86" s="1"/>
      <c r="LR86" s="1"/>
      <c r="LS86" s="1"/>
      <c r="LT86" s="1"/>
      <c r="LU86" s="1">
        <v>1506300.2301301521</v>
      </c>
      <c r="LV86" s="1"/>
      <c r="LW86" s="1"/>
      <c r="LX86" s="1"/>
      <c r="LY86" s="1"/>
      <c r="LZ86" s="1"/>
      <c r="MA86" s="1"/>
      <c r="MB86" s="1"/>
      <c r="MC86" s="1"/>
      <c r="MD86" s="1"/>
      <c r="ME86" s="1"/>
    </row>
    <row r="87" spans="1:343">
      <c r="A87" s="1">
        <v>1450</v>
      </c>
      <c r="B87" s="1">
        <v>9131761.7780668139</v>
      </c>
      <c r="C87" s="1">
        <v>2573651.2882792726</v>
      </c>
      <c r="D87" s="1"/>
      <c r="E87" s="1"/>
      <c r="F87" s="1"/>
      <c r="G87" s="1"/>
      <c r="H87" s="1"/>
      <c r="I87" s="1"/>
      <c r="J87" s="1"/>
      <c r="K87" s="1">
        <v>1055341.5303999851</v>
      </c>
      <c r="L87" s="1"/>
      <c r="M87" s="1"/>
      <c r="N87" s="1"/>
      <c r="O87" s="1"/>
      <c r="P87" s="1"/>
      <c r="Q87" s="1"/>
      <c r="R87" s="1"/>
      <c r="S87" s="1"/>
      <c r="T87" s="1"/>
      <c r="U87" s="1">
        <v>1101314.7509291831</v>
      </c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>
        <v>2815868.7743372321</v>
      </c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>
        <v>947663.81611887622</v>
      </c>
      <c r="AU87" s="1"/>
      <c r="AV87" s="1"/>
      <c r="AW87" s="1"/>
      <c r="AX87" s="1"/>
      <c r="AY87" s="1"/>
      <c r="AZ87" s="1"/>
      <c r="BA87" s="1"/>
      <c r="BB87" s="1"/>
      <c r="BC87" s="1">
        <v>637921.61800226662</v>
      </c>
      <c r="BD87" s="1"/>
      <c r="BE87" s="1"/>
      <c r="BF87" s="1"/>
      <c r="BG87" s="1"/>
      <c r="BH87" s="1"/>
      <c r="BI87" s="4">
        <v>5688551.9338639956</v>
      </c>
      <c r="BJ87" s="2">
        <v>569184.83389939647</v>
      </c>
      <c r="BK87" s="2"/>
      <c r="BL87" s="2"/>
      <c r="BM87" s="2"/>
      <c r="BN87" s="2"/>
      <c r="BO87" s="2"/>
      <c r="BP87" s="2"/>
      <c r="BQ87" s="1">
        <v>506500.24548268993</v>
      </c>
      <c r="BR87" s="2"/>
      <c r="BS87" s="2"/>
      <c r="BT87" s="2"/>
      <c r="BU87" s="2"/>
      <c r="BV87" s="2"/>
      <c r="BW87" s="2"/>
      <c r="BX87" s="2"/>
      <c r="BY87" s="2"/>
      <c r="BZ87" s="1">
        <v>931491.1925027495</v>
      </c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1">
        <v>354486.22924900329</v>
      </c>
      <c r="CU87" s="2"/>
      <c r="CV87" s="2"/>
      <c r="CW87" s="2"/>
      <c r="CX87" s="1">
        <v>1129805.1729798226</v>
      </c>
      <c r="CY87" s="2"/>
      <c r="CZ87" s="2"/>
      <c r="DA87" s="2"/>
      <c r="DB87" s="2"/>
      <c r="DC87" s="2"/>
      <c r="DD87" s="2"/>
      <c r="DE87" s="1">
        <v>632516.23976892687</v>
      </c>
      <c r="DF87" s="2"/>
      <c r="DG87" s="2"/>
      <c r="DH87" s="2"/>
      <c r="DI87" s="2"/>
      <c r="DJ87" s="2"/>
      <c r="DK87" s="2"/>
      <c r="DL87" s="1">
        <v>744638.37655277317</v>
      </c>
      <c r="DM87" s="2"/>
      <c r="DN87" s="2"/>
      <c r="DO87" s="2"/>
      <c r="DP87" s="2"/>
      <c r="DQ87" s="2"/>
      <c r="DR87" s="2"/>
      <c r="DS87" s="1">
        <v>347858.12823160912</v>
      </c>
      <c r="DT87" s="2"/>
      <c r="DU87" s="2"/>
      <c r="DV87" s="2"/>
      <c r="DW87" s="2"/>
      <c r="DX87" s="2"/>
      <c r="DY87" s="2"/>
      <c r="DZ87" s="2"/>
      <c r="EA87" s="2"/>
      <c r="EB87" s="1">
        <v>40747.64621621828</v>
      </c>
      <c r="EC87" s="2"/>
      <c r="ED87" s="2"/>
      <c r="EE87" s="1">
        <v>94072.444617823698</v>
      </c>
      <c r="EF87" s="2"/>
      <c r="EG87" s="1">
        <v>337251.42436298192</v>
      </c>
      <c r="EH87" s="2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4"/>
      <c r="HX87" s="2">
        <v>1335617.3352000799</v>
      </c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1">
        <v>2053636.8958888301</v>
      </c>
      <c r="LP87" s="1"/>
      <c r="LQ87" s="1"/>
      <c r="LR87" s="1"/>
      <c r="LS87" s="1"/>
      <c r="LT87" s="1"/>
      <c r="LU87" s="1">
        <v>1511421.6509125947</v>
      </c>
      <c r="LV87" s="1"/>
      <c r="LW87" s="1"/>
      <c r="LX87" s="1"/>
      <c r="LY87" s="1"/>
      <c r="LZ87" s="1"/>
      <c r="MA87" s="1"/>
      <c r="MB87" s="1"/>
      <c r="MC87" s="1"/>
      <c r="MD87" s="1"/>
      <c r="ME87" s="1"/>
    </row>
    <row r="88" spans="1:343">
      <c r="A88" s="1">
        <v>1451</v>
      </c>
      <c r="B88" s="1">
        <v>9165182.0900217053</v>
      </c>
      <c r="C88" s="1">
        <v>2582401.7026594225</v>
      </c>
      <c r="D88" s="1"/>
      <c r="E88" s="1"/>
      <c r="F88" s="1"/>
      <c r="G88" s="1"/>
      <c r="H88" s="1"/>
      <c r="I88" s="1"/>
      <c r="J88" s="1"/>
      <c r="K88" s="1">
        <v>1060090.567286785</v>
      </c>
      <c r="L88" s="1"/>
      <c r="M88" s="1"/>
      <c r="N88" s="1"/>
      <c r="O88" s="1"/>
      <c r="P88" s="1"/>
      <c r="Q88" s="1"/>
      <c r="R88" s="1"/>
      <c r="S88" s="1"/>
      <c r="T88" s="1"/>
      <c r="U88" s="1">
        <v>1106270.6673083643</v>
      </c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>
        <v>2825442.7281699791</v>
      </c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>
        <v>950885.87309368048</v>
      </c>
      <c r="AU88" s="1"/>
      <c r="AV88" s="1"/>
      <c r="AW88" s="1"/>
      <c r="AX88" s="1"/>
      <c r="AY88" s="1"/>
      <c r="AZ88" s="1"/>
      <c r="BA88" s="1"/>
      <c r="BB88" s="1"/>
      <c r="BC88" s="1">
        <v>640090.55150347436</v>
      </c>
      <c r="BD88" s="1"/>
      <c r="BE88" s="1"/>
      <c r="BF88" s="1"/>
      <c r="BG88" s="1"/>
      <c r="BH88" s="1"/>
      <c r="BI88" s="4">
        <v>5712689.2387320446</v>
      </c>
      <c r="BJ88" s="2">
        <v>571518.49171838397</v>
      </c>
      <c r="BK88" s="2"/>
      <c r="BL88" s="2"/>
      <c r="BM88" s="2"/>
      <c r="BN88" s="2"/>
      <c r="BO88" s="2"/>
      <c r="BP88" s="2"/>
      <c r="BQ88" s="1">
        <v>507867.79614549316</v>
      </c>
      <c r="BR88" s="2"/>
      <c r="BS88" s="2"/>
      <c r="BT88" s="2"/>
      <c r="BU88" s="2"/>
      <c r="BV88" s="2"/>
      <c r="BW88" s="2"/>
      <c r="BX88" s="2"/>
      <c r="BY88" s="2"/>
      <c r="BZ88" s="1">
        <v>938011.63085026864</v>
      </c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1">
        <v>355691.4824284499</v>
      </c>
      <c r="CU88" s="2"/>
      <c r="CV88" s="2"/>
      <c r="CW88" s="2"/>
      <c r="CX88" s="1">
        <v>1133646.510567954</v>
      </c>
      <c r="CY88" s="2"/>
      <c r="CZ88" s="2"/>
      <c r="DA88" s="2"/>
      <c r="DB88" s="2"/>
      <c r="DC88" s="2"/>
      <c r="DD88" s="2"/>
      <c r="DE88" s="1">
        <v>634666.79498414125</v>
      </c>
      <c r="DF88" s="2"/>
      <c r="DG88" s="2"/>
      <c r="DH88" s="2"/>
      <c r="DI88" s="2"/>
      <c r="DJ88" s="2"/>
      <c r="DK88" s="2"/>
      <c r="DL88" s="1">
        <v>747170.14703305264</v>
      </c>
      <c r="DM88" s="2"/>
      <c r="DN88" s="2"/>
      <c r="DO88" s="2"/>
      <c r="DP88" s="2"/>
      <c r="DQ88" s="2"/>
      <c r="DR88" s="2"/>
      <c r="DS88" s="1">
        <v>350293.13512923033</v>
      </c>
      <c r="DT88" s="2"/>
      <c r="DU88" s="2"/>
      <c r="DV88" s="2"/>
      <c r="DW88" s="2"/>
      <c r="DX88" s="2"/>
      <c r="DY88" s="2"/>
      <c r="DZ88" s="2"/>
      <c r="EA88" s="2"/>
      <c r="EB88" s="1">
        <v>41032.879739731805</v>
      </c>
      <c r="EC88" s="2"/>
      <c r="ED88" s="2"/>
      <c r="EE88" s="1">
        <v>94392.290929524301</v>
      </c>
      <c r="EF88" s="2"/>
      <c r="EG88" s="1">
        <v>338398.07920581609</v>
      </c>
      <c r="EH88" s="2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4"/>
      <c r="HX88" s="2">
        <v>1341627.6132084802</v>
      </c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1">
        <v>2060619.2613348523</v>
      </c>
      <c r="LP88" s="1"/>
      <c r="LQ88" s="1"/>
      <c r="LR88" s="1"/>
      <c r="LS88" s="1"/>
      <c r="LT88" s="1"/>
      <c r="LU88" s="1">
        <v>1516560.4845256978</v>
      </c>
      <c r="LV88" s="1"/>
      <c r="LW88" s="1"/>
      <c r="LX88" s="1"/>
      <c r="LY88" s="1"/>
      <c r="LZ88" s="1"/>
      <c r="MA88" s="1"/>
      <c r="MB88" s="1"/>
      <c r="MC88" s="1"/>
      <c r="MD88" s="1"/>
      <c r="ME88" s="1"/>
    </row>
    <row r="89" spans="1:343">
      <c r="A89" s="1">
        <v>1452</v>
      </c>
      <c r="B89" s="1">
        <v>9198726.7064858321</v>
      </c>
      <c r="C89" s="1">
        <v>2591181.8684484647</v>
      </c>
      <c r="D89" s="1"/>
      <c r="E89" s="1"/>
      <c r="F89" s="1"/>
      <c r="G89" s="1"/>
      <c r="H89" s="1"/>
      <c r="I89" s="1"/>
      <c r="J89" s="1"/>
      <c r="K89" s="1">
        <v>1064860.9748395754</v>
      </c>
      <c r="L89" s="1"/>
      <c r="M89" s="1"/>
      <c r="N89" s="1"/>
      <c r="O89" s="1"/>
      <c r="P89" s="1"/>
      <c r="Q89" s="1"/>
      <c r="R89" s="1"/>
      <c r="S89" s="1"/>
      <c r="T89" s="1"/>
      <c r="U89" s="1">
        <v>1111248.885311252</v>
      </c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>
        <v>2835049.2334457571</v>
      </c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>
        <v>954118.88506219909</v>
      </c>
      <c r="AU89" s="1"/>
      <c r="AV89" s="1"/>
      <c r="AW89" s="1"/>
      <c r="AX89" s="1"/>
      <c r="AY89" s="1"/>
      <c r="AZ89" s="1"/>
      <c r="BA89" s="1"/>
      <c r="BB89" s="1"/>
      <c r="BC89" s="1">
        <v>642266.85937858617</v>
      </c>
      <c r="BD89" s="1"/>
      <c r="BE89" s="1"/>
      <c r="BF89" s="1"/>
      <c r="BG89" s="1"/>
      <c r="BH89" s="1"/>
      <c r="BI89" s="4">
        <v>5736942.5531552248</v>
      </c>
      <c r="BJ89" s="2">
        <v>573861.71753442939</v>
      </c>
      <c r="BK89" s="2"/>
      <c r="BL89" s="2"/>
      <c r="BM89" s="2"/>
      <c r="BN89" s="2"/>
      <c r="BO89" s="2"/>
      <c r="BP89" s="2"/>
      <c r="BQ89" s="1">
        <v>509239.03919508593</v>
      </c>
      <c r="BR89" s="2"/>
      <c r="BS89" s="2"/>
      <c r="BT89" s="2"/>
      <c r="BU89" s="2"/>
      <c r="BV89" s="2"/>
      <c r="BW89" s="2"/>
      <c r="BX89" s="2"/>
      <c r="BY89" s="2"/>
      <c r="BZ89" s="1">
        <v>944577.71226622048</v>
      </c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1">
        <v>356900.83346870664</v>
      </c>
      <c r="CU89" s="2"/>
      <c r="CV89" s="2"/>
      <c r="CW89" s="2"/>
      <c r="CX89" s="1">
        <v>1137500.9087038853</v>
      </c>
      <c r="CY89" s="2"/>
      <c r="CZ89" s="2"/>
      <c r="DA89" s="2"/>
      <c r="DB89" s="2"/>
      <c r="DC89" s="2"/>
      <c r="DD89" s="2"/>
      <c r="DE89" s="1">
        <v>636824.6620870874</v>
      </c>
      <c r="DF89" s="2"/>
      <c r="DG89" s="2"/>
      <c r="DH89" s="2"/>
      <c r="DI89" s="2"/>
      <c r="DJ89" s="2"/>
      <c r="DK89" s="2"/>
      <c r="DL89" s="1">
        <v>749710.52553296508</v>
      </c>
      <c r="DM89" s="2"/>
      <c r="DN89" s="2"/>
      <c r="DO89" s="2"/>
      <c r="DP89" s="2"/>
      <c r="DQ89" s="2"/>
      <c r="DR89" s="2"/>
      <c r="DS89" s="1">
        <v>352745.18707513489</v>
      </c>
      <c r="DT89" s="2"/>
      <c r="DU89" s="2"/>
      <c r="DV89" s="2"/>
      <c r="DW89" s="2"/>
      <c r="DX89" s="2"/>
      <c r="DY89" s="2"/>
      <c r="DZ89" s="2"/>
      <c r="EA89" s="2"/>
      <c r="EB89" s="1">
        <v>41320.109897909926</v>
      </c>
      <c r="EC89" s="2"/>
      <c r="ED89" s="2"/>
      <c r="EE89" s="1">
        <v>94713.224718684694</v>
      </c>
      <c r="EF89" s="2"/>
      <c r="EG89" s="1">
        <v>339548.63267511589</v>
      </c>
      <c r="EH89" s="2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4"/>
      <c r="HX89" s="2">
        <v>1347664.9374679183</v>
      </c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1">
        <v>2067625.3668233911</v>
      </c>
      <c r="LP89" s="1"/>
      <c r="LQ89" s="1"/>
      <c r="LR89" s="1"/>
      <c r="LS89" s="1"/>
      <c r="LT89" s="1"/>
      <c r="LU89" s="1">
        <v>1521716.7901730852</v>
      </c>
      <c r="LV89" s="1"/>
      <c r="LW89" s="1"/>
      <c r="LX89" s="1"/>
      <c r="LY89" s="1"/>
      <c r="LZ89" s="1"/>
      <c r="MA89" s="1"/>
      <c r="MB89" s="1"/>
      <c r="MC89" s="1"/>
      <c r="MD89" s="1"/>
      <c r="ME89" s="1"/>
    </row>
    <row r="90" spans="1:343">
      <c r="A90" s="1">
        <v>1453</v>
      </c>
      <c r="B90" s="1">
        <v>9232396.098134052</v>
      </c>
      <c r="C90" s="1">
        <v>2599991.8868011897</v>
      </c>
      <c r="D90" s="1"/>
      <c r="E90" s="1"/>
      <c r="F90" s="1"/>
      <c r="G90" s="1"/>
      <c r="H90" s="1"/>
      <c r="I90" s="1"/>
      <c r="J90" s="1"/>
      <c r="K90" s="1">
        <v>1069652.8492263535</v>
      </c>
      <c r="L90" s="1"/>
      <c r="M90" s="1"/>
      <c r="N90" s="1"/>
      <c r="O90" s="1"/>
      <c r="P90" s="1"/>
      <c r="Q90" s="1"/>
      <c r="R90" s="1"/>
      <c r="S90" s="1"/>
      <c r="T90" s="1"/>
      <c r="U90" s="1">
        <v>1116249.5052951525</v>
      </c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>
        <v>2844688.4008394727</v>
      </c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>
        <v>957362.88927141065</v>
      </c>
      <c r="AU90" s="1"/>
      <c r="AV90" s="1"/>
      <c r="AW90" s="1"/>
      <c r="AX90" s="1"/>
      <c r="AY90" s="1"/>
      <c r="AZ90" s="1"/>
      <c r="BA90" s="1"/>
      <c r="BB90" s="1"/>
      <c r="BC90" s="1">
        <v>644450.56670047343</v>
      </c>
      <c r="BD90" s="1"/>
      <c r="BE90" s="1"/>
      <c r="BF90" s="1"/>
      <c r="BG90" s="1"/>
      <c r="BH90" s="1"/>
      <c r="BI90" s="4">
        <v>5761312.508544052</v>
      </c>
      <c r="BJ90" s="2">
        <v>576214.5505763205</v>
      </c>
      <c r="BK90" s="2"/>
      <c r="BL90" s="2"/>
      <c r="BM90" s="2"/>
      <c r="BN90" s="2"/>
      <c r="BO90" s="2"/>
      <c r="BP90" s="2"/>
      <c r="BQ90" s="1">
        <v>510613.9846009126</v>
      </c>
      <c r="BR90" s="2"/>
      <c r="BS90" s="2"/>
      <c r="BT90" s="2"/>
      <c r="BU90" s="2"/>
      <c r="BV90" s="2"/>
      <c r="BW90" s="2"/>
      <c r="BX90" s="2"/>
      <c r="BY90" s="2"/>
      <c r="BZ90" s="1">
        <v>951189.75625208393</v>
      </c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1">
        <v>358114.29630250024</v>
      </c>
      <c r="CU90" s="2"/>
      <c r="CV90" s="2"/>
      <c r="CW90" s="2"/>
      <c r="CX90" s="1">
        <v>1141368.4117934785</v>
      </c>
      <c r="CY90" s="2"/>
      <c r="CZ90" s="2"/>
      <c r="DA90" s="2"/>
      <c r="DB90" s="2"/>
      <c r="DC90" s="2"/>
      <c r="DD90" s="2"/>
      <c r="DE90" s="1">
        <v>638989.8659381835</v>
      </c>
      <c r="DF90" s="2"/>
      <c r="DG90" s="2"/>
      <c r="DH90" s="2"/>
      <c r="DI90" s="2"/>
      <c r="DJ90" s="2"/>
      <c r="DK90" s="2"/>
      <c r="DL90" s="1">
        <v>752259.54131977726</v>
      </c>
      <c r="DM90" s="2"/>
      <c r="DN90" s="2"/>
      <c r="DO90" s="2"/>
      <c r="DP90" s="2"/>
      <c r="DQ90" s="2"/>
      <c r="DR90" s="2"/>
      <c r="DS90" s="1">
        <v>355214.40338466078</v>
      </c>
      <c r="DT90" s="2"/>
      <c r="DU90" s="2"/>
      <c r="DV90" s="2"/>
      <c r="DW90" s="2"/>
      <c r="DX90" s="2"/>
      <c r="DY90" s="2"/>
      <c r="DZ90" s="2"/>
      <c r="EA90" s="2"/>
      <c r="EB90" s="1">
        <v>41609.350667195293</v>
      </c>
      <c r="EC90" s="2"/>
      <c r="ED90" s="2"/>
      <c r="EE90" s="1">
        <v>95035.24968272823</v>
      </c>
      <c r="EF90" s="2"/>
      <c r="EG90" s="1">
        <v>340703.09802621132</v>
      </c>
      <c r="EH90" s="2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4"/>
      <c r="HX90" s="2">
        <v>1353729.4296865237</v>
      </c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1">
        <v>2074655.2930705908</v>
      </c>
      <c r="LP90" s="1"/>
      <c r="LQ90" s="1"/>
      <c r="LR90" s="1"/>
      <c r="LS90" s="1"/>
      <c r="LT90" s="1"/>
      <c r="LU90" s="1">
        <v>1526890.6272596738</v>
      </c>
      <c r="LV90" s="1"/>
      <c r="LW90" s="1"/>
      <c r="LX90" s="1"/>
      <c r="LY90" s="1"/>
      <c r="LZ90" s="1"/>
      <c r="MA90" s="1"/>
      <c r="MB90" s="1"/>
      <c r="MC90" s="1"/>
      <c r="MD90" s="1"/>
      <c r="ME90" s="1"/>
    </row>
    <row r="91" spans="1:343">
      <c r="A91" s="1">
        <v>1454</v>
      </c>
      <c r="B91" s="1">
        <v>9266190.7374576833</v>
      </c>
      <c r="C91" s="1">
        <v>2608831.8592163138</v>
      </c>
      <c r="D91" s="1"/>
      <c r="E91" s="1"/>
      <c r="F91" s="1"/>
      <c r="G91" s="1"/>
      <c r="H91" s="1"/>
      <c r="I91" s="1"/>
      <c r="J91" s="1"/>
      <c r="K91" s="1">
        <v>1074466.2870478721</v>
      </c>
      <c r="L91" s="1"/>
      <c r="M91" s="1"/>
      <c r="N91" s="1"/>
      <c r="O91" s="1"/>
      <c r="P91" s="1"/>
      <c r="Q91" s="1"/>
      <c r="R91" s="1"/>
      <c r="S91" s="1"/>
      <c r="T91" s="1"/>
      <c r="U91" s="1">
        <v>1121272.6280689808</v>
      </c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>
        <v>2854360.3414023272</v>
      </c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>
        <v>960617.9230949335</v>
      </c>
      <c r="AU91" s="1"/>
      <c r="AV91" s="1"/>
      <c r="AW91" s="1"/>
      <c r="AX91" s="1"/>
      <c r="AY91" s="1"/>
      <c r="AZ91" s="1"/>
      <c r="BA91" s="1"/>
      <c r="BB91" s="1"/>
      <c r="BC91" s="1">
        <v>646641.69862725504</v>
      </c>
      <c r="BD91" s="1"/>
      <c r="BE91" s="1"/>
      <c r="BF91" s="1"/>
      <c r="BG91" s="1"/>
      <c r="BH91" s="1"/>
      <c r="BI91" s="4">
        <v>5785799.7401063787</v>
      </c>
      <c r="BJ91" s="2">
        <v>578577.03023368341</v>
      </c>
      <c r="BK91" s="2"/>
      <c r="BL91" s="2"/>
      <c r="BM91" s="2"/>
      <c r="BN91" s="2"/>
      <c r="BO91" s="2"/>
      <c r="BP91" s="2"/>
      <c r="BQ91" s="1">
        <v>511992.64235933503</v>
      </c>
      <c r="BR91" s="2"/>
      <c r="BS91" s="2"/>
      <c r="BT91" s="2"/>
      <c r="BU91" s="2"/>
      <c r="BV91" s="2"/>
      <c r="BW91" s="2"/>
      <c r="BX91" s="2"/>
      <c r="BY91" s="2"/>
      <c r="BZ91" s="1">
        <v>957848.08454584843</v>
      </c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1">
        <v>359331.88490992878</v>
      </c>
      <c r="CU91" s="2"/>
      <c r="CV91" s="2"/>
      <c r="CW91" s="2"/>
      <c r="CX91" s="1">
        <v>1145249.0643935765</v>
      </c>
      <c r="CY91" s="2"/>
      <c r="CZ91" s="2"/>
      <c r="DA91" s="2"/>
      <c r="DB91" s="2"/>
      <c r="DC91" s="2"/>
      <c r="DD91" s="2"/>
      <c r="DE91" s="1">
        <v>641162.43148237339</v>
      </c>
      <c r="DF91" s="2"/>
      <c r="DG91" s="2"/>
      <c r="DH91" s="2"/>
      <c r="DI91" s="2"/>
      <c r="DJ91" s="2"/>
      <c r="DK91" s="2"/>
      <c r="DL91" s="1">
        <v>754817.22376026458</v>
      </c>
      <c r="DM91" s="2"/>
      <c r="DN91" s="2"/>
      <c r="DO91" s="2"/>
      <c r="DP91" s="2"/>
      <c r="DQ91" s="2"/>
      <c r="DR91" s="2"/>
      <c r="DS91" s="1">
        <v>357700.90420835337</v>
      </c>
      <c r="DT91" s="2"/>
      <c r="DU91" s="2"/>
      <c r="DV91" s="2"/>
      <c r="DW91" s="2"/>
      <c r="DX91" s="2"/>
      <c r="DY91" s="2"/>
      <c r="DZ91" s="2"/>
      <c r="EA91" s="2"/>
      <c r="EB91" s="1">
        <v>41900.616121865656</v>
      </c>
      <c r="EC91" s="2"/>
      <c r="ED91" s="2"/>
      <c r="EE91" s="1">
        <v>95358.369531649514</v>
      </c>
      <c r="EF91" s="2"/>
      <c r="EG91" s="1">
        <v>341861.48855950043</v>
      </c>
      <c r="EH91" s="2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4"/>
      <c r="HX91" s="2">
        <v>1359821.212120113</v>
      </c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1">
        <v>2081709.1210670311</v>
      </c>
      <c r="LP91" s="1"/>
      <c r="LQ91" s="1"/>
      <c r="LR91" s="1"/>
      <c r="LS91" s="1"/>
      <c r="LT91" s="1"/>
      <c r="LU91" s="1">
        <v>1532082.0553923568</v>
      </c>
      <c r="LV91" s="1"/>
      <c r="LW91" s="1"/>
      <c r="LX91" s="1"/>
      <c r="LY91" s="1"/>
      <c r="LZ91" s="1"/>
      <c r="MA91" s="1"/>
      <c r="MB91" s="1"/>
      <c r="MC91" s="1"/>
      <c r="MD91" s="1"/>
      <c r="ME91" s="1"/>
    </row>
    <row r="92" spans="1:343">
      <c r="A92" s="1">
        <v>1455</v>
      </c>
      <c r="B92" s="1">
        <v>9300111.0987716671</v>
      </c>
      <c r="C92" s="1">
        <v>2617701.8875376494</v>
      </c>
      <c r="D92" s="1"/>
      <c r="E92" s="1"/>
      <c r="F92" s="1"/>
      <c r="G92" s="1"/>
      <c r="H92" s="1"/>
      <c r="I92" s="1"/>
      <c r="J92" s="1"/>
      <c r="K92" s="1">
        <v>1079301.3853395875</v>
      </c>
      <c r="L92" s="1"/>
      <c r="M92" s="1"/>
      <c r="N92" s="1"/>
      <c r="O92" s="1"/>
      <c r="P92" s="1"/>
      <c r="Q92" s="1"/>
      <c r="R92" s="1"/>
      <c r="S92" s="1"/>
      <c r="T92" s="1"/>
      <c r="U92" s="1">
        <v>1126318.3548952912</v>
      </c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>
        <v>2864065.1665630951</v>
      </c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>
        <v>963884.02403345634</v>
      </c>
      <c r="AU92" s="1"/>
      <c r="AV92" s="1"/>
      <c r="AW92" s="1"/>
      <c r="AX92" s="1"/>
      <c r="AY92" s="1"/>
      <c r="AZ92" s="1"/>
      <c r="BA92" s="1"/>
      <c r="BB92" s="1"/>
      <c r="BC92" s="1">
        <v>648840.28040258773</v>
      </c>
      <c r="BD92" s="1"/>
      <c r="BE92" s="1"/>
      <c r="BF92" s="1"/>
      <c r="BG92" s="1"/>
      <c r="BH92" s="1"/>
      <c r="BI92" s="4">
        <v>5810404.8868718073</v>
      </c>
      <c r="BJ92" s="2">
        <v>580949.19605764153</v>
      </c>
      <c r="BK92" s="2"/>
      <c r="BL92" s="2"/>
      <c r="BM92" s="2"/>
      <c r="BN92" s="2"/>
      <c r="BO92" s="2"/>
      <c r="BP92" s="2"/>
      <c r="BQ92" s="1">
        <v>513375.02249370521</v>
      </c>
      <c r="BR92" s="2"/>
      <c r="BS92" s="2"/>
      <c r="BT92" s="2"/>
      <c r="BU92" s="2"/>
      <c r="BV92" s="2"/>
      <c r="BW92" s="2"/>
      <c r="BX92" s="2"/>
      <c r="BY92" s="2"/>
      <c r="BZ92" s="1">
        <v>964553.02113766922</v>
      </c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1">
        <v>360553.61331862258</v>
      </c>
      <c r="CU92" s="2"/>
      <c r="CV92" s="2"/>
      <c r="CW92" s="2"/>
      <c r="CX92" s="1">
        <v>1149142.9112125146</v>
      </c>
      <c r="CY92" s="2"/>
      <c r="CZ92" s="2"/>
      <c r="DA92" s="2"/>
      <c r="DB92" s="2"/>
      <c r="DC92" s="2"/>
      <c r="DD92" s="2"/>
      <c r="DE92" s="1">
        <v>643342.38374941354</v>
      </c>
      <c r="DF92" s="2"/>
      <c r="DG92" s="2"/>
      <c r="DH92" s="2"/>
      <c r="DI92" s="2"/>
      <c r="DJ92" s="2"/>
      <c r="DK92" s="2"/>
      <c r="DL92" s="1">
        <v>757383.60232104955</v>
      </c>
      <c r="DM92" s="2"/>
      <c r="DN92" s="2"/>
      <c r="DO92" s="2"/>
      <c r="DP92" s="2"/>
      <c r="DQ92" s="2"/>
      <c r="DR92" s="2"/>
      <c r="DS92" s="1">
        <v>360204.81053781183</v>
      </c>
      <c r="DT92" s="2"/>
      <c r="DU92" s="2"/>
      <c r="DV92" s="2"/>
      <c r="DW92" s="2"/>
      <c r="DX92" s="2"/>
      <c r="DY92" s="2"/>
      <c r="DZ92" s="2"/>
      <c r="EA92" s="2"/>
      <c r="EB92" s="1">
        <v>42193.920434718711</v>
      </c>
      <c r="EC92" s="2"/>
      <c r="ED92" s="2"/>
      <c r="EE92" s="1">
        <v>95682.58798805713</v>
      </c>
      <c r="EF92" s="2"/>
      <c r="EG92" s="1">
        <v>343023.81762060273</v>
      </c>
      <c r="EH92" s="2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4"/>
      <c r="HX92" s="2">
        <v>1365940.4075746534</v>
      </c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1">
        <v>2088786.9320786591</v>
      </c>
      <c r="LP92" s="1"/>
      <c r="LQ92" s="1"/>
      <c r="LR92" s="1"/>
      <c r="LS92" s="1"/>
      <c r="LT92" s="1"/>
      <c r="LU92" s="1">
        <v>1537291.134380691</v>
      </c>
      <c r="LV92" s="1"/>
      <c r="LW92" s="1"/>
      <c r="LX92" s="1"/>
      <c r="LY92" s="1"/>
      <c r="LZ92" s="1"/>
      <c r="MA92" s="1"/>
      <c r="MB92" s="1"/>
      <c r="MC92" s="1"/>
      <c r="MD92" s="1"/>
      <c r="ME92" s="1"/>
    </row>
    <row r="93" spans="1:343">
      <c r="A93" s="1">
        <v>1456</v>
      </c>
      <c r="B93" s="1">
        <v>9334157.6582217496</v>
      </c>
      <c r="C93" s="1">
        <v>2626602.0739552774</v>
      </c>
      <c r="D93" s="1"/>
      <c r="E93" s="1"/>
      <c r="F93" s="1"/>
      <c r="G93" s="1"/>
      <c r="H93" s="1"/>
      <c r="I93" s="1"/>
      <c r="J93" s="1"/>
      <c r="K93" s="1">
        <v>1084158.2415736155</v>
      </c>
      <c r="L93" s="1"/>
      <c r="M93" s="1"/>
      <c r="N93" s="1"/>
      <c r="O93" s="1"/>
      <c r="P93" s="1"/>
      <c r="Q93" s="1"/>
      <c r="R93" s="1"/>
      <c r="S93" s="1"/>
      <c r="T93" s="1"/>
      <c r="U93" s="1">
        <v>1131386.7874923199</v>
      </c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>
        <v>2873802.98812941</v>
      </c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>
        <v>967161.22971517011</v>
      </c>
      <c r="AU93" s="1"/>
      <c r="AV93" s="1"/>
      <c r="AW93" s="1"/>
      <c r="AX93" s="1"/>
      <c r="AY93" s="1"/>
      <c r="AZ93" s="1"/>
      <c r="BA93" s="1"/>
      <c r="BB93" s="1"/>
      <c r="BC93" s="1">
        <v>651046.33735595655</v>
      </c>
      <c r="BD93" s="1"/>
      <c r="BE93" s="1"/>
      <c r="BF93" s="1"/>
      <c r="BG93" s="1"/>
      <c r="BH93" s="1"/>
      <c r="BI93" s="4">
        <v>5835128.5917162616</v>
      </c>
      <c r="BJ93" s="2">
        <v>583331.0877614778</v>
      </c>
      <c r="BK93" s="2"/>
      <c r="BL93" s="2"/>
      <c r="BM93" s="2"/>
      <c r="BN93" s="2"/>
      <c r="BO93" s="2"/>
      <c r="BP93" s="2"/>
      <c r="BQ93" s="1">
        <v>514761.1350544382</v>
      </c>
      <c r="BR93" s="2"/>
      <c r="BS93" s="2"/>
      <c r="BT93" s="2"/>
      <c r="BU93" s="2"/>
      <c r="BV93" s="2"/>
      <c r="BW93" s="2"/>
      <c r="BX93" s="2"/>
      <c r="BY93" s="2"/>
      <c r="BZ93" s="1">
        <v>971304.89228563278</v>
      </c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1">
        <v>361779.49560390593</v>
      </c>
      <c r="CU93" s="2"/>
      <c r="CV93" s="2"/>
      <c r="CW93" s="2"/>
      <c r="CX93" s="1">
        <v>1153049.9971106371</v>
      </c>
      <c r="CY93" s="2"/>
      <c r="CZ93" s="2"/>
      <c r="DA93" s="2"/>
      <c r="DB93" s="2"/>
      <c r="DC93" s="2"/>
      <c r="DD93" s="2"/>
      <c r="DE93" s="1">
        <v>645529.74785416154</v>
      </c>
      <c r="DF93" s="2"/>
      <c r="DG93" s="2"/>
      <c r="DH93" s="2"/>
      <c r="DI93" s="2"/>
      <c r="DJ93" s="2"/>
      <c r="DK93" s="2"/>
      <c r="DL93" s="1">
        <v>759958.70656894112</v>
      </c>
      <c r="DM93" s="2"/>
      <c r="DN93" s="2"/>
      <c r="DO93" s="2"/>
      <c r="DP93" s="2"/>
      <c r="DQ93" s="2"/>
      <c r="DR93" s="2"/>
      <c r="DS93" s="1">
        <v>362726.24421157647</v>
      </c>
      <c r="DT93" s="2"/>
      <c r="DU93" s="2"/>
      <c r="DV93" s="2"/>
      <c r="DW93" s="2"/>
      <c r="DX93" s="2"/>
      <c r="DY93" s="2"/>
      <c r="DZ93" s="2"/>
      <c r="EA93" s="2"/>
      <c r="EB93" s="1">
        <v>42489.277877761735</v>
      </c>
      <c r="EC93" s="2"/>
      <c r="ED93" s="2"/>
      <c r="EE93" s="1">
        <v>96007.908787216526</v>
      </c>
      <c r="EF93" s="2"/>
      <c r="EG93" s="1">
        <v>344190.09860051278</v>
      </c>
      <c r="EH93" s="2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4"/>
      <c r="HX93" s="2">
        <v>1372087.1394087393</v>
      </c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1">
        <v>2095888.8076477267</v>
      </c>
      <c r="LP93" s="1"/>
      <c r="LQ93" s="1"/>
      <c r="LR93" s="1"/>
      <c r="LS93" s="1"/>
      <c r="LT93" s="1"/>
      <c r="LU93" s="1">
        <v>1542517.9242375854</v>
      </c>
      <c r="LV93" s="1"/>
      <c r="LW93" s="1"/>
      <c r="LX93" s="1"/>
      <c r="LY93" s="1"/>
      <c r="LZ93" s="1"/>
      <c r="MA93" s="1"/>
      <c r="MB93" s="1"/>
      <c r="MC93" s="1"/>
      <c r="MD93" s="1"/>
      <c r="ME93" s="1"/>
    </row>
    <row r="94" spans="1:343">
      <c r="A94" s="1">
        <v>1457</v>
      </c>
      <c r="B94" s="1">
        <v>9368330.8937916774</v>
      </c>
      <c r="C94" s="1">
        <v>2635532.5210067257</v>
      </c>
      <c r="D94" s="1"/>
      <c r="E94" s="1"/>
      <c r="F94" s="1"/>
      <c r="G94" s="1"/>
      <c r="H94" s="1"/>
      <c r="I94" s="1"/>
      <c r="J94" s="1"/>
      <c r="K94" s="1">
        <v>1089036.9536606967</v>
      </c>
      <c r="L94" s="1"/>
      <c r="M94" s="1"/>
      <c r="N94" s="1"/>
      <c r="O94" s="1"/>
      <c r="P94" s="1"/>
      <c r="Q94" s="1"/>
      <c r="R94" s="1"/>
      <c r="S94" s="1"/>
      <c r="T94" s="1"/>
      <c r="U94" s="1">
        <v>1136478.0280360354</v>
      </c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>
        <v>2883573.91828905</v>
      </c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>
        <v>970449.57789620175</v>
      </c>
      <c r="AU94" s="1"/>
      <c r="AV94" s="1"/>
      <c r="AW94" s="1"/>
      <c r="AX94" s="1"/>
      <c r="AY94" s="1"/>
      <c r="AZ94" s="1"/>
      <c r="BA94" s="1"/>
      <c r="BB94" s="1"/>
      <c r="BC94" s="1">
        <v>653259.8949029668</v>
      </c>
      <c r="BD94" s="1"/>
      <c r="BE94" s="1"/>
      <c r="BF94" s="1"/>
      <c r="BG94" s="1"/>
      <c r="BH94" s="1"/>
      <c r="BI94" s="4">
        <v>5859971.5013867412</v>
      </c>
      <c r="BJ94" s="2">
        <v>585722.74522129982</v>
      </c>
      <c r="BK94" s="2"/>
      <c r="BL94" s="2"/>
      <c r="BM94" s="2"/>
      <c r="BN94" s="2"/>
      <c r="BO94" s="2"/>
      <c r="BP94" s="2"/>
      <c r="BQ94" s="1">
        <v>516150.99011908512</v>
      </c>
      <c r="BR94" s="2"/>
      <c r="BS94" s="2"/>
      <c r="BT94" s="2"/>
      <c r="BU94" s="2"/>
      <c r="BV94" s="2"/>
      <c r="BW94" s="2"/>
      <c r="BX94" s="2"/>
      <c r="BY94" s="2"/>
      <c r="BZ94" s="1">
        <v>978104.02653163206</v>
      </c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1">
        <v>363009.54588895926</v>
      </c>
      <c r="CU94" s="2"/>
      <c r="CV94" s="2"/>
      <c r="CW94" s="2"/>
      <c r="CX94" s="1">
        <v>1156970.3671008134</v>
      </c>
      <c r="CY94" s="2"/>
      <c r="CZ94" s="2"/>
      <c r="DA94" s="2"/>
      <c r="DB94" s="2"/>
      <c r="DC94" s="2"/>
      <c r="DD94" s="2"/>
      <c r="DE94" s="1">
        <v>647724.54899686575</v>
      </c>
      <c r="DF94" s="2"/>
      <c r="DG94" s="2"/>
      <c r="DH94" s="2"/>
      <c r="DI94" s="2"/>
      <c r="DJ94" s="2"/>
      <c r="DK94" s="2"/>
      <c r="DL94" s="1">
        <v>762542.56617127557</v>
      </c>
      <c r="DM94" s="2"/>
      <c r="DN94" s="2"/>
      <c r="DO94" s="2"/>
      <c r="DP94" s="2"/>
      <c r="DQ94" s="2"/>
      <c r="DR94" s="2"/>
      <c r="DS94" s="1">
        <v>365265.32792105747</v>
      </c>
      <c r="DT94" s="2"/>
      <c r="DU94" s="2"/>
      <c r="DV94" s="2"/>
      <c r="DW94" s="2"/>
      <c r="DX94" s="2"/>
      <c r="DY94" s="2"/>
      <c r="DZ94" s="2"/>
      <c r="EA94" s="2"/>
      <c r="EB94" s="1">
        <v>42786.70282290606</v>
      </c>
      <c r="EC94" s="2"/>
      <c r="ED94" s="2"/>
      <c r="EE94" s="1">
        <v>96334.33567709307</v>
      </c>
      <c r="EF94" s="2"/>
      <c r="EG94" s="1">
        <v>345360.34493575455</v>
      </c>
      <c r="EH94" s="2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4"/>
      <c r="HX94" s="2">
        <v>1378261.5315360785</v>
      </c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1">
        <v>2103014.8295937292</v>
      </c>
      <c r="LP94" s="1"/>
      <c r="LQ94" s="1"/>
      <c r="LR94" s="1"/>
      <c r="LS94" s="1"/>
      <c r="LT94" s="1"/>
      <c r="LU94" s="1">
        <v>1547762.4851799933</v>
      </c>
      <c r="LV94" s="1"/>
      <c r="LW94" s="1"/>
      <c r="LX94" s="1"/>
      <c r="LY94" s="1"/>
      <c r="LZ94" s="1"/>
      <c r="MA94" s="1"/>
      <c r="MB94" s="1"/>
      <c r="MC94" s="1"/>
      <c r="MD94" s="1"/>
      <c r="ME94" s="1"/>
    </row>
    <row r="95" spans="1:343">
      <c r="A95" s="1">
        <v>1458</v>
      </c>
      <c r="B95" s="1">
        <v>9402631.285310436</v>
      </c>
      <c r="C95" s="1">
        <v>2644493.331578149</v>
      </c>
      <c r="D95" s="1"/>
      <c r="E95" s="1"/>
      <c r="F95" s="1"/>
      <c r="G95" s="1"/>
      <c r="H95" s="1"/>
      <c r="I95" s="1"/>
      <c r="J95" s="1"/>
      <c r="K95" s="1">
        <v>1093937.6199521697</v>
      </c>
      <c r="L95" s="1"/>
      <c r="M95" s="1"/>
      <c r="N95" s="1"/>
      <c r="O95" s="1"/>
      <c r="P95" s="1"/>
      <c r="Q95" s="1"/>
      <c r="R95" s="1"/>
      <c r="S95" s="1"/>
      <c r="T95" s="1"/>
      <c r="U95" s="1">
        <v>1141592.1791621975</v>
      </c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>
        <v>2893378.0696112332</v>
      </c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>
        <v>973749.10646104894</v>
      </c>
      <c r="AU95" s="1"/>
      <c r="AV95" s="1"/>
      <c r="AW95" s="1"/>
      <c r="AX95" s="1"/>
      <c r="AY95" s="1"/>
      <c r="AZ95" s="1"/>
      <c r="BA95" s="1"/>
      <c r="BB95" s="1"/>
      <c r="BC95" s="1">
        <v>655480.97854563699</v>
      </c>
      <c r="BD95" s="1"/>
      <c r="BE95" s="1"/>
      <c r="BF95" s="1"/>
      <c r="BG95" s="1"/>
      <c r="BH95" s="1"/>
      <c r="BI95" s="4">
        <v>5884934.2665262204</v>
      </c>
      <c r="BJ95" s="2">
        <v>588124.20847670711</v>
      </c>
      <c r="BK95" s="2"/>
      <c r="BL95" s="2"/>
      <c r="BM95" s="2"/>
      <c r="BN95" s="2"/>
      <c r="BO95" s="2"/>
      <c r="BP95" s="2"/>
      <c r="BQ95" s="1">
        <v>517544.59779240662</v>
      </c>
      <c r="BR95" s="2"/>
      <c r="BS95" s="2"/>
      <c r="BT95" s="2"/>
      <c r="BU95" s="2"/>
      <c r="BV95" s="2"/>
      <c r="BW95" s="2"/>
      <c r="BX95" s="2"/>
      <c r="BY95" s="2"/>
      <c r="BZ95" s="1">
        <v>984950.75471735338</v>
      </c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1">
        <v>364243.77834498172</v>
      </c>
      <c r="CU95" s="2"/>
      <c r="CV95" s="2"/>
      <c r="CW95" s="2"/>
      <c r="CX95" s="1">
        <v>1160904.0663489562</v>
      </c>
      <c r="CY95" s="2"/>
      <c r="CZ95" s="2"/>
      <c r="DA95" s="2"/>
      <c r="DB95" s="2"/>
      <c r="DC95" s="2"/>
      <c r="DD95" s="2"/>
      <c r="DE95" s="1">
        <v>649926.81246345514</v>
      </c>
      <c r="DF95" s="2"/>
      <c r="DG95" s="2"/>
      <c r="DH95" s="2"/>
      <c r="DI95" s="2"/>
      <c r="DJ95" s="2"/>
      <c r="DK95" s="2"/>
      <c r="DL95" s="1">
        <v>765135.21089625801</v>
      </c>
      <c r="DM95" s="2"/>
      <c r="DN95" s="2"/>
      <c r="DO95" s="2"/>
      <c r="DP95" s="2"/>
      <c r="DQ95" s="2"/>
      <c r="DR95" s="2"/>
      <c r="DS95" s="1">
        <v>367822.18521650485</v>
      </c>
      <c r="DT95" s="2"/>
      <c r="DU95" s="2"/>
      <c r="DV95" s="2"/>
      <c r="DW95" s="2"/>
      <c r="DX95" s="2"/>
      <c r="DY95" s="2"/>
      <c r="DZ95" s="2"/>
      <c r="EA95" s="2"/>
      <c r="EB95" s="1">
        <v>43086.209742666397</v>
      </c>
      <c r="EC95" s="2"/>
      <c r="ED95" s="2"/>
      <c r="EE95" s="1">
        <v>96661.8724183952</v>
      </c>
      <c r="EF95" s="2"/>
      <c r="EG95" s="1">
        <v>346534.57010853617</v>
      </c>
      <c r="EH95" s="2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4"/>
      <c r="HX95" s="2">
        <v>1384463.7084279908</v>
      </c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1">
        <v>2110165.080014348</v>
      </c>
      <c r="LP95" s="1"/>
      <c r="LQ95" s="1"/>
      <c r="LR95" s="1"/>
      <c r="LS95" s="1"/>
      <c r="LT95" s="1"/>
      <c r="LU95" s="1">
        <v>1553024.8776296054</v>
      </c>
      <c r="LV95" s="1"/>
      <c r="LW95" s="1"/>
      <c r="LX95" s="1"/>
      <c r="LY95" s="1"/>
      <c r="LZ95" s="1"/>
      <c r="MA95" s="1"/>
      <c r="MB95" s="1"/>
      <c r="MC95" s="1"/>
      <c r="MD95" s="1"/>
      <c r="ME95" s="1"/>
    </row>
    <row r="96" spans="1:343">
      <c r="A96" s="1">
        <v>1459</v>
      </c>
      <c r="B96" s="1">
        <v>9437059.3144595176</v>
      </c>
      <c r="C96" s="1">
        <v>2653484.6089055147</v>
      </c>
      <c r="D96" s="1"/>
      <c r="E96" s="1"/>
      <c r="F96" s="1"/>
      <c r="G96" s="1"/>
      <c r="H96" s="1"/>
      <c r="I96" s="1"/>
      <c r="J96" s="1"/>
      <c r="K96" s="1">
        <v>1098860.3392419545</v>
      </c>
      <c r="L96" s="1"/>
      <c r="M96" s="1"/>
      <c r="N96" s="1"/>
      <c r="O96" s="1"/>
      <c r="P96" s="1"/>
      <c r="Q96" s="1"/>
      <c r="R96" s="1"/>
      <c r="S96" s="1"/>
      <c r="T96" s="1"/>
      <c r="U96" s="1">
        <v>1146729.3439684273</v>
      </c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>
        <v>2903215.5550479116</v>
      </c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>
        <v>977059.85342301661</v>
      </c>
      <c r="AU96" s="1"/>
      <c r="AV96" s="1"/>
      <c r="AW96" s="1"/>
      <c r="AX96" s="1"/>
      <c r="AY96" s="1"/>
      <c r="AZ96" s="1"/>
      <c r="BA96" s="1"/>
      <c r="BB96" s="1"/>
      <c r="BC96" s="1">
        <v>657709.61387269222</v>
      </c>
      <c r="BD96" s="1"/>
      <c r="BE96" s="1"/>
      <c r="BF96" s="1"/>
      <c r="BG96" s="1"/>
      <c r="BH96" s="1"/>
      <c r="BI96" s="4">
        <v>5910017.5416987259</v>
      </c>
      <c r="BJ96" s="2">
        <v>590535.51773146156</v>
      </c>
      <c r="BK96" s="2"/>
      <c r="BL96" s="2"/>
      <c r="BM96" s="2"/>
      <c r="BN96" s="2"/>
      <c r="BO96" s="2"/>
      <c r="BP96" s="2"/>
      <c r="BQ96" s="1">
        <v>518941.96820644609</v>
      </c>
      <c r="BR96" s="2"/>
      <c r="BS96" s="2"/>
      <c r="BT96" s="2"/>
      <c r="BU96" s="2"/>
      <c r="BV96" s="2"/>
      <c r="BW96" s="2"/>
      <c r="BX96" s="2"/>
      <c r="BY96" s="2"/>
      <c r="BZ96" s="1">
        <v>991845.41000037477</v>
      </c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1">
        <v>365482.20719135471</v>
      </c>
      <c r="CU96" s="2"/>
      <c r="CV96" s="2"/>
      <c r="CW96" s="2"/>
      <c r="CX96" s="1">
        <v>1164851.1401745428</v>
      </c>
      <c r="CY96" s="2"/>
      <c r="CZ96" s="2"/>
      <c r="DA96" s="2"/>
      <c r="DB96" s="2"/>
      <c r="DC96" s="2"/>
      <c r="DD96" s="2"/>
      <c r="DE96" s="1">
        <v>652136.56362583092</v>
      </c>
      <c r="DF96" s="2"/>
      <c r="DG96" s="2"/>
      <c r="DH96" s="2"/>
      <c r="DI96" s="2"/>
      <c r="DJ96" s="2"/>
      <c r="DK96" s="2"/>
      <c r="DL96" s="1">
        <v>767736.67061330529</v>
      </c>
      <c r="DM96" s="2"/>
      <c r="DN96" s="2"/>
      <c r="DO96" s="2"/>
      <c r="DP96" s="2"/>
      <c r="DQ96" s="2"/>
      <c r="DR96" s="2"/>
      <c r="DS96" s="1">
        <v>370396.94051302032</v>
      </c>
      <c r="DT96" s="2"/>
      <c r="DU96" s="2"/>
      <c r="DV96" s="2"/>
      <c r="DW96" s="2"/>
      <c r="DX96" s="2"/>
      <c r="DY96" s="2"/>
      <c r="DZ96" s="2"/>
      <c r="EA96" s="2"/>
      <c r="EB96" s="1">
        <v>43387.813210865053</v>
      </c>
      <c r="EC96" s="2"/>
      <c r="ED96" s="2"/>
      <c r="EE96" s="1">
        <v>96990.522784617744</v>
      </c>
      <c r="EF96" s="2"/>
      <c r="EG96" s="1">
        <v>347712.78764690523</v>
      </c>
      <c r="EH96" s="2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4"/>
      <c r="HX96" s="2">
        <v>1390693.7951159168</v>
      </c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1">
        <v>2117339.6412863969</v>
      </c>
      <c r="LP96" s="1"/>
      <c r="LQ96" s="1"/>
      <c r="LR96" s="1"/>
      <c r="LS96" s="1"/>
      <c r="LT96" s="1"/>
      <c r="LU96" s="1">
        <v>1558305.1622135462</v>
      </c>
      <c r="LV96" s="1"/>
      <c r="LW96" s="1"/>
      <c r="LX96" s="1"/>
      <c r="LY96" s="1"/>
      <c r="LZ96" s="1"/>
      <c r="MA96" s="1"/>
      <c r="MB96" s="1"/>
      <c r="MC96" s="1"/>
      <c r="MD96" s="1"/>
      <c r="ME96" s="1"/>
    </row>
    <row r="97" spans="1:343">
      <c r="A97" s="1">
        <v>1460</v>
      </c>
      <c r="B97" s="1">
        <v>9471615.4647802114</v>
      </c>
      <c r="C97" s="1">
        <v>2662506.4565757937</v>
      </c>
      <c r="D97" s="1"/>
      <c r="E97" s="1"/>
      <c r="F97" s="1"/>
      <c r="G97" s="1"/>
      <c r="H97" s="1"/>
      <c r="I97" s="1"/>
      <c r="J97" s="1"/>
      <c r="K97" s="1">
        <v>1103805.2107685432</v>
      </c>
      <c r="L97" s="1"/>
      <c r="M97" s="1"/>
      <c r="N97" s="1"/>
      <c r="O97" s="1"/>
      <c r="P97" s="1"/>
      <c r="Q97" s="1"/>
      <c r="R97" s="1"/>
      <c r="S97" s="1"/>
      <c r="T97" s="1"/>
      <c r="U97" s="1">
        <v>1151889.626016285</v>
      </c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>
        <v>2913086.4879350746</v>
      </c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>
        <v>980381.85692465492</v>
      </c>
      <c r="AU97" s="1"/>
      <c r="AV97" s="1"/>
      <c r="AW97" s="1"/>
      <c r="AX97" s="1"/>
      <c r="AY97" s="1"/>
      <c r="AZ97" s="1"/>
      <c r="BA97" s="1"/>
      <c r="BB97" s="1"/>
      <c r="BC97" s="1">
        <v>659945.82655985944</v>
      </c>
      <c r="BD97" s="1"/>
      <c r="BE97" s="1"/>
      <c r="BF97" s="1"/>
      <c r="BG97" s="1"/>
      <c r="BH97" s="1"/>
      <c r="BI97" s="4">
        <v>5935221.9854145758</v>
      </c>
      <c r="BJ97" s="2">
        <v>592956.71335416054</v>
      </c>
      <c r="BK97" s="2"/>
      <c r="BL97" s="2"/>
      <c r="BM97" s="2"/>
      <c r="BN97" s="2"/>
      <c r="BO97" s="2"/>
      <c r="BP97" s="2"/>
      <c r="BQ97" s="1">
        <v>520343.11152060347</v>
      </c>
      <c r="BR97" s="2"/>
      <c r="BS97" s="2"/>
      <c r="BT97" s="2"/>
      <c r="BU97" s="2"/>
      <c r="BV97" s="2"/>
      <c r="BW97" s="2"/>
      <c r="BX97" s="2"/>
      <c r="BY97" s="2"/>
      <c r="BZ97" s="1">
        <v>998788.32787037734</v>
      </c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1">
        <v>366724.84669580532</v>
      </c>
      <c r="CU97" s="2"/>
      <c r="CV97" s="2"/>
      <c r="CW97" s="2"/>
      <c r="CX97" s="1">
        <v>1168811.6340511362</v>
      </c>
      <c r="CY97" s="2"/>
      <c r="CZ97" s="2"/>
      <c r="DA97" s="2"/>
      <c r="DB97" s="2"/>
      <c r="DC97" s="2"/>
      <c r="DD97" s="2"/>
      <c r="DE97" s="1">
        <v>654353.82794215879</v>
      </c>
      <c r="DF97" s="2"/>
      <c r="DG97" s="2"/>
      <c r="DH97" s="2"/>
      <c r="DI97" s="2"/>
      <c r="DJ97" s="2"/>
      <c r="DK97" s="2"/>
      <c r="DL97" s="1">
        <v>770346.97529339057</v>
      </c>
      <c r="DM97" s="2"/>
      <c r="DN97" s="2"/>
      <c r="DO97" s="2"/>
      <c r="DP97" s="2"/>
      <c r="DQ97" s="2"/>
      <c r="DR97" s="2"/>
      <c r="DS97" s="1">
        <v>372989.71909661143</v>
      </c>
      <c r="DT97" s="2"/>
      <c r="DU97" s="2"/>
      <c r="DV97" s="2"/>
      <c r="DW97" s="2"/>
      <c r="DX97" s="2"/>
      <c r="DY97" s="2"/>
      <c r="DZ97" s="2"/>
      <c r="EA97" s="2"/>
      <c r="EB97" s="1">
        <v>43691.527903341106</v>
      </c>
      <c r="EC97" s="2"/>
      <c r="ED97" s="2"/>
      <c r="EE97" s="1">
        <v>97320.290562085458</v>
      </c>
      <c r="EF97" s="2"/>
      <c r="EG97" s="1">
        <v>348895.01112490473</v>
      </c>
      <c r="EH97" s="2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4"/>
      <c r="HX97" s="2">
        <v>1396951.9171939383</v>
      </c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1">
        <v>2124538.5960667706</v>
      </c>
      <c r="LP97" s="1"/>
      <c r="LQ97" s="1"/>
      <c r="LR97" s="1"/>
      <c r="LS97" s="1"/>
      <c r="LT97" s="1"/>
      <c r="LU97" s="1">
        <v>1563603.3997650724</v>
      </c>
      <c r="LV97" s="1"/>
      <c r="LW97" s="1"/>
      <c r="LX97" s="1"/>
      <c r="LY97" s="1"/>
      <c r="LZ97" s="1"/>
      <c r="MA97" s="1"/>
      <c r="MB97" s="1"/>
      <c r="MC97" s="1"/>
      <c r="MD97" s="1"/>
      <c r="ME97" s="1"/>
    </row>
    <row r="98" spans="1:343">
      <c r="A98" s="1">
        <v>1461</v>
      </c>
      <c r="B98" s="1">
        <v>9506300.221680928</v>
      </c>
      <c r="C98" s="1">
        <v>2671558.9785281518</v>
      </c>
      <c r="D98" s="1"/>
      <c r="E98" s="1"/>
      <c r="F98" s="1"/>
      <c r="G98" s="1"/>
      <c r="H98" s="1"/>
      <c r="I98" s="1"/>
      <c r="J98" s="1"/>
      <c r="K98" s="1">
        <v>1108772.3342170017</v>
      </c>
      <c r="L98" s="1"/>
      <c r="M98" s="1"/>
      <c r="N98" s="1"/>
      <c r="O98" s="1"/>
      <c r="P98" s="1"/>
      <c r="Q98" s="1"/>
      <c r="R98" s="1"/>
      <c r="S98" s="1"/>
      <c r="T98" s="1"/>
      <c r="U98" s="1">
        <v>1157073.1293333583</v>
      </c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>
        <v>2922990.9819940543</v>
      </c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>
        <v>983715.15523819881</v>
      </c>
      <c r="AU98" s="1"/>
      <c r="AV98" s="1"/>
      <c r="AW98" s="1"/>
      <c r="AX98" s="1"/>
      <c r="AY98" s="1"/>
      <c r="AZ98" s="1"/>
      <c r="BA98" s="1"/>
      <c r="BB98" s="1"/>
      <c r="BC98" s="1">
        <v>662189.642370163</v>
      </c>
      <c r="BD98" s="1"/>
      <c r="BE98" s="1"/>
      <c r="BF98" s="1"/>
      <c r="BG98" s="1"/>
      <c r="BH98" s="1"/>
      <c r="BI98" s="4">
        <v>5960548.2601558007</v>
      </c>
      <c r="BJ98" s="2">
        <v>595387.83587891259</v>
      </c>
      <c r="BK98" s="2"/>
      <c r="BL98" s="2"/>
      <c r="BM98" s="2"/>
      <c r="BN98" s="2"/>
      <c r="BO98" s="2"/>
      <c r="BP98" s="2"/>
      <c r="BQ98" s="1">
        <v>521748.03792170907</v>
      </c>
      <c r="BR98" s="2"/>
      <c r="BS98" s="2"/>
      <c r="BT98" s="2"/>
      <c r="BU98" s="2"/>
      <c r="BV98" s="2"/>
      <c r="BW98" s="2"/>
      <c r="BX98" s="2"/>
      <c r="BY98" s="2"/>
      <c r="BZ98" s="1">
        <v>1005779.8461654698</v>
      </c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1">
        <v>367971.71117457107</v>
      </c>
      <c r="CU98" s="2"/>
      <c r="CV98" s="2"/>
      <c r="CW98" s="2"/>
      <c r="CX98" s="1">
        <v>1172785.5936069102</v>
      </c>
      <c r="CY98" s="2"/>
      <c r="CZ98" s="2"/>
      <c r="DA98" s="2"/>
      <c r="DB98" s="2"/>
      <c r="DC98" s="2"/>
      <c r="DD98" s="2"/>
      <c r="DE98" s="1">
        <v>656578.63095716212</v>
      </c>
      <c r="DF98" s="2"/>
      <c r="DG98" s="2"/>
      <c r="DH98" s="2"/>
      <c r="DI98" s="2"/>
      <c r="DJ98" s="2"/>
      <c r="DK98" s="2"/>
      <c r="DL98" s="1">
        <v>772966.15500938811</v>
      </c>
      <c r="DM98" s="2"/>
      <c r="DN98" s="2"/>
      <c r="DO98" s="2"/>
      <c r="DP98" s="2"/>
      <c r="DQ98" s="2"/>
      <c r="DR98" s="2"/>
      <c r="DS98" s="1">
        <v>375600.64713028766</v>
      </c>
      <c r="DT98" s="2"/>
      <c r="DU98" s="2"/>
      <c r="DV98" s="2"/>
      <c r="DW98" s="2"/>
      <c r="DX98" s="2"/>
      <c r="DY98" s="2"/>
      <c r="DZ98" s="2"/>
      <c r="EA98" s="2"/>
      <c r="EB98" s="1">
        <v>43997.368598664492</v>
      </c>
      <c r="EC98" s="2"/>
      <c r="ED98" s="2"/>
      <c r="EE98" s="1">
        <v>97651.179549996552</v>
      </c>
      <c r="EF98" s="2"/>
      <c r="EG98" s="1">
        <v>350081.25416272943</v>
      </c>
      <c r="EH98" s="2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4"/>
      <c r="HX98" s="2">
        <v>1403238.200821311</v>
      </c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1">
        <v>2131762.0272933976</v>
      </c>
      <c r="LP98" s="1"/>
      <c r="LQ98" s="1"/>
      <c r="LR98" s="1"/>
      <c r="LS98" s="1"/>
      <c r="LT98" s="1"/>
      <c r="LU98" s="1">
        <v>1568919.6513242738</v>
      </c>
      <c r="LV98" s="1"/>
      <c r="LW98" s="1"/>
      <c r="LX98" s="1"/>
      <c r="LY98" s="1"/>
      <c r="LZ98" s="1"/>
      <c r="MA98" s="1"/>
      <c r="MB98" s="1"/>
      <c r="MC98" s="1"/>
      <c r="MD98" s="1"/>
      <c r="ME98" s="1"/>
    </row>
    <row r="99" spans="1:343">
      <c r="A99" s="1">
        <v>1462</v>
      </c>
      <c r="B99" s="1">
        <v>9541114.0724445488</v>
      </c>
      <c r="C99" s="1">
        <v>2680642.2790551474</v>
      </c>
      <c r="D99" s="1"/>
      <c r="E99" s="1"/>
      <c r="F99" s="1"/>
      <c r="G99" s="1"/>
      <c r="H99" s="1"/>
      <c r="I99" s="1"/>
      <c r="J99" s="1"/>
      <c r="K99" s="1">
        <v>1113761.8097209781</v>
      </c>
      <c r="L99" s="1"/>
      <c r="M99" s="1"/>
      <c r="N99" s="1"/>
      <c r="O99" s="1"/>
      <c r="P99" s="1"/>
      <c r="Q99" s="1"/>
      <c r="R99" s="1"/>
      <c r="S99" s="1"/>
      <c r="T99" s="1"/>
      <c r="U99" s="1">
        <v>1162279.9584153583</v>
      </c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>
        <v>2932929.1513328343</v>
      </c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>
        <v>987059.78676600871</v>
      </c>
      <c r="AU99" s="1"/>
      <c r="AV99" s="1"/>
      <c r="AW99" s="1"/>
      <c r="AX99" s="1"/>
      <c r="AY99" s="1"/>
      <c r="AZ99" s="1"/>
      <c r="BA99" s="1"/>
      <c r="BB99" s="1"/>
      <c r="BC99" s="1">
        <v>664441.0871542216</v>
      </c>
      <c r="BD99" s="1"/>
      <c r="BE99" s="1"/>
      <c r="BF99" s="1"/>
      <c r="BG99" s="1"/>
      <c r="BH99" s="1"/>
      <c r="BI99" s="4">
        <v>5985997.032401721</v>
      </c>
      <c r="BJ99" s="2">
        <v>597828.92600601609</v>
      </c>
      <c r="BK99" s="2"/>
      <c r="BL99" s="2"/>
      <c r="BM99" s="2"/>
      <c r="BN99" s="2"/>
      <c r="BO99" s="2"/>
      <c r="BP99" s="2"/>
      <c r="BQ99" s="1">
        <v>523156.75762409763</v>
      </c>
      <c r="BR99" s="2"/>
      <c r="BS99" s="2"/>
      <c r="BT99" s="2"/>
      <c r="BU99" s="2"/>
      <c r="BV99" s="2"/>
      <c r="BW99" s="2"/>
      <c r="BX99" s="2"/>
      <c r="BY99" s="2"/>
      <c r="BZ99" s="1">
        <v>1012820.3050886281</v>
      </c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1">
        <v>369222.81499256461</v>
      </c>
      <c r="CU99" s="2"/>
      <c r="CV99" s="2"/>
      <c r="CW99" s="2"/>
      <c r="CX99" s="1">
        <v>1176773.0646251738</v>
      </c>
      <c r="CY99" s="2"/>
      <c r="CZ99" s="2"/>
      <c r="DA99" s="2"/>
      <c r="DB99" s="2"/>
      <c r="DC99" s="2"/>
      <c r="DD99" s="2"/>
      <c r="DE99" s="1">
        <v>658810.99830241653</v>
      </c>
      <c r="DF99" s="2"/>
      <c r="DG99" s="2"/>
      <c r="DH99" s="2"/>
      <c r="DI99" s="2"/>
      <c r="DJ99" s="2"/>
      <c r="DK99" s="2"/>
      <c r="DL99" s="1">
        <v>775594.23993642011</v>
      </c>
      <c r="DM99" s="2"/>
      <c r="DN99" s="2"/>
      <c r="DO99" s="2"/>
      <c r="DP99" s="2"/>
      <c r="DQ99" s="2"/>
      <c r="DR99" s="2"/>
      <c r="DS99" s="1">
        <v>378229.85166019964</v>
      </c>
      <c r="DT99" s="2"/>
      <c r="DU99" s="2"/>
      <c r="DV99" s="2"/>
      <c r="DW99" s="2"/>
      <c r="DX99" s="2"/>
      <c r="DY99" s="2"/>
      <c r="DZ99" s="2"/>
      <c r="EA99" s="2"/>
      <c r="EB99" s="1">
        <v>44305.350178855137</v>
      </c>
      <c r="EC99" s="2"/>
      <c r="ED99" s="2"/>
      <c r="EE99" s="1">
        <v>97983.193560466549</v>
      </c>
      <c r="EF99" s="2"/>
      <c r="EG99" s="1">
        <v>351271.53042688273</v>
      </c>
      <c r="EH99" s="2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4"/>
      <c r="HX99" s="2">
        <v>1409552.7727250068</v>
      </c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1">
        <v>2139010.0181861953</v>
      </c>
      <c r="LP99" s="1"/>
      <c r="LQ99" s="1"/>
      <c r="LR99" s="1"/>
      <c r="LS99" s="1"/>
      <c r="LT99" s="1"/>
      <c r="LU99" s="1">
        <v>1574253.9781387765</v>
      </c>
      <c r="LV99" s="1"/>
      <c r="LW99" s="1"/>
      <c r="LX99" s="1"/>
      <c r="LY99" s="1"/>
      <c r="LZ99" s="1"/>
      <c r="MA99" s="1"/>
      <c r="MB99" s="1"/>
      <c r="MC99" s="1"/>
      <c r="MD99" s="1"/>
      <c r="ME99" s="1"/>
    </row>
    <row r="100" spans="1:343">
      <c r="A100" s="1">
        <v>1463</v>
      </c>
      <c r="B100" s="1">
        <v>9576057.50623581</v>
      </c>
      <c r="C100" s="1">
        <v>2689756.4628039352</v>
      </c>
      <c r="D100" s="1"/>
      <c r="E100" s="1"/>
      <c r="F100" s="1"/>
      <c r="G100" s="1"/>
      <c r="H100" s="1"/>
      <c r="I100" s="1"/>
      <c r="J100" s="1"/>
      <c r="K100" s="1">
        <v>1118773.7378647225</v>
      </c>
      <c r="L100" s="1"/>
      <c r="M100" s="1"/>
      <c r="N100" s="1"/>
      <c r="O100" s="1"/>
      <c r="P100" s="1"/>
      <c r="Q100" s="1"/>
      <c r="R100" s="1"/>
      <c r="S100" s="1"/>
      <c r="T100" s="1"/>
      <c r="U100" s="1">
        <v>1167510.2182282275</v>
      </c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>
        <v>2942901.1104473663</v>
      </c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>
        <v>990415.79004101316</v>
      </c>
      <c r="AU100" s="1"/>
      <c r="AV100" s="1"/>
      <c r="AW100" s="1"/>
      <c r="AX100" s="1"/>
      <c r="AY100" s="1"/>
      <c r="AZ100" s="1"/>
      <c r="BA100" s="1"/>
      <c r="BB100" s="1"/>
      <c r="BC100" s="1">
        <v>666700.18685054604</v>
      </c>
      <c r="BD100" s="1"/>
      <c r="BE100" s="1"/>
      <c r="BF100" s="1"/>
      <c r="BG100" s="1"/>
      <c r="BH100" s="1"/>
      <c r="BI100" s="4">
        <v>6011568.9726546938</v>
      </c>
      <c r="BJ100" s="2">
        <v>600280.02460264077</v>
      </c>
      <c r="BK100" s="2"/>
      <c r="BL100" s="2"/>
      <c r="BM100" s="2"/>
      <c r="BN100" s="2"/>
      <c r="BO100" s="2"/>
      <c r="BP100" s="2"/>
      <c r="BQ100" s="1">
        <v>524569.28086968267</v>
      </c>
      <c r="BR100" s="2"/>
      <c r="BS100" s="2"/>
      <c r="BT100" s="2"/>
      <c r="BU100" s="2"/>
      <c r="BV100" s="2"/>
      <c r="BW100" s="2"/>
      <c r="BX100" s="2"/>
      <c r="BY100" s="2"/>
      <c r="BZ100" s="1">
        <v>1019910.0472242484</v>
      </c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1">
        <v>370478.17256353935</v>
      </c>
      <c r="CU100" s="2"/>
      <c r="CV100" s="2"/>
      <c r="CW100" s="2"/>
      <c r="CX100" s="1">
        <v>1180774.0930448994</v>
      </c>
      <c r="CY100" s="2"/>
      <c r="CZ100" s="2"/>
      <c r="DA100" s="2"/>
      <c r="DB100" s="2"/>
      <c r="DC100" s="2"/>
      <c r="DD100" s="2"/>
      <c r="DE100" s="1">
        <v>661050.95569664484</v>
      </c>
      <c r="DF100" s="2"/>
      <c r="DG100" s="2"/>
      <c r="DH100" s="2"/>
      <c r="DI100" s="2"/>
      <c r="DJ100" s="2"/>
      <c r="DK100" s="2"/>
      <c r="DL100" s="1">
        <v>778231.26035220397</v>
      </c>
      <c r="DM100" s="2"/>
      <c r="DN100" s="2"/>
      <c r="DO100" s="2"/>
      <c r="DP100" s="2"/>
      <c r="DQ100" s="2"/>
      <c r="DR100" s="2"/>
      <c r="DS100" s="1">
        <v>380877.460621821</v>
      </c>
      <c r="DT100" s="2"/>
      <c r="DU100" s="2"/>
      <c r="DV100" s="2"/>
      <c r="DW100" s="2"/>
      <c r="DX100" s="2"/>
      <c r="DY100" s="2"/>
      <c r="DZ100" s="2"/>
      <c r="EA100" s="2"/>
      <c r="EB100" s="1">
        <v>44615.48763010712</v>
      </c>
      <c r="EC100" s="2"/>
      <c r="ED100" s="2"/>
      <c r="EE100" s="1">
        <v>98316.336418572144</v>
      </c>
      <c r="EF100" s="2"/>
      <c r="EG100" s="1">
        <v>352465.85363033414</v>
      </c>
      <c r="EH100" s="2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4"/>
      <c r="HX100" s="2">
        <v>1415895.7602022693</v>
      </c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1">
        <v>2146282.6522480287</v>
      </c>
      <c r="LP100" s="1"/>
      <c r="LQ100" s="1"/>
      <c r="LR100" s="1"/>
      <c r="LS100" s="1"/>
      <c r="LT100" s="1"/>
      <c r="LU100" s="1">
        <v>1579606.4416644485</v>
      </c>
      <c r="LV100" s="1"/>
      <c r="LW100" s="1"/>
      <c r="LX100" s="1"/>
      <c r="LY100" s="1"/>
      <c r="LZ100" s="1"/>
      <c r="MA100" s="1"/>
      <c r="MB100" s="1"/>
      <c r="MC100" s="1"/>
      <c r="MD100" s="1"/>
      <c r="ME100" s="1"/>
    </row>
    <row r="101" spans="1:343">
      <c r="A101" s="1">
        <v>1464</v>
      </c>
      <c r="B101" s="1">
        <v>9611131.0141087137</v>
      </c>
      <c r="C101" s="1">
        <v>2698901.6347774686</v>
      </c>
      <c r="D101" s="1"/>
      <c r="E101" s="1"/>
      <c r="F101" s="1"/>
      <c r="G101" s="1"/>
      <c r="H101" s="1"/>
      <c r="I101" s="1"/>
      <c r="J101" s="1"/>
      <c r="K101" s="1">
        <v>1123808.2196851138</v>
      </c>
      <c r="L101" s="1"/>
      <c r="M101" s="1"/>
      <c r="N101" s="1"/>
      <c r="O101" s="1"/>
      <c r="P101" s="1"/>
      <c r="Q101" s="1"/>
      <c r="R101" s="1"/>
      <c r="S101" s="1"/>
      <c r="T101" s="1"/>
      <c r="U101" s="1">
        <v>1172764.0142102544</v>
      </c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>
        <v>2952906.9742228873</v>
      </c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>
        <v>993783.20372715266</v>
      </c>
      <c r="AU101" s="1"/>
      <c r="AV101" s="1"/>
      <c r="AW101" s="1"/>
      <c r="AX101" s="1"/>
      <c r="AY101" s="1"/>
      <c r="AZ101" s="1"/>
      <c r="BA101" s="1"/>
      <c r="BB101" s="1"/>
      <c r="BC101" s="1">
        <v>668966.96748583799</v>
      </c>
      <c r="BD101" s="1"/>
      <c r="BE101" s="1"/>
      <c r="BF101" s="1"/>
      <c r="BG101" s="1"/>
      <c r="BH101" s="1"/>
      <c r="BI101" s="4">
        <v>6037264.7554660467</v>
      </c>
      <c r="BJ101" s="2">
        <v>602741.17270351155</v>
      </c>
      <c r="BK101" s="2"/>
      <c r="BL101" s="2"/>
      <c r="BM101" s="2"/>
      <c r="BN101" s="2"/>
      <c r="BO101" s="2"/>
      <c r="BP101" s="2"/>
      <c r="BQ101" s="1">
        <v>525985.61792803078</v>
      </c>
      <c r="BR101" s="2"/>
      <c r="BS101" s="2"/>
      <c r="BT101" s="2"/>
      <c r="BU101" s="2"/>
      <c r="BV101" s="2"/>
      <c r="BW101" s="2"/>
      <c r="BX101" s="2"/>
      <c r="BY101" s="2"/>
      <c r="BZ101" s="1">
        <v>1027049.4175548181</v>
      </c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1">
        <v>371737.79835025541</v>
      </c>
      <c r="CU101" s="2"/>
      <c r="CV101" s="2"/>
      <c r="CW101" s="2"/>
      <c r="CX101" s="1">
        <v>1184788.7249612522</v>
      </c>
      <c r="CY101" s="2"/>
      <c r="CZ101" s="2"/>
      <c r="DA101" s="2"/>
      <c r="DB101" s="2"/>
      <c r="DC101" s="2"/>
      <c r="DD101" s="2"/>
      <c r="DE101" s="1">
        <v>663298.52894601354</v>
      </c>
      <c r="DF101" s="2"/>
      <c r="DG101" s="2"/>
      <c r="DH101" s="2"/>
      <c r="DI101" s="2"/>
      <c r="DJ101" s="2"/>
      <c r="DK101" s="2"/>
      <c r="DL101" s="1">
        <v>780877.24663740152</v>
      </c>
      <c r="DM101" s="2"/>
      <c r="DN101" s="2"/>
      <c r="DO101" s="2"/>
      <c r="DP101" s="2"/>
      <c r="DQ101" s="2"/>
      <c r="DR101" s="2"/>
      <c r="DS101" s="1">
        <v>383543.60284617369</v>
      </c>
      <c r="DT101" s="2"/>
      <c r="DU101" s="2"/>
      <c r="DV101" s="2"/>
      <c r="DW101" s="2"/>
      <c r="DX101" s="2"/>
      <c r="DY101" s="2"/>
      <c r="DZ101" s="2"/>
      <c r="EA101" s="2"/>
      <c r="EB101" s="1">
        <v>44927.796043517868</v>
      </c>
      <c r="EC101" s="2"/>
      <c r="ED101" s="2"/>
      <c r="EE101" s="1">
        <v>98650.611962395298</v>
      </c>
      <c r="EF101" s="2"/>
      <c r="EG101" s="1">
        <v>353664.2375326773</v>
      </c>
      <c r="EH101" s="2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4"/>
      <c r="HX101" s="2">
        <v>1422267.2911231795</v>
      </c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1">
        <v>2153580.0132656721</v>
      </c>
      <c r="LP101" s="1"/>
      <c r="LQ101" s="1"/>
      <c r="LR101" s="1"/>
      <c r="LS101" s="1"/>
      <c r="LT101" s="1"/>
      <c r="LU101" s="1">
        <v>1584977.1035661078</v>
      </c>
      <c r="LV101" s="1"/>
      <c r="LW101" s="1"/>
      <c r="LX101" s="1"/>
      <c r="LY101" s="1"/>
      <c r="LZ101" s="1"/>
      <c r="MA101" s="1"/>
      <c r="MB101" s="1"/>
      <c r="MC101" s="1"/>
      <c r="MD101" s="1"/>
      <c r="ME101" s="1"/>
    </row>
    <row r="102" spans="1:343">
      <c r="A102" s="1">
        <v>1465</v>
      </c>
      <c r="B102" s="1">
        <v>9646335.0890139695</v>
      </c>
      <c r="C102" s="1">
        <v>2708077.9003357124</v>
      </c>
      <c r="D102" s="1"/>
      <c r="E102" s="1"/>
      <c r="F102" s="1"/>
      <c r="G102" s="1"/>
      <c r="H102" s="1"/>
      <c r="I102" s="1"/>
      <c r="J102" s="1"/>
      <c r="K102" s="1">
        <v>1128865.3566736968</v>
      </c>
      <c r="L102" s="1"/>
      <c r="M102" s="1"/>
      <c r="N102" s="1"/>
      <c r="O102" s="1"/>
      <c r="P102" s="1"/>
      <c r="Q102" s="1"/>
      <c r="R102" s="1"/>
      <c r="S102" s="1"/>
      <c r="T102" s="1"/>
      <c r="U102" s="1">
        <v>1178041.4522742005</v>
      </c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>
        <v>2962946.8579352451</v>
      </c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>
        <v>997162.06661982508</v>
      </c>
      <c r="AU102" s="1"/>
      <c r="AV102" s="1"/>
      <c r="AW102" s="1"/>
      <c r="AX102" s="1"/>
      <c r="AY102" s="1"/>
      <c r="AZ102" s="1"/>
      <c r="BA102" s="1"/>
      <c r="BB102" s="1"/>
      <c r="BC102" s="1">
        <v>671241.45517528988</v>
      </c>
      <c r="BD102" s="1"/>
      <c r="BE102" s="1"/>
      <c r="BF102" s="1"/>
      <c r="BG102" s="1"/>
      <c r="BH102" s="1"/>
      <c r="BI102" s="4">
        <v>6063085.0594621748</v>
      </c>
      <c r="BJ102" s="2">
        <v>605212.41151159594</v>
      </c>
      <c r="BK102" s="2"/>
      <c r="BL102" s="2"/>
      <c r="BM102" s="2"/>
      <c r="BN102" s="2"/>
      <c r="BO102" s="2"/>
      <c r="BP102" s="2"/>
      <c r="BQ102" s="1">
        <v>527405.77909643645</v>
      </c>
      <c r="BR102" s="2"/>
      <c r="BS102" s="2"/>
      <c r="BT102" s="2"/>
      <c r="BU102" s="2"/>
      <c r="BV102" s="2"/>
      <c r="BW102" s="2"/>
      <c r="BX102" s="2"/>
      <c r="BY102" s="2"/>
      <c r="BZ102" s="1">
        <v>1034238.7634777017</v>
      </c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1">
        <v>373001.70686464629</v>
      </c>
      <c r="CU102" s="2"/>
      <c r="CV102" s="2"/>
      <c r="CW102" s="2"/>
      <c r="CX102" s="1">
        <v>1188817.0066261205</v>
      </c>
      <c r="CY102" s="2"/>
      <c r="CZ102" s="2"/>
      <c r="DA102" s="2"/>
      <c r="DB102" s="2"/>
      <c r="DC102" s="2"/>
      <c r="DD102" s="2"/>
      <c r="DE102" s="1">
        <v>665553.74394443003</v>
      </c>
      <c r="DF102" s="2"/>
      <c r="DG102" s="2"/>
      <c r="DH102" s="2"/>
      <c r="DI102" s="2"/>
      <c r="DJ102" s="2"/>
      <c r="DK102" s="2"/>
      <c r="DL102" s="1">
        <v>783532.22927596874</v>
      </c>
      <c r="DM102" s="2"/>
      <c r="DN102" s="2"/>
      <c r="DO102" s="2"/>
      <c r="DP102" s="2"/>
      <c r="DQ102" s="2"/>
      <c r="DR102" s="2"/>
      <c r="DS102" s="1">
        <v>386228.40806609689</v>
      </c>
      <c r="DT102" s="2"/>
      <c r="DU102" s="2"/>
      <c r="DV102" s="2"/>
      <c r="DW102" s="2"/>
      <c r="DX102" s="2"/>
      <c r="DY102" s="2"/>
      <c r="DZ102" s="2"/>
      <c r="EA102" s="2"/>
      <c r="EB102" s="1">
        <v>45242.290615822487</v>
      </c>
      <c r="EC102" s="2"/>
      <c r="ED102" s="2"/>
      <c r="EE102" s="1">
        <v>98986.024043067446</v>
      </c>
      <c r="EF102" s="2"/>
      <c r="EG102" s="1">
        <v>354866.69594028842</v>
      </c>
      <c r="EH102" s="2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4"/>
      <c r="HX102" s="2">
        <v>1428667.4939332337</v>
      </c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1">
        <v>2160902.1853107754</v>
      </c>
      <c r="LP102" s="1"/>
      <c r="LQ102" s="1"/>
      <c r="LR102" s="1"/>
      <c r="LS102" s="1"/>
      <c r="LT102" s="1"/>
      <c r="LU102" s="1">
        <v>1590366.0257182326</v>
      </c>
      <c r="LV102" s="1"/>
      <c r="LW102" s="1"/>
      <c r="LX102" s="1"/>
      <c r="LY102" s="1"/>
      <c r="LZ102" s="1"/>
      <c r="MA102" s="1"/>
      <c r="MB102" s="1"/>
      <c r="MC102" s="1"/>
      <c r="MD102" s="1"/>
      <c r="ME102" s="1"/>
    </row>
    <row r="103" spans="1:343">
      <c r="A103" s="1">
        <v>1466</v>
      </c>
      <c r="B103" s="1">
        <v>9681670.2258064579</v>
      </c>
      <c r="C103" s="1">
        <v>2717285.3651968539</v>
      </c>
      <c r="D103" s="1"/>
      <c r="E103" s="1"/>
      <c r="F103" s="1"/>
      <c r="G103" s="1"/>
      <c r="H103" s="1"/>
      <c r="I103" s="1"/>
      <c r="J103" s="1"/>
      <c r="K103" s="1">
        <v>1133945.2507787284</v>
      </c>
      <c r="L103" s="1"/>
      <c r="M103" s="1"/>
      <c r="N103" s="1"/>
      <c r="O103" s="1"/>
      <c r="P103" s="1"/>
      <c r="Q103" s="1"/>
      <c r="R103" s="1"/>
      <c r="S103" s="1"/>
      <c r="T103" s="1"/>
      <c r="U103" s="1">
        <v>1183342.6388094344</v>
      </c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>
        <v>2973020.8772522253</v>
      </c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>
        <v>1000552.4176463325</v>
      </c>
      <c r="AU103" s="1"/>
      <c r="AV103" s="1"/>
      <c r="AW103" s="1"/>
      <c r="AX103" s="1"/>
      <c r="AY103" s="1"/>
      <c r="AZ103" s="1"/>
      <c r="BA103" s="1"/>
      <c r="BB103" s="1"/>
      <c r="BC103" s="1">
        <v>673523.6761228859</v>
      </c>
      <c r="BD103" s="1"/>
      <c r="BE103" s="1"/>
      <c r="BF103" s="1"/>
      <c r="BG103" s="1"/>
      <c r="BH103" s="1"/>
      <c r="BI103" s="4">
        <v>6089030.5673708115</v>
      </c>
      <c r="BJ103" s="2">
        <v>607693.7823987935</v>
      </c>
      <c r="BK103" s="2"/>
      <c r="BL103" s="2"/>
      <c r="BM103" s="2"/>
      <c r="BN103" s="2"/>
      <c r="BO103" s="2"/>
      <c r="BP103" s="2"/>
      <c r="BQ103" s="1">
        <v>528829.77469999681</v>
      </c>
      <c r="BR103" s="2"/>
      <c r="BS103" s="2"/>
      <c r="BT103" s="2"/>
      <c r="BU103" s="2"/>
      <c r="BV103" s="2"/>
      <c r="BW103" s="2"/>
      <c r="BX103" s="2"/>
      <c r="BY103" s="2"/>
      <c r="BZ103" s="1">
        <v>1041478.4348220455</v>
      </c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1">
        <v>374269.91266798612</v>
      </c>
      <c r="CU103" s="2"/>
      <c r="CV103" s="2"/>
      <c r="CW103" s="2"/>
      <c r="CX103" s="1">
        <v>1192858.9844486495</v>
      </c>
      <c r="CY103" s="2"/>
      <c r="CZ103" s="2"/>
      <c r="DA103" s="2"/>
      <c r="DB103" s="2"/>
      <c r="DC103" s="2"/>
      <c r="DD103" s="2"/>
      <c r="DE103" s="1">
        <v>667816.62667384115</v>
      </c>
      <c r="DF103" s="2"/>
      <c r="DG103" s="2"/>
      <c r="DH103" s="2"/>
      <c r="DI103" s="2"/>
      <c r="DJ103" s="2"/>
      <c r="DK103" s="2"/>
      <c r="DL103" s="1">
        <v>786196.23885550711</v>
      </c>
      <c r="DM103" s="2"/>
      <c r="DN103" s="2"/>
      <c r="DO103" s="2"/>
      <c r="DP103" s="2"/>
      <c r="DQ103" s="2"/>
      <c r="DR103" s="2"/>
      <c r="DS103" s="1">
        <v>388932.00692255952</v>
      </c>
      <c r="DT103" s="2"/>
      <c r="DU103" s="2"/>
      <c r="DV103" s="2"/>
      <c r="DW103" s="2"/>
      <c r="DX103" s="2"/>
      <c r="DY103" s="2"/>
      <c r="DZ103" s="2"/>
      <c r="EA103" s="2"/>
      <c r="EB103" s="1">
        <v>45558.986650133236</v>
      </c>
      <c r="EC103" s="2"/>
      <c r="ED103" s="2"/>
      <c r="EE103" s="1">
        <v>99322.576524813878</v>
      </c>
      <c r="EF103" s="2"/>
      <c r="EG103" s="1">
        <v>356073.24270648544</v>
      </c>
      <c r="EH103" s="2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4"/>
      <c r="HX103" s="2">
        <v>1435096.4976559333</v>
      </c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1">
        <v>2168249.252740832</v>
      </c>
      <c r="LP103" s="1"/>
      <c r="LQ103" s="1"/>
      <c r="LR103" s="1"/>
      <c r="LS103" s="1"/>
      <c r="LT103" s="1"/>
      <c r="LU103" s="1">
        <v>1595773.2702056747</v>
      </c>
      <c r="LV103" s="1"/>
      <c r="LW103" s="1"/>
      <c r="LX103" s="1"/>
      <c r="LY103" s="1"/>
      <c r="LZ103" s="1"/>
      <c r="MA103" s="1"/>
      <c r="MB103" s="1"/>
      <c r="MC103" s="1"/>
      <c r="MD103" s="1"/>
      <c r="ME103" s="1"/>
    </row>
    <row r="104" spans="1:343">
      <c r="A104" s="1">
        <v>1467</v>
      </c>
      <c r="B104" s="1">
        <v>9717136.921252748</v>
      </c>
      <c r="C104" s="1">
        <v>2726524.1354385233</v>
      </c>
      <c r="D104" s="1"/>
      <c r="E104" s="1"/>
      <c r="F104" s="1"/>
      <c r="G104" s="1"/>
      <c r="H104" s="1"/>
      <c r="I104" s="1"/>
      <c r="J104" s="1"/>
      <c r="K104" s="1">
        <v>1139048.0044072326</v>
      </c>
      <c r="L104" s="1"/>
      <c r="M104" s="1"/>
      <c r="N104" s="1"/>
      <c r="O104" s="1"/>
      <c r="P104" s="1"/>
      <c r="Q104" s="1"/>
      <c r="R104" s="1"/>
      <c r="S104" s="1"/>
      <c r="T104" s="1"/>
      <c r="U104" s="1">
        <v>1188667.6806840769</v>
      </c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>
        <v>2983129.1482348829</v>
      </c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>
        <v>1003954.2958663302</v>
      </c>
      <c r="AU104" s="1"/>
      <c r="AV104" s="1"/>
      <c r="AW104" s="1"/>
      <c r="AX104" s="1"/>
      <c r="AY104" s="1"/>
      <c r="AZ104" s="1"/>
      <c r="BA104" s="1"/>
      <c r="BB104" s="1"/>
      <c r="BC104" s="1">
        <v>675813.65662170376</v>
      </c>
      <c r="BD104" s="1"/>
      <c r="BE104" s="1"/>
      <c r="BF104" s="1"/>
      <c r="BG104" s="1"/>
      <c r="BH104" s="1"/>
      <c r="BI104" s="4">
        <v>6115101.9660474835</v>
      </c>
      <c r="BJ104" s="2">
        <v>610185.32690662856</v>
      </c>
      <c r="BK104" s="2"/>
      <c r="BL104" s="2"/>
      <c r="BM104" s="2"/>
      <c r="BN104" s="2"/>
      <c r="BO104" s="2"/>
      <c r="BP104" s="2"/>
      <c r="BQ104" s="1">
        <v>530257.61509168672</v>
      </c>
      <c r="BR104" s="2"/>
      <c r="BS104" s="2"/>
      <c r="BT104" s="2"/>
      <c r="BU104" s="2"/>
      <c r="BV104" s="2"/>
      <c r="BW104" s="2"/>
      <c r="BX104" s="2"/>
      <c r="BY104" s="2"/>
      <c r="BZ104" s="1">
        <v>1048768.7838657997</v>
      </c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1">
        <v>375542.4303710573</v>
      </c>
      <c r="CU104" s="2"/>
      <c r="CV104" s="2"/>
      <c r="CW104" s="2"/>
      <c r="CX104" s="1">
        <v>1196914.7049957749</v>
      </c>
      <c r="CY104" s="2"/>
      <c r="CZ104" s="2"/>
      <c r="DA104" s="2"/>
      <c r="DB104" s="2"/>
      <c r="DC104" s="2"/>
      <c r="DD104" s="2"/>
      <c r="DE104" s="1">
        <v>670087.20320453227</v>
      </c>
      <c r="DF104" s="2"/>
      <c r="DG104" s="2"/>
      <c r="DH104" s="2"/>
      <c r="DI104" s="2"/>
      <c r="DJ104" s="2"/>
      <c r="DK104" s="2"/>
      <c r="DL104" s="1">
        <v>788869.30606761586</v>
      </c>
      <c r="DM104" s="2"/>
      <c r="DN104" s="2"/>
      <c r="DO104" s="2"/>
      <c r="DP104" s="2"/>
      <c r="DQ104" s="2"/>
      <c r="DR104" s="2"/>
      <c r="DS104" s="1">
        <v>391654.53097101738</v>
      </c>
      <c r="DT104" s="2"/>
      <c r="DU104" s="2"/>
      <c r="DV104" s="2"/>
      <c r="DW104" s="2"/>
      <c r="DX104" s="2"/>
      <c r="DY104" s="2"/>
      <c r="DZ104" s="2"/>
      <c r="EA104" s="2"/>
      <c r="EB104" s="1">
        <v>45877.899556684162</v>
      </c>
      <c r="EC104" s="2"/>
      <c r="ED104" s="2"/>
      <c r="EE104" s="1">
        <v>99660.273284998257</v>
      </c>
      <c r="EF104" s="2"/>
      <c r="EG104" s="1">
        <v>357283.89173168753</v>
      </c>
      <c r="EH104" s="2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4"/>
      <c r="HX104" s="2">
        <v>1441554.4318953848</v>
      </c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1">
        <v>2175621.3002001508</v>
      </c>
      <c r="LP104" s="1"/>
      <c r="LQ104" s="1"/>
      <c r="LR104" s="1"/>
      <c r="LS104" s="1"/>
      <c r="LT104" s="1"/>
      <c r="LU104" s="1">
        <v>1601198.899324374</v>
      </c>
      <c r="LV104" s="1"/>
      <c r="LW104" s="1"/>
      <c r="LX104" s="1"/>
      <c r="LY104" s="1"/>
      <c r="LZ104" s="1"/>
      <c r="MA104" s="1"/>
      <c r="MB104" s="1"/>
      <c r="MC104" s="1"/>
      <c r="MD104" s="1"/>
      <c r="ME104" s="1"/>
    </row>
    <row r="105" spans="1:343">
      <c r="A105" s="1">
        <v>1468</v>
      </c>
      <c r="B105" s="1">
        <v>9752735.6740386114</v>
      </c>
      <c r="C105" s="1">
        <v>2735794.3174990145</v>
      </c>
      <c r="D105" s="1"/>
      <c r="E105" s="1"/>
      <c r="F105" s="1"/>
      <c r="G105" s="1"/>
      <c r="H105" s="1"/>
      <c r="I105" s="1"/>
      <c r="J105" s="1"/>
      <c r="K105" s="1">
        <v>1144173.7204270652</v>
      </c>
      <c r="L105" s="1"/>
      <c r="M105" s="1"/>
      <c r="N105" s="1"/>
      <c r="O105" s="1"/>
      <c r="P105" s="1"/>
      <c r="Q105" s="1"/>
      <c r="R105" s="1"/>
      <c r="S105" s="1"/>
      <c r="T105" s="1"/>
      <c r="U105" s="1">
        <v>1194016.6852471551</v>
      </c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>
        <v>2993271.7873388818</v>
      </c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>
        <v>1007367.7404722758</v>
      </c>
      <c r="AU105" s="1"/>
      <c r="AV105" s="1"/>
      <c r="AW105" s="1"/>
      <c r="AX105" s="1"/>
      <c r="AY105" s="1"/>
      <c r="AZ105" s="1"/>
      <c r="BA105" s="1"/>
      <c r="BB105" s="1"/>
      <c r="BC105" s="1">
        <v>678111.42305421759</v>
      </c>
      <c r="BD105" s="1"/>
      <c r="BE105" s="1"/>
      <c r="BF105" s="1"/>
      <c r="BG105" s="1"/>
      <c r="BH105" s="1"/>
      <c r="BI105" s="4">
        <v>6141299.9465021314</v>
      </c>
      <c r="BJ105" s="2">
        <v>612687.08674694574</v>
      </c>
      <c r="BK105" s="2"/>
      <c r="BL105" s="2"/>
      <c r="BM105" s="2"/>
      <c r="BN105" s="2"/>
      <c r="BO105" s="2"/>
      <c r="BP105" s="2"/>
      <c r="BQ105" s="1">
        <v>531689.31065243424</v>
      </c>
      <c r="BR105" s="2"/>
      <c r="BS105" s="2"/>
      <c r="BT105" s="2"/>
      <c r="BU105" s="2"/>
      <c r="BV105" s="2"/>
      <c r="BW105" s="2"/>
      <c r="BX105" s="2"/>
      <c r="BY105" s="2"/>
      <c r="BZ105" s="1">
        <v>1056110.1653528602</v>
      </c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1">
        <v>376819.27463431895</v>
      </c>
      <c r="CU105" s="2"/>
      <c r="CV105" s="2"/>
      <c r="CW105" s="2"/>
      <c r="CX105" s="1">
        <v>1200984.2149927607</v>
      </c>
      <c r="CY105" s="2"/>
      <c r="CZ105" s="2"/>
      <c r="DA105" s="2"/>
      <c r="DB105" s="2"/>
      <c r="DC105" s="2"/>
      <c r="DD105" s="2"/>
      <c r="DE105" s="1">
        <v>672365.49969542772</v>
      </c>
      <c r="DF105" s="2"/>
      <c r="DG105" s="2"/>
      <c r="DH105" s="2"/>
      <c r="DI105" s="2"/>
      <c r="DJ105" s="2"/>
      <c r="DK105" s="2"/>
      <c r="DL105" s="1">
        <v>791551.4617082458</v>
      </c>
      <c r="DM105" s="2"/>
      <c r="DN105" s="2"/>
      <c r="DO105" s="2"/>
      <c r="DP105" s="2"/>
      <c r="DQ105" s="2"/>
      <c r="DR105" s="2"/>
      <c r="DS105" s="1">
        <v>394396.11268781446</v>
      </c>
      <c r="DT105" s="2"/>
      <c r="DU105" s="2"/>
      <c r="DV105" s="2"/>
      <c r="DW105" s="2"/>
      <c r="DX105" s="2"/>
      <c r="DY105" s="2"/>
      <c r="DZ105" s="2"/>
      <c r="EA105" s="2"/>
      <c r="EB105" s="1">
        <v>46199.044853580948</v>
      </c>
      <c r="EC105" s="2"/>
      <c r="ED105" s="2"/>
      <c r="EE105" s="1">
        <v>99999.118214167262</v>
      </c>
      <c r="EF105" s="2"/>
      <c r="EG105" s="1">
        <v>358498.65696357528</v>
      </c>
      <c r="EH105" s="2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4"/>
      <c r="HX105" s="2">
        <v>1448041.4268389139</v>
      </c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1">
        <v>2183018.4126208313</v>
      </c>
      <c r="LP105" s="1"/>
      <c r="LQ105" s="1"/>
      <c r="LR105" s="1"/>
      <c r="LS105" s="1"/>
      <c r="LT105" s="1"/>
      <c r="LU105" s="1">
        <v>1606642.9755820769</v>
      </c>
      <c r="LV105" s="1"/>
      <c r="LW105" s="1"/>
      <c r="LX105" s="1"/>
      <c r="LY105" s="1"/>
      <c r="LZ105" s="1"/>
      <c r="MA105" s="1"/>
      <c r="MB105" s="1"/>
      <c r="MC105" s="1"/>
      <c r="MD105" s="1"/>
      <c r="ME105" s="1"/>
    </row>
    <row r="106" spans="1:343">
      <c r="A106" s="1">
        <v>1469</v>
      </c>
      <c r="B106" s="1">
        <v>9788466.9847765826</v>
      </c>
      <c r="C106" s="1">
        <v>2745096.0181785114</v>
      </c>
      <c r="D106" s="1"/>
      <c r="E106" s="1"/>
      <c r="F106" s="1"/>
      <c r="G106" s="1"/>
      <c r="H106" s="1"/>
      <c r="I106" s="1"/>
      <c r="J106" s="1"/>
      <c r="K106" s="1">
        <v>1149322.5021689869</v>
      </c>
      <c r="L106" s="1"/>
      <c r="M106" s="1"/>
      <c r="N106" s="1"/>
      <c r="O106" s="1"/>
      <c r="P106" s="1"/>
      <c r="Q106" s="1"/>
      <c r="R106" s="1"/>
      <c r="S106" s="1"/>
      <c r="T106" s="1"/>
      <c r="U106" s="1">
        <v>1199389.7603307674</v>
      </c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>
        <v>3003448.911415834</v>
      </c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>
        <v>1010792.7907898816</v>
      </c>
      <c r="AU106" s="1"/>
      <c r="AV106" s="1"/>
      <c r="AW106" s="1"/>
      <c r="AX106" s="1"/>
      <c r="AY106" s="1"/>
      <c r="AZ106" s="1"/>
      <c r="BA106" s="1"/>
      <c r="BB106" s="1"/>
      <c r="BC106" s="1">
        <v>680417.00189260195</v>
      </c>
      <c r="BD106" s="1"/>
      <c r="BE106" s="1"/>
      <c r="BF106" s="1"/>
      <c r="BG106" s="1"/>
      <c r="BH106" s="1"/>
      <c r="BI106" s="4">
        <v>6167625.2039259234</v>
      </c>
      <c r="BJ106" s="2">
        <v>615199.10380260821</v>
      </c>
      <c r="BK106" s="2"/>
      <c r="BL106" s="2"/>
      <c r="BM106" s="2"/>
      <c r="BN106" s="2"/>
      <c r="BO106" s="2"/>
      <c r="BP106" s="2"/>
      <c r="BQ106" s="1">
        <v>533124.87179119582</v>
      </c>
      <c r="BR106" s="2"/>
      <c r="BS106" s="2"/>
      <c r="BT106" s="2"/>
      <c r="BU106" s="2"/>
      <c r="BV106" s="2"/>
      <c r="BW106" s="2"/>
      <c r="BX106" s="2"/>
      <c r="BY106" s="2"/>
      <c r="BZ106" s="1">
        <v>1063502.9365103301</v>
      </c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1">
        <v>378100.46016807569</v>
      </c>
      <c r="CU106" s="2"/>
      <c r="CV106" s="2"/>
      <c r="CW106" s="2"/>
      <c r="CX106" s="1">
        <v>1205067.5613237361</v>
      </c>
      <c r="CY106" s="2"/>
      <c r="CZ106" s="2"/>
      <c r="DA106" s="2"/>
      <c r="DB106" s="2"/>
      <c r="DC106" s="2"/>
      <c r="DD106" s="2"/>
      <c r="DE106" s="1">
        <v>674651.54239439219</v>
      </c>
      <c r="DF106" s="2"/>
      <c r="DG106" s="2"/>
      <c r="DH106" s="2"/>
      <c r="DI106" s="2"/>
      <c r="DJ106" s="2"/>
      <c r="DK106" s="2"/>
      <c r="DL106" s="1">
        <v>794242.73667805386</v>
      </c>
      <c r="DM106" s="2"/>
      <c r="DN106" s="2"/>
      <c r="DO106" s="2"/>
      <c r="DP106" s="2"/>
      <c r="DQ106" s="2"/>
      <c r="DR106" s="2"/>
      <c r="DS106" s="1">
        <v>397156.88547662913</v>
      </c>
      <c r="DT106" s="2"/>
      <c r="DU106" s="2"/>
      <c r="DV106" s="2"/>
      <c r="DW106" s="2"/>
      <c r="DX106" s="2"/>
      <c r="DY106" s="2"/>
      <c r="DZ106" s="2"/>
      <c r="EA106" s="2"/>
      <c r="EB106" s="1">
        <v>46522.438167556007</v>
      </c>
      <c r="EC106" s="2"/>
      <c r="ED106" s="2"/>
      <c r="EE106" s="1">
        <v>100339.11521609544</v>
      </c>
      <c r="EF106" s="2"/>
      <c r="EG106" s="1">
        <v>359717.55239725148</v>
      </c>
      <c r="EH106" s="2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4"/>
      <c r="HX106" s="2">
        <v>1454557.613259689</v>
      </c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1">
        <v>2190440.6752237421</v>
      </c>
      <c r="LP106" s="1"/>
      <c r="LQ106" s="1"/>
      <c r="LR106" s="1"/>
      <c r="LS106" s="1"/>
      <c r="LT106" s="1"/>
      <c r="LU106" s="1">
        <v>1612105.5616990561</v>
      </c>
      <c r="LV106" s="1"/>
      <c r="LW106" s="1"/>
      <c r="LX106" s="1"/>
      <c r="LY106" s="1"/>
      <c r="LZ106" s="1"/>
      <c r="MA106" s="1"/>
      <c r="MB106" s="1"/>
      <c r="MC106" s="1"/>
      <c r="MD106" s="1"/>
      <c r="ME106" s="1"/>
    </row>
    <row r="107" spans="1:343">
      <c r="A107" s="1">
        <v>1470</v>
      </c>
      <c r="B107" s="1">
        <v>9824331.3560135756</v>
      </c>
      <c r="C107" s="1">
        <v>2754429.3446403188</v>
      </c>
      <c r="D107" s="1"/>
      <c r="E107" s="1"/>
      <c r="F107" s="1"/>
      <c r="G107" s="1"/>
      <c r="H107" s="1"/>
      <c r="I107" s="1"/>
      <c r="J107" s="1"/>
      <c r="K107" s="1">
        <v>1154494.4534287474</v>
      </c>
      <c r="L107" s="1"/>
      <c r="M107" s="1"/>
      <c r="N107" s="1"/>
      <c r="O107" s="1"/>
      <c r="P107" s="1"/>
      <c r="Q107" s="1"/>
      <c r="R107" s="1"/>
      <c r="S107" s="1"/>
      <c r="T107" s="1"/>
      <c r="U107" s="1">
        <v>1204787.0142522557</v>
      </c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>
        <v>3013660.6377146482</v>
      </c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>
        <v>1014229.4862785672</v>
      </c>
      <c r="AU107" s="1"/>
      <c r="AV107" s="1"/>
      <c r="AW107" s="1"/>
      <c r="AX107" s="1"/>
      <c r="AY107" s="1"/>
      <c r="AZ107" s="1"/>
      <c r="BA107" s="1"/>
      <c r="BB107" s="1"/>
      <c r="BC107" s="1">
        <v>682730.41969903687</v>
      </c>
      <c r="BD107" s="1"/>
      <c r="BE107" s="1"/>
      <c r="BF107" s="1"/>
      <c r="BG107" s="1"/>
      <c r="BH107" s="1"/>
      <c r="BI107" s="4">
        <v>6194078.4377182368</v>
      </c>
      <c r="BJ107" s="2">
        <v>617721.42012819892</v>
      </c>
      <c r="BK107" s="2"/>
      <c r="BL107" s="2"/>
      <c r="BM107" s="2"/>
      <c r="BN107" s="2"/>
      <c r="BO107" s="2"/>
      <c r="BP107" s="2"/>
      <c r="BQ107" s="1">
        <v>534564.30894503207</v>
      </c>
      <c r="BR107" s="2"/>
      <c r="BS107" s="2"/>
      <c r="BT107" s="2"/>
      <c r="BU107" s="2"/>
      <c r="BV107" s="2"/>
      <c r="BW107" s="2"/>
      <c r="BX107" s="2"/>
      <c r="BY107" s="2"/>
      <c r="BZ107" s="1">
        <v>1070947.4570659022</v>
      </c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1">
        <v>379386.00173264719</v>
      </c>
      <c r="CU107" s="2"/>
      <c r="CV107" s="2"/>
      <c r="CW107" s="2"/>
      <c r="CX107" s="1">
        <v>1209164.7910322368</v>
      </c>
      <c r="CY107" s="2"/>
      <c r="CZ107" s="2"/>
      <c r="DA107" s="2"/>
      <c r="DB107" s="2"/>
      <c r="DC107" s="2"/>
      <c r="DD107" s="2"/>
      <c r="DE107" s="1">
        <v>676945.35763853323</v>
      </c>
      <c r="DF107" s="2"/>
      <c r="DG107" s="2"/>
      <c r="DH107" s="2"/>
      <c r="DI107" s="2"/>
      <c r="DJ107" s="2"/>
      <c r="DK107" s="2"/>
      <c r="DL107" s="1">
        <v>796943.16198275925</v>
      </c>
      <c r="DM107" s="2"/>
      <c r="DN107" s="2"/>
      <c r="DO107" s="2"/>
      <c r="DP107" s="2"/>
      <c r="DQ107" s="2"/>
      <c r="DR107" s="2"/>
      <c r="DS107" s="1">
        <v>399936.98367496551</v>
      </c>
      <c r="DT107" s="2"/>
      <c r="DU107" s="2"/>
      <c r="DV107" s="2"/>
      <c r="DW107" s="2"/>
      <c r="DX107" s="2"/>
      <c r="DY107" s="2"/>
      <c r="DZ107" s="2"/>
      <c r="EA107" s="2"/>
      <c r="EB107" s="1">
        <v>46848.095234728891</v>
      </c>
      <c r="EC107" s="2"/>
      <c r="ED107" s="2"/>
      <c r="EE107" s="1">
        <v>100680.26820783017</v>
      </c>
      <c r="EF107" s="2"/>
      <c r="EG107" s="1">
        <v>360940.59207540215</v>
      </c>
      <c r="EH107" s="2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4"/>
      <c r="HX107" s="2">
        <v>1461103.1225193574</v>
      </c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1">
        <v>2197888.1735195029</v>
      </c>
      <c r="LP107" s="1"/>
      <c r="LQ107" s="1"/>
      <c r="LR107" s="1"/>
      <c r="LS107" s="1"/>
      <c r="LT107" s="1"/>
      <c r="LU107" s="1">
        <v>1617586.720608833</v>
      </c>
      <c r="LV107" s="1"/>
      <c r="LW107" s="1"/>
      <c r="LX107" s="1"/>
      <c r="LY107" s="1"/>
      <c r="LZ107" s="1"/>
      <c r="MA107" s="1"/>
      <c r="MB107" s="1"/>
      <c r="MC107" s="1"/>
      <c r="MD107" s="1"/>
      <c r="ME107" s="1"/>
    </row>
    <row r="108" spans="1:343">
      <c r="A108" s="1">
        <v>1471</v>
      </c>
      <c r="B108" s="1">
        <v>9860329.2922384683</v>
      </c>
      <c r="C108" s="1">
        <v>2763794.4044120959</v>
      </c>
      <c r="D108" s="1"/>
      <c r="E108" s="1"/>
      <c r="F108" s="1"/>
      <c r="G108" s="1"/>
      <c r="H108" s="1"/>
      <c r="I108" s="1"/>
      <c r="J108" s="1"/>
      <c r="K108" s="1">
        <v>1159689.6784691766</v>
      </c>
      <c r="L108" s="1"/>
      <c r="M108" s="1"/>
      <c r="N108" s="1"/>
      <c r="O108" s="1"/>
      <c r="P108" s="1"/>
      <c r="Q108" s="1"/>
      <c r="R108" s="1"/>
      <c r="S108" s="1"/>
      <c r="T108" s="1"/>
      <c r="U108" s="1">
        <v>1210208.5558163908</v>
      </c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>
        <v>3023907.0838828781</v>
      </c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>
        <v>1017677.8665319144</v>
      </c>
      <c r="AU108" s="1"/>
      <c r="AV108" s="1"/>
      <c r="AW108" s="1"/>
      <c r="AX108" s="1"/>
      <c r="AY108" s="1"/>
      <c r="AZ108" s="1"/>
      <c r="BA108" s="1"/>
      <c r="BB108" s="1"/>
      <c r="BC108" s="1">
        <v>685051.70312601363</v>
      </c>
      <c r="BD108" s="1"/>
      <c r="BE108" s="1"/>
      <c r="BF108" s="1"/>
      <c r="BG108" s="1"/>
      <c r="BH108" s="1"/>
      <c r="BI108" s="4">
        <v>6220660.3515138179</v>
      </c>
      <c r="BJ108" s="2">
        <v>620254.07795072452</v>
      </c>
      <c r="BK108" s="2"/>
      <c r="BL108" s="2"/>
      <c r="BM108" s="2"/>
      <c r="BN108" s="2"/>
      <c r="BO108" s="2"/>
      <c r="BP108" s="2"/>
      <c r="BQ108" s="1">
        <v>536007.63257918367</v>
      </c>
      <c r="BR108" s="2"/>
      <c r="BS108" s="2"/>
      <c r="BT108" s="2"/>
      <c r="BU108" s="2"/>
      <c r="BV108" s="2"/>
      <c r="BW108" s="2"/>
      <c r="BX108" s="2"/>
      <c r="BY108" s="2"/>
      <c r="BZ108" s="1">
        <v>1078444.0892653633</v>
      </c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1">
        <v>380675.91413853824</v>
      </c>
      <c r="CU108" s="2"/>
      <c r="CV108" s="2"/>
      <c r="CW108" s="2"/>
      <c r="CX108" s="1">
        <v>1213275.9513217465</v>
      </c>
      <c r="CY108" s="2"/>
      <c r="CZ108" s="2"/>
      <c r="DA108" s="2"/>
      <c r="DB108" s="2"/>
      <c r="DC108" s="2"/>
      <c r="DD108" s="2"/>
      <c r="DE108" s="1">
        <v>679246.97185450431</v>
      </c>
      <c r="DF108" s="2"/>
      <c r="DG108" s="2"/>
      <c r="DH108" s="2"/>
      <c r="DI108" s="2"/>
      <c r="DJ108" s="2"/>
      <c r="DK108" s="2"/>
      <c r="DL108" s="1">
        <v>799652.76873350074</v>
      </c>
      <c r="DM108" s="2"/>
      <c r="DN108" s="2"/>
      <c r="DO108" s="2"/>
      <c r="DP108" s="2"/>
      <c r="DQ108" s="2"/>
      <c r="DR108" s="2"/>
      <c r="DS108" s="1">
        <v>402736.5425606902</v>
      </c>
      <c r="DT108" s="2"/>
      <c r="DU108" s="2"/>
      <c r="DV108" s="2"/>
      <c r="DW108" s="2"/>
      <c r="DX108" s="2"/>
      <c r="DY108" s="2"/>
      <c r="DZ108" s="2"/>
      <c r="EA108" s="2"/>
      <c r="EB108" s="1">
        <v>47176.031901371985</v>
      </c>
      <c r="EC108" s="2"/>
      <c r="ED108" s="2"/>
      <c r="EE108" s="1">
        <v>101022.5811197368</v>
      </c>
      <c r="EF108" s="2"/>
      <c r="EG108" s="1">
        <v>362167.79008845857</v>
      </c>
      <c r="EH108" s="2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4"/>
      <c r="HX108" s="2">
        <v>1467678.0865706943</v>
      </c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1">
        <v>2205360.9933094694</v>
      </c>
      <c r="LP108" s="1"/>
      <c r="LQ108" s="1"/>
      <c r="LR108" s="1"/>
      <c r="LS108" s="1"/>
      <c r="LT108" s="1"/>
      <c r="LU108" s="1">
        <v>1623086.515458903</v>
      </c>
      <c r="LV108" s="1"/>
      <c r="LW108" s="1"/>
      <c r="LX108" s="1"/>
      <c r="LY108" s="1"/>
      <c r="LZ108" s="1"/>
      <c r="MA108" s="1"/>
      <c r="MB108" s="1"/>
      <c r="MC108" s="1"/>
      <c r="MD108" s="1"/>
      <c r="ME108" s="1"/>
    </row>
    <row r="109" spans="1:343">
      <c r="A109" s="1">
        <v>1472</v>
      </c>
      <c r="B109" s="1">
        <v>9896461.2998897955</v>
      </c>
      <c r="C109" s="1">
        <v>2773191.3053870974</v>
      </c>
      <c r="D109" s="1"/>
      <c r="E109" s="1"/>
      <c r="F109" s="1"/>
      <c r="G109" s="1"/>
      <c r="H109" s="1"/>
      <c r="I109" s="1"/>
      <c r="J109" s="1"/>
      <c r="K109" s="1">
        <v>1164908.2820222878</v>
      </c>
      <c r="L109" s="1"/>
      <c r="M109" s="1"/>
      <c r="N109" s="1"/>
      <c r="O109" s="1"/>
      <c r="P109" s="1"/>
      <c r="Q109" s="1"/>
      <c r="R109" s="1"/>
      <c r="S109" s="1"/>
      <c r="T109" s="1"/>
      <c r="U109" s="1">
        <v>1215654.4943175644</v>
      </c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>
        <v>3034188.3679680801</v>
      </c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>
        <v>1021137.971278123</v>
      </c>
      <c r="AU109" s="1"/>
      <c r="AV109" s="1"/>
      <c r="AW109" s="1"/>
      <c r="AX109" s="1"/>
      <c r="AY109" s="1"/>
      <c r="AZ109" s="1"/>
      <c r="BA109" s="1"/>
      <c r="BB109" s="1"/>
      <c r="BC109" s="1">
        <v>687380.87891664216</v>
      </c>
      <c r="BD109" s="1"/>
      <c r="BE109" s="1"/>
      <c r="BF109" s="1"/>
      <c r="BG109" s="1"/>
      <c r="BH109" s="1"/>
      <c r="BI109" s="4">
        <v>6247371.6532101445</v>
      </c>
      <c r="BJ109" s="2">
        <v>622797.11967032251</v>
      </c>
      <c r="BK109" s="2"/>
      <c r="BL109" s="2"/>
      <c r="BM109" s="2"/>
      <c r="BN109" s="2"/>
      <c r="BO109" s="2"/>
      <c r="BP109" s="2"/>
      <c r="BQ109" s="1">
        <v>537454.85318714741</v>
      </c>
      <c r="BR109" s="2"/>
      <c r="BS109" s="2"/>
      <c r="BT109" s="2"/>
      <c r="BU109" s="2"/>
      <c r="BV109" s="2"/>
      <c r="BW109" s="2"/>
      <c r="BX109" s="2"/>
      <c r="BY109" s="2"/>
      <c r="BZ109" s="1">
        <v>1085993.1978902207</v>
      </c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1">
        <v>381970.21224660927</v>
      </c>
      <c r="CU109" s="2"/>
      <c r="CV109" s="2"/>
      <c r="CW109" s="2"/>
      <c r="CX109" s="1">
        <v>1217401.0895562405</v>
      </c>
      <c r="CY109" s="2"/>
      <c r="CZ109" s="2"/>
      <c r="DA109" s="2"/>
      <c r="DB109" s="2"/>
      <c r="DC109" s="2"/>
      <c r="DD109" s="2"/>
      <c r="DE109" s="1">
        <v>681556.41155880969</v>
      </c>
      <c r="DF109" s="2"/>
      <c r="DG109" s="2"/>
      <c r="DH109" s="2"/>
      <c r="DI109" s="2"/>
      <c r="DJ109" s="2"/>
      <c r="DK109" s="2"/>
      <c r="DL109" s="1">
        <v>802371.58814719471</v>
      </c>
      <c r="DM109" s="2"/>
      <c r="DN109" s="2"/>
      <c r="DO109" s="2"/>
      <c r="DP109" s="2"/>
      <c r="DQ109" s="2"/>
      <c r="DR109" s="2"/>
      <c r="DS109" s="1">
        <v>405555.69835861499</v>
      </c>
      <c r="DT109" s="2"/>
      <c r="DU109" s="2"/>
      <c r="DV109" s="2"/>
      <c r="DW109" s="2"/>
      <c r="DX109" s="2"/>
      <c r="DY109" s="2"/>
      <c r="DZ109" s="2"/>
      <c r="EA109" s="2"/>
      <c r="EB109" s="1">
        <v>47506.264124681584</v>
      </c>
      <c r="EC109" s="2"/>
      <c r="ED109" s="2"/>
      <c r="EE109" s="1">
        <v>101366.05789554391</v>
      </c>
      <c r="EF109" s="2"/>
      <c r="EG109" s="1">
        <v>363399.16057475936</v>
      </c>
      <c r="EH109" s="2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4"/>
      <c r="HX109" s="2">
        <v>1474282.6379602624</v>
      </c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1">
        <v>2212859.2206867216</v>
      </c>
      <c r="LP109" s="1"/>
      <c r="LQ109" s="1"/>
      <c r="LR109" s="1"/>
      <c r="LS109" s="1"/>
      <c r="LT109" s="1"/>
      <c r="LU109" s="1">
        <v>1628605.0096114634</v>
      </c>
      <c r="LV109" s="1"/>
      <c r="LW109" s="1"/>
      <c r="LX109" s="1"/>
      <c r="LY109" s="1"/>
      <c r="LZ109" s="1"/>
      <c r="MA109" s="1"/>
      <c r="MB109" s="1"/>
      <c r="MC109" s="1"/>
      <c r="MD109" s="1"/>
      <c r="ME109" s="1"/>
    </row>
    <row r="110" spans="1:343">
      <c r="A110" s="1">
        <v>1473</v>
      </c>
      <c r="B110" s="1">
        <v>9932727.8873633947</v>
      </c>
      <c r="C110" s="1">
        <v>2782620.1558254138</v>
      </c>
      <c r="D110" s="1"/>
      <c r="E110" s="1"/>
      <c r="F110" s="1"/>
      <c r="G110" s="1"/>
      <c r="H110" s="1"/>
      <c r="I110" s="1"/>
      <c r="J110" s="1"/>
      <c r="K110" s="1">
        <v>1170150.369291388</v>
      </c>
      <c r="L110" s="1"/>
      <c r="M110" s="1"/>
      <c r="N110" s="1"/>
      <c r="O110" s="1"/>
      <c r="P110" s="1"/>
      <c r="Q110" s="1"/>
      <c r="R110" s="1"/>
      <c r="S110" s="1"/>
      <c r="T110" s="1"/>
      <c r="U110" s="1">
        <v>1221124.9395419934</v>
      </c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>
        <v>3044504.608419172</v>
      </c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>
        <v>1024609.8403804686</v>
      </c>
      <c r="AU110" s="1"/>
      <c r="AV110" s="1"/>
      <c r="AW110" s="1"/>
      <c r="AX110" s="1"/>
      <c r="AY110" s="1"/>
      <c r="AZ110" s="1"/>
      <c r="BA110" s="1"/>
      <c r="BB110" s="1"/>
      <c r="BC110" s="1">
        <v>689717.97390495881</v>
      </c>
      <c r="BD110" s="1"/>
      <c r="BE110" s="1"/>
      <c r="BF110" s="1"/>
      <c r="BG110" s="1"/>
      <c r="BH110" s="1"/>
      <c r="BI110" s="4">
        <v>6274213.0549949426</v>
      </c>
      <c r="BJ110" s="2">
        <v>625350.58786097087</v>
      </c>
      <c r="BK110" s="2"/>
      <c r="BL110" s="2"/>
      <c r="BM110" s="2"/>
      <c r="BN110" s="2"/>
      <c r="BO110" s="2"/>
      <c r="BP110" s="2"/>
      <c r="BQ110" s="1">
        <v>538905.98129075265</v>
      </c>
      <c r="BR110" s="2"/>
      <c r="BS110" s="2"/>
      <c r="BT110" s="2"/>
      <c r="BU110" s="2"/>
      <c r="BV110" s="2"/>
      <c r="BW110" s="2"/>
      <c r="BX110" s="2"/>
      <c r="BY110" s="2"/>
      <c r="BZ110" s="1">
        <v>1093595.1502754521</v>
      </c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1">
        <v>383268.91096824774</v>
      </c>
      <c r="CU110" s="2"/>
      <c r="CV110" s="2"/>
      <c r="CW110" s="2"/>
      <c r="CX110" s="1">
        <v>1221540.2532607317</v>
      </c>
      <c r="CY110" s="2"/>
      <c r="CZ110" s="2"/>
      <c r="DA110" s="2"/>
      <c r="DB110" s="2"/>
      <c r="DC110" s="2"/>
      <c r="DD110" s="2"/>
      <c r="DE110" s="1">
        <v>683873.70335810969</v>
      </c>
      <c r="DF110" s="2"/>
      <c r="DG110" s="2"/>
      <c r="DH110" s="2"/>
      <c r="DI110" s="2"/>
      <c r="DJ110" s="2"/>
      <c r="DK110" s="2"/>
      <c r="DL110" s="1">
        <v>805099.65154689527</v>
      </c>
      <c r="DM110" s="2"/>
      <c r="DN110" s="2"/>
      <c r="DO110" s="2"/>
      <c r="DP110" s="2"/>
      <c r="DQ110" s="2"/>
      <c r="DR110" s="2"/>
      <c r="DS110" s="1">
        <v>408394.58824712527</v>
      </c>
      <c r="DT110" s="2"/>
      <c r="DU110" s="2"/>
      <c r="DV110" s="2"/>
      <c r="DW110" s="2"/>
      <c r="DX110" s="2"/>
      <c r="DY110" s="2"/>
      <c r="DZ110" s="2"/>
      <c r="EA110" s="2"/>
      <c r="EB110" s="1">
        <v>47838.807973554351</v>
      </c>
      <c r="EC110" s="2"/>
      <c r="ED110" s="2"/>
      <c r="EE110" s="1">
        <v>101710.70249238877</v>
      </c>
      <c r="EF110" s="2"/>
      <c r="EG110" s="1">
        <v>364634.71772071358</v>
      </c>
      <c r="EH110" s="2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4"/>
      <c r="HX110" s="2">
        <v>1480916.9098310834</v>
      </c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1">
        <v>2220382.9420370567</v>
      </c>
      <c r="LP110" s="1"/>
      <c r="LQ110" s="1"/>
      <c r="LR110" s="1"/>
      <c r="LS110" s="1"/>
      <c r="LT110" s="1"/>
      <c r="LU110" s="1">
        <v>1634142.2666441426</v>
      </c>
      <c r="LV110" s="1"/>
      <c r="LW110" s="1"/>
      <c r="LX110" s="1"/>
      <c r="LY110" s="1"/>
      <c r="LZ110" s="1"/>
      <c r="MA110" s="1"/>
      <c r="MB110" s="1"/>
      <c r="MC110" s="1"/>
      <c r="MD110" s="1"/>
      <c r="ME110" s="1"/>
    </row>
    <row r="111" spans="1:343">
      <c r="A111" s="1">
        <v>1474</v>
      </c>
      <c r="B111" s="1">
        <v>9969129.5650201477</v>
      </c>
      <c r="C111" s="1">
        <v>2792081.0643552202</v>
      </c>
      <c r="D111" s="1"/>
      <c r="E111" s="1"/>
      <c r="F111" s="1"/>
      <c r="G111" s="1"/>
      <c r="H111" s="1"/>
      <c r="I111" s="1"/>
      <c r="J111" s="1"/>
      <c r="K111" s="1">
        <v>1175416.045953199</v>
      </c>
      <c r="L111" s="1"/>
      <c r="M111" s="1"/>
      <c r="N111" s="1"/>
      <c r="O111" s="1"/>
      <c r="P111" s="1"/>
      <c r="Q111" s="1"/>
      <c r="R111" s="1"/>
      <c r="S111" s="1"/>
      <c r="T111" s="1"/>
      <c r="U111" s="1">
        <v>1226620.0017699325</v>
      </c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>
        <v>3054855.9240877973</v>
      </c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>
        <v>1028093.5138377623</v>
      </c>
      <c r="AU111" s="1"/>
      <c r="AV111" s="1"/>
      <c r="AW111" s="1"/>
      <c r="AX111" s="1"/>
      <c r="AY111" s="1"/>
      <c r="AZ111" s="1"/>
      <c r="BA111" s="1"/>
      <c r="BB111" s="1"/>
      <c r="BC111" s="1">
        <v>692063.01501623576</v>
      </c>
      <c r="BD111" s="1"/>
      <c r="BE111" s="1"/>
      <c r="BF111" s="1"/>
      <c r="BG111" s="1"/>
      <c r="BH111" s="1"/>
      <c r="BI111" s="4">
        <v>6301185.2733739102</v>
      </c>
      <c r="BJ111" s="2">
        <v>627914.52527120081</v>
      </c>
      <c r="BK111" s="2"/>
      <c r="BL111" s="2"/>
      <c r="BM111" s="2"/>
      <c r="BN111" s="2"/>
      <c r="BO111" s="2"/>
      <c r="BP111" s="2"/>
      <c r="BQ111" s="1">
        <v>540361.0274402377</v>
      </c>
      <c r="BR111" s="2"/>
      <c r="BS111" s="2"/>
      <c r="BT111" s="2"/>
      <c r="BU111" s="2"/>
      <c r="BV111" s="2"/>
      <c r="BW111" s="2"/>
      <c r="BX111" s="2"/>
      <c r="BY111" s="2"/>
      <c r="BZ111" s="1">
        <v>1101250.31632738</v>
      </c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1">
        <v>384572.02526553982</v>
      </c>
      <c r="CU111" s="2"/>
      <c r="CV111" s="2"/>
      <c r="CW111" s="2"/>
      <c r="CX111" s="1">
        <v>1225693.4901218184</v>
      </c>
      <c r="CY111" s="2"/>
      <c r="CZ111" s="2"/>
      <c r="DA111" s="2"/>
      <c r="DB111" s="2"/>
      <c r="DC111" s="2"/>
      <c r="DD111" s="2"/>
      <c r="DE111" s="1">
        <v>686198.87394952727</v>
      </c>
      <c r="DF111" s="2"/>
      <c r="DG111" s="2"/>
      <c r="DH111" s="2"/>
      <c r="DI111" s="2"/>
      <c r="DJ111" s="2"/>
      <c r="DK111" s="2"/>
      <c r="DL111" s="1">
        <v>807836.99036215479</v>
      </c>
      <c r="DM111" s="2"/>
      <c r="DN111" s="2"/>
      <c r="DO111" s="2"/>
      <c r="DP111" s="2"/>
      <c r="DQ111" s="2"/>
      <c r="DR111" s="2"/>
      <c r="DS111" s="1">
        <v>411253.35036485508</v>
      </c>
      <c r="DT111" s="2"/>
      <c r="DU111" s="2"/>
      <c r="DV111" s="2"/>
      <c r="DW111" s="2"/>
      <c r="DX111" s="2"/>
      <c r="DY111" s="2"/>
      <c r="DZ111" s="2"/>
      <c r="EA111" s="2"/>
      <c r="EB111" s="1">
        <v>48173.679629369224</v>
      </c>
      <c r="EC111" s="2"/>
      <c r="ED111" s="2"/>
      <c r="EE111" s="1">
        <v>102056.51888086289</v>
      </c>
      <c r="EF111" s="2"/>
      <c r="EG111" s="1">
        <v>365874.47576096404</v>
      </c>
      <c r="EH111" s="2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4"/>
      <c r="HX111" s="2">
        <v>1487581.0359253231</v>
      </c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1">
        <v>2227932.244039983</v>
      </c>
      <c r="LP111" s="1"/>
      <c r="LQ111" s="1"/>
      <c r="LR111" s="1"/>
      <c r="LS111" s="1"/>
      <c r="LT111" s="1"/>
      <c r="LU111" s="1">
        <v>1639698.3503507327</v>
      </c>
      <c r="LV111" s="1"/>
      <c r="LW111" s="1"/>
      <c r="LX111" s="1"/>
      <c r="LY111" s="1"/>
      <c r="LZ111" s="1"/>
      <c r="MA111" s="1"/>
      <c r="MB111" s="1"/>
      <c r="MC111" s="1"/>
      <c r="MD111" s="1"/>
      <c r="ME111" s="1"/>
    </row>
    <row r="112" spans="1:343">
      <c r="A112" s="1">
        <v>1475</v>
      </c>
      <c r="B112" s="1">
        <v>10005666.84519371</v>
      </c>
      <c r="C112" s="1">
        <v>2801574.1399740283</v>
      </c>
      <c r="D112" s="1"/>
      <c r="E112" s="1"/>
      <c r="F112" s="1"/>
      <c r="G112" s="1"/>
      <c r="H112" s="1"/>
      <c r="I112" s="1"/>
      <c r="J112" s="1"/>
      <c r="K112" s="1">
        <v>1180705.4181599885</v>
      </c>
      <c r="L112" s="1"/>
      <c r="M112" s="1"/>
      <c r="N112" s="1"/>
      <c r="O112" s="1"/>
      <c r="P112" s="1"/>
      <c r="Q112" s="1"/>
      <c r="R112" s="1"/>
      <c r="S112" s="1"/>
      <c r="T112" s="1"/>
      <c r="U112" s="1">
        <v>1232139.7917778972</v>
      </c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>
        <v>3065242.4342296962</v>
      </c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>
        <v>1031589.0317848107</v>
      </c>
      <c r="AU112" s="1"/>
      <c r="AV112" s="1"/>
      <c r="AW112" s="1"/>
      <c r="AX112" s="1"/>
      <c r="AY112" s="1"/>
      <c r="AZ112" s="1"/>
      <c r="BA112" s="1"/>
      <c r="BB112" s="1"/>
      <c r="BC112" s="1">
        <v>694416.02926729096</v>
      </c>
      <c r="BD112" s="1"/>
      <c r="BE112" s="1"/>
      <c r="BF112" s="1"/>
      <c r="BG112" s="1"/>
      <c r="BH112" s="1"/>
      <c r="BI112" s="4">
        <v>6328289.0291986223</v>
      </c>
      <c r="BJ112" s="2">
        <v>630488.97482481273</v>
      </c>
      <c r="BK112" s="2"/>
      <c r="BL112" s="2"/>
      <c r="BM112" s="2"/>
      <c r="BN112" s="2"/>
      <c r="BO112" s="2"/>
      <c r="BP112" s="2"/>
      <c r="BQ112" s="1">
        <v>541820.00221432629</v>
      </c>
      <c r="BR112" s="2"/>
      <c r="BS112" s="2"/>
      <c r="BT112" s="2"/>
      <c r="BU112" s="2"/>
      <c r="BV112" s="2"/>
      <c r="BW112" s="2"/>
      <c r="BX112" s="2"/>
      <c r="BY112" s="2"/>
      <c r="BZ112" s="1">
        <v>1108959.0685416716</v>
      </c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1">
        <v>385879.57015144266</v>
      </c>
      <c r="CU112" s="2"/>
      <c r="CV112" s="2"/>
      <c r="CW112" s="2"/>
      <c r="CX112" s="1">
        <v>1229860.8479882327</v>
      </c>
      <c r="CY112" s="2"/>
      <c r="CZ112" s="2"/>
      <c r="DA112" s="2"/>
      <c r="DB112" s="2"/>
      <c r="DC112" s="2"/>
      <c r="DD112" s="2"/>
      <c r="DE112" s="1">
        <v>688531.95012095571</v>
      </c>
      <c r="DF112" s="2"/>
      <c r="DG112" s="2"/>
      <c r="DH112" s="2"/>
      <c r="DI112" s="2"/>
      <c r="DJ112" s="2"/>
      <c r="DK112" s="2"/>
      <c r="DL112" s="1">
        <v>810583.63612938614</v>
      </c>
      <c r="DM112" s="2"/>
      <c r="DN112" s="2"/>
      <c r="DO112" s="2"/>
      <c r="DP112" s="2"/>
      <c r="DQ112" s="2"/>
      <c r="DR112" s="2"/>
      <c r="DS112" s="1">
        <v>414132.12381740904</v>
      </c>
      <c r="DT112" s="2"/>
      <c r="DU112" s="2"/>
      <c r="DV112" s="2"/>
      <c r="DW112" s="2"/>
      <c r="DX112" s="2"/>
      <c r="DY112" s="2"/>
      <c r="DZ112" s="2"/>
      <c r="EA112" s="2"/>
      <c r="EB112" s="1">
        <v>48510.895386774806</v>
      </c>
      <c r="EC112" s="2"/>
      <c r="ED112" s="2"/>
      <c r="EE112" s="1">
        <v>102403.51104505784</v>
      </c>
      <c r="EF112" s="2"/>
      <c r="EG112" s="1">
        <v>367118.44897855131</v>
      </c>
      <c r="EH112" s="2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4"/>
      <c r="HX112" s="2">
        <v>1494275.1505869869</v>
      </c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1">
        <v>2235507.2136697192</v>
      </c>
      <c r="LP112" s="1"/>
      <c r="LQ112" s="1"/>
      <c r="LR112" s="1"/>
      <c r="LS112" s="1"/>
      <c r="LT112" s="1"/>
      <c r="LU112" s="1">
        <v>1645273.3247419253</v>
      </c>
      <c r="LV112" s="1"/>
      <c r="LW112" s="1"/>
      <c r="LX112" s="1"/>
      <c r="LY112" s="1"/>
      <c r="LZ112" s="1"/>
      <c r="MA112" s="1"/>
      <c r="MB112" s="1"/>
      <c r="MC112" s="1"/>
      <c r="MD112" s="1"/>
      <c r="ME112" s="1"/>
    </row>
    <row r="113" spans="1:343">
      <c r="A113" s="1">
        <v>1476</v>
      </c>
      <c r="B113" s="1">
        <v>10042340.242198303</v>
      </c>
      <c r="C113" s="1">
        <v>2811099.4920499404</v>
      </c>
      <c r="D113" s="1"/>
      <c r="E113" s="1"/>
      <c r="F113" s="1"/>
      <c r="G113" s="1"/>
      <c r="H113" s="1"/>
      <c r="I113" s="1"/>
      <c r="J113" s="1"/>
      <c r="K113" s="1">
        <v>1186018.5925417084</v>
      </c>
      <c r="L113" s="1"/>
      <c r="M113" s="1"/>
      <c r="N113" s="1"/>
      <c r="O113" s="1"/>
      <c r="P113" s="1"/>
      <c r="Q113" s="1"/>
      <c r="R113" s="1"/>
      <c r="S113" s="1"/>
      <c r="T113" s="1"/>
      <c r="U113" s="1">
        <v>1237684.4208408976</v>
      </c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>
        <v>3075664.2585060773</v>
      </c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>
        <v>1035096.4344928791</v>
      </c>
      <c r="AU113" s="1"/>
      <c r="AV113" s="1"/>
      <c r="AW113" s="1"/>
      <c r="AX113" s="1"/>
      <c r="AY113" s="1"/>
      <c r="AZ113" s="1"/>
      <c r="BA113" s="1"/>
      <c r="BB113" s="1"/>
      <c r="BC113" s="1">
        <v>696777.04376679985</v>
      </c>
      <c r="BD113" s="1"/>
      <c r="BE113" s="1"/>
      <c r="BF113" s="1"/>
      <c r="BG113" s="1"/>
      <c r="BH113" s="1"/>
      <c r="BI113" s="4">
        <v>6355525.0476946095</v>
      </c>
      <c r="BJ113" s="2">
        <v>633073.97962159442</v>
      </c>
      <c r="BK113" s="2"/>
      <c r="BL113" s="2"/>
      <c r="BM113" s="2"/>
      <c r="BN113" s="2"/>
      <c r="BO113" s="2"/>
      <c r="BP113" s="2"/>
      <c r="BQ113" s="1">
        <v>543282.91622030491</v>
      </c>
      <c r="BR113" s="2"/>
      <c r="BS113" s="2"/>
      <c r="BT113" s="2"/>
      <c r="BU113" s="2"/>
      <c r="BV113" s="2"/>
      <c r="BW113" s="2"/>
      <c r="BX113" s="2"/>
      <c r="BY113" s="2"/>
      <c r="BZ113" s="1">
        <v>1116721.7820214632</v>
      </c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1">
        <v>387191.56068995758</v>
      </c>
      <c r="CU113" s="2"/>
      <c r="CV113" s="2"/>
      <c r="CW113" s="2"/>
      <c r="CX113" s="1">
        <v>1234042.3748713927</v>
      </c>
      <c r="CY113" s="2"/>
      <c r="CZ113" s="2"/>
      <c r="DA113" s="2"/>
      <c r="DB113" s="2"/>
      <c r="DC113" s="2"/>
      <c r="DD113" s="2"/>
      <c r="DE113" s="1">
        <v>690872.95875136706</v>
      </c>
      <c r="DF113" s="2"/>
      <c r="DG113" s="2"/>
      <c r="DH113" s="2"/>
      <c r="DI113" s="2"/>
      <c r="DJ113" s="2"/>
      <c r="DK113" s="2"/>
      <c r="DL113" s="1">
        <v>813339.62049222609</v>
      </c>
      <c r="DM113" s="2"/>
      <c r="DN113" s="2"/>
      <c r="DO113" s="2"/>
      <c r="DP113" s="2"/>
      <c r="DQ113" s="2"/>
      <c r="DR113" s="2"/>
      <c r="DS113" s="1">
        <v>417031.04868413089</v>
      </c>
      <c r="DT113" s="2"/>
      <c r="DU113" s="2"/>
      <c r="DV113" s="2"/>
      <c r="DW113" s="2"/>
      <c r="DX113" s="2"/>
      <c r="DY113" s="2"/>
      <c r="DZ113" s="2"/>
      <c r="EA113" s="2"/>
      <c r="EB113" s="1">
        <v>48850.471654482222</v>
      </c>
      <c r="EC113" s="2"/>
      <c r="ED113" s="2"/>
      <c r="EE113" s="1">
        <v>102751.68298261103</v>
      </c>
      <c r="EF113" s="2"/>
      <c r="EG113" s="1">
        <v>368366.65170507843</v>
      </c>
      <c r="EH113" s="2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4"/>
      <c r="HX113" s="2">
        <v>1500999.3887646282</v>
      </c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1">
        <v>2243107.9381961962</v>
      </c>
      <c r="LP113" s="1"/>
      <c r="LQ113" s="1"/>
      <c r="LR113" s="1"/>
      <c r="LS113" s="1"/>
      <c r="LT113" s="1"/>
      <c r="LU113" s="1">
        <v>1650867.254046048</v>
      </c>
      <c r="LV113" s="1"/>
      <c r="LW113" s="1"/>
      <c r="LX113" s="1"/>
      <c r="LY113" s="1"/>
      <c r="LZ113" s="1"/>
      <c r="MA113" s="1"/>
      <c r="MB113" s="1"/>
      <c r="MC113" s="1"/>
      <c r="MD113" s="1"/>
      <c r="ME113" s="1"/>
    </row>
    <row r="114" spans="1:343">
      <c r="A114" s="1">
        <v>1477</v>
      </c>
      <c r="B114" s="1">
        <v>10079150.272336498</v>
      </c>
      <c r="C114" s="1">
        <v>2820657.2303229105</v>
      </c>
      <c r="D114" s="1"/>
      <c r="E114" s="1"/>
      <c r="F114" s="1"/>
      <c r="G114" s="1"/>
      <c r="H114" s="1"/>
      <c r="I114" s="1"/>
      <c r="J114" s="1"/>
      <c r="K114" s="1">
        <v>1191355.6762081459</v>
      </c>
      <c r="L114" s="1"/>
      <c r="M114" s="1"/>
      <c r="N114" s="1"/>
      <c r="O114" s="1"/>
      <c r="P114" s="1"/>
      <c r="Q114" s="1"/>
      <c r="R114" s="1"/>
      <c r="S114" s="1"/>
      <c r="T114" s="1"/>
      <c r="U114" s="1">
        <v>1243254.0007346815</v>
      </c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>
        <v>3086121.5169849982</v>
      </c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>
        <v>1038615.762370155</v>
      </c>
      <c r="AU114" s="1"/>
      <c r="AV114" s="1"/>
      <c r="AW114" s="1"/>
      <c r="AX114" s="1"/>
      <c r="AY114" s="1"/>
      <c r="AZ114" s="1"/>
      <c r="BA114" s="1"/>
      <c r="BB114" s="1"/>
      <c r="BC114" s="1">
        <v>699146.08571560704</v>
      </c>
      <c r="BD114" s="1"/>
      <c r="BE114" s="1"/>
      <c r="BF114" s="1"/>
      <c r="BG114" s="1"/>
      <c r="BH114" s="1"/>
      <c r="BI114" s="4">
        <v>6382894.0584896477</v>
      </c>
      <c r="BJ114" s="2">
        <v>635669.58293804293</v>
      </c>
      <c r="BK114" s="2"/>
      <c r="BL114" s="2"/>
      <c r="BM114" s="2"/>
      <c r="BN114" s="2"/>
      <c r="BO114" s="2"/>
      <c r="BP114" s="2"/>
      <c r="BQ114" s="1">
        <v>544749.7800940997</v>
      </c>
      <c r="BR114" s="2"/>
      <c r="BS114" s="2"/>
      <c r="BT114" s="2"/>
      <c r="BU114" s="2"/>
      <c r="BV114" s="2"/>
      <c r="BW114" s="2"/>
      <c r="BX114" s="2"/>
      <c r="BY114" s="2"/>
      <c r="BZ114" s="1">
        <v>1124538.8344956134</v>
      </c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1">
        <v>388508.01199630345</v>
      </c>
      <c r="CU114" s="2"/>
      <c r="CV114" s="2"/>
      <c r="CW114" s="2"/>
      <c r="CX114" s="1">
        <v>1238238.1189459555</v>
      </c>
      <c r="CY114" s="2"/>
      <c r="CZ114" s="2"/>
      <c r="DA114" s="2"/>
      <c r="DB114" s="2"/>
      <c r="DC114" s="2"/>
      <c r="DD114" s="2"/>
      <c r="DE114" s="1">
        <v>693221.92681112175</v>
      </c>
      <c r="DF114" s="2"/>
      <c r="DG114" s="2"/>
      <c r="DH114" s="2"/>
      <c r="DI114" s="2"/>
      <c r="DJ114" s="2"/>
      <c r="DK114" s="2"/>
      <c r="DL114" s="1">
        <v>816104.97520189977</v>
      </c>
      <c r="DM114" s="2"/>
      <c r="DN114" s="2"/>
      <c r="DO114" s="2"/>
      <c r="DP114" s="2"/>
      <c r="DQ114" s="2"/>
      <c r="DR114" s="2"/>
      <c r="DS114" s="1">
        <v>419950.26602491975</v>
      </c>
      <c r="DT114" s="2"/>
      <c r="DU114" s="2"/>
      <c r="DV114" s="2"/>
      <c r="DW114" s="2"/>
      <c r="DX114" s="2"/>
      <c r="DY114" s="2"/>
      <c r="DZ114" s="2"/>
      <c r="EA114" s="2"/>
      <c r="EB114" s="1">
        <v>49192.424956063594</v>
      </c>
      <c r="EC114" s="2"/>
      <c r="ED114" s="2"/>
      <c r="EE114" s="1">
        <v>103101.03870475192</v>
      </c>
      <c r="EF114" s="2"/>
      <c r="EG114" s="1">
        <v>369619.09832087572</v>
      </c>
      <c r="EH114" s="2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4"/>
      <c r="HX114" s="2">
        <v>1507753.886014069</v>
      </c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1">
        <v>2250734.5051860632</v>
      </c>
      <c r="LP114" s="1"/>
      <c r="LQ114" s="1"/>
      <c r="LR114" s="1"/>
      <c r="LS114" s="1"/>
      <c r="LT114" s="1"/>
      <c r="LU114" s="1">
        <v>1656480.2027098048</v>
      </c>
      <c r="LV114" s="1"/>
      <c r="LW114" s="1"/>
      <c r="LX114" s="1"/>
      <c r="LY114" s="1"/>
      <c r="LZ114" s="1"/>
      <c r="MA114" s="1"/>
      <c r="MB114" s="1"/>
      <c r="MC114" s="1"/>
      <c r="MD114" s="1"/>
      <c r="ME114" s="1"/>
    </row>
    <row r="115" spans="1:343">
      <c r="A115" s="1">
        <v>1478</v>
      </c>
      <c r="B115" s="1">
        <v>10116097.45390708</v>
      </c>
      <c r="C115" s="1">
        <v>2830247.4649060084</v>
      </c>
      <c r="D115" s="1"/>
      <c r="E115" s="1"/>
      <c r="F115" s="1"/>
      <c r="G115" s="1"/>
      <c r="H115" s="1"/>
      <c r="I115" s="1"/>
      <c r="J115" s="1"/>
      <c r="K115" s="1">
        <v>1196716.7767510826</v>
      </c>
      <c r="L115" s="1"/>
      <c r="M115" s="1"/>
      <c r="N115" s="1"/>
      <c r="O115" s="1"/>
      <c r="P115" s="1"/>
      <c r="Q115" s="1"/>
      <c r="R115" s="1"/>
      <c r="S115" s="1"/>
      <c r="T115" s="1"/>
      <c r="U115" s="1">
        <v>1248848.6437379876</v>
      </c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>
        <v>3096614.3301427476</v>
      </c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>
        <v>1042147.0559622135</v>
      </c>
      <c r="AU115" s="1"/>
      <c r="AV115" s="1"/>
      <c r="AW115" s="1"/>
      <c r="AX115" s="1"/>
      <c r="AY115" s="1"/>
      <c r="AZ115" s="1"/>
      <c r="BA115" s="1"/>
      <c r="BB115" s="1"/>
      <c r="BC115" s="1">
        <v>701523.18240704015</v>
      </c>
      <c r="BD115" s="1"/>
      <c r="BE115" s="1"/>
      <c r="BF115" s="1"/>
      <c r="BG115" s="1"/>
      <c r="BH115" s="1"/>
      <c r="BI115" s="4">
        <v>6410396.7956422186</v>
      </c>
      <c r="BJ115" s="2">
        <v>638275.82822808891</v>
      </c>
      <c r="BK115" s="2"/>
      <c r="BL115" s="2"/>
      <c r="BM115" s="2"/>
      <c r="BN115" s="2"/>
      <c r="BO115" s="2"/>
      <c r="BP115" s="2"/>
      <c r="BQ115" s="1">
        <v>546220.60450035369</v>
      </c>
      <c r="BR115" s="2"/>
      <c r="BS115" s="2"/>
      <c r="BT115" s="2"/>
      <c r="BU115" s="2"/>
      <c r="BV115" s="2"/>
      <c r="BW115" s="2"/>
      <c r="BX115" s="2"/>
      <c r="BY115" s="2"/>
      <c r="BZ115" s="1">
        <v>1132410.6063370826</v>
      </c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1">
        <v>389828.93923709093</v>
      </c>
      <c r="CU115" s="2"/>
      <c r="CV115" s="2"/>
      <c r="CW115" s="2"/>
      <c r="CX115" s="1">
        <v>1242448.1285503719</v>
      </c>
      <c r="CY115" s="2"/>
      <c r="CZ115" s="2"/>
      <c r="DA115" s="2"/>
      <c r="DB115" s="2"/>
      <c r="DC115" s="2"/>
      <c r="DD115" s="2"/>
      <c r="DE115" s="1">
        <v>695578.88136227964</v>
      </c>
      <c r="DF115" s="2"/>
      <c r="DG115" s="2"/>
      <c r="DH115" s="2"/>
      <c r="DI115" s="2"/>
      <c r="DJ115" s="2"/>
      <c r="DK115" s="2"/>
      <c r="DL115" s="1">
        <v>818879.7321175863</v>
      </c>
      <c r="DM115" s="2"/>
      <c r="DN115" s="2"/>
      <c r="DO115" s="2"/>
      <c r="DP115" s="2"/>
      <c r="DQ115" s="2"/>
      <c r="DR115" s="2"/>
      <c r="DS115" s="1">
        <v>422889.91788709414</v>
      </c>
      <c r="DT115" s="2"/>
      <c r="DU115" s="2"/>
      <c r="DV115" s="2"/>
      <c r="DW115" s="2"/>
      <c r="DX115" s="2"/>
      <c r="DY115" s="2"/>
      <c r="DZ115" s="2"/>
      <c r="EA115" s="2"/>
      <c r="EB115" s="1">
        <v>49536.771930756033</v>
      </c>
      <c r="EC115" s="2"/>
      <c r="ED115" s="2"/>
      <c r="EE115" s="1">
        <v>103451.58223634808</v>
      </c>
      <c r="EF115" s="2"/>
      <c r="EG115" s="1">
        <v>370875.80325516674</v>
      </c>
      <c r="EH115" s="2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4"/>
      <c r="HX115" s="2">
        <v>1514538.7785011323</v>
      </c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1">
        <v>2258387.0025036959</v>
      </c>
      <c r="LP115" s="1"/>
      <c r="LQ115" s="1"/>
      <c r="LR115" s="1"/>
      <c r="LS115" s="1"/>
      <c r="LT115" s="1"/>
      <c r="LU115" s="1">
        <v>1662112.2353990183</v>
      </c>
      <c r="LV115" s="1"/>
      <c r="LW115" s="1"/>
      <c r="LX115" s="1"/>
      <c r="LY115" s="1"/>
      <c r="LZ115" s="1"/>
      <c r="MA115" s="1"/>
      <c r="MB115" s="1"/>
      <c r="MC115" s="1"/>
      <c r="MD115" s="1"/>
      <c r="ME115" s="1"/>
    </row>
    <row r="116" spans="1:343">
      <c r="A116" s="1">
        <v>1479</v>
      </c>
      <c r="B116" s="1">
        <v>10153182.3072129</v>
      </c>
      <c r="C116" s="1">
        <v>2839870.3062866889</v>
      </c>
      <c r="D116" s="1"/>
      <c r="E116" s="1"/>
      <c r="F116" s="1"/>
      <c r="G116" s="1"/>
      <c r="H116" s="1"/>
      <c r="I116" s="1"/>
      <c r="J116" s="1"/>
      <c r="K116" s="1">
        <v>1202102.0022464625</v>
      </c>
      <c r="L116" s="1"/>
      <c r="M116" s="1"/>
      <c r="N116" s="1"/>
      <c r="O116" s="1"/>
      <c r="P116" s="1"/>
      <c r="Q116" s="1"/>
      <c r="R116" s="1"/>
      <c r="S116" s="1"/>
      <c r="T116" s="1"/>
      <c r="U116" s="1">
        <v>1254468.4626348084</v>
      </c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>
        <v>3107142.8188652331</v>
      </c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>
        <v>1045690.3559524851</v>
      </c>
      <c r="AU116" s="1"/>
      <c r="AV116" s="1"/>
      <c r="AW116" s="1"/>
      <c r="AX116" s="1"/>
      <c r="AY116" s="1"/>
      <c r="AZ116" s="1"/>
      <c r="BA116" s="1"/>
      <c r="BB116" s="1"/>
      <c r="BC116" s="1">
        <v>703908.36122722412</v>
      </c>
      <c r="BD116" s="1"/>
      <c r="BE116" s="1"/>
      <c r="BF116" s="1"/>
      <c r="BG116" s="1"/>
      <c r="BH116" s="1"/>
      <c r="BI116" s="4">
        <v>6438033.997670169</v>
      </c>
      <c r="BJ116" s="2">
        <v>640892.75912382407</v>
      </c>
      <c r="BK116" s="2"/>
      <c r="BL116" s="2"/>
      <c r="BM116" s="2"/>
      <c r="BN116" s="2"/>
      <c r="BO116" s="2"/>
      <c r="BP116" s="2"/>
      <c r="BQ116" s="1">
        <v>547695.40013250464</v>
      </c>
      <c r="BR116" s="2"/>
      <c r="BS116" s="2"/>
      <c r="BT116" s="2"/>
      <c r="BU116" s="2"/>
      <c r="BV116" s="2"/>
      <c r="BW116" s="2"/>
      <c r="BX116" s="2"/>
      <c r="BY116" s="2"/>
      <c r="BZ116" s="1">
        <v>1140337.4805814421</v>
      </c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1">
        <v>391154.35763049708</v>
      </c>
      <c r="CU116" s="2"/>
      <c r="CV116" s="2"/>
      <c r="CW116" s="2"/>
      <c r="CX116" s="1">
        <v>1246672.4521874432</v>
      </c>
      <c r="CY116" s="2"/>
      <c r="CZ116" s="2"/>
      <c r="DA116" s="2"/>
      <c r="DB116" s="2"/>
      <c r="DC116" s="2"/>
      <c r="DD116" s="2"/>
      <c r="DE116" s="1">
        <v>697943.8495589114</v>
      </c>
      <c r="DF116" s="2"/>
      <c r="DG116" s="2"/>
      <c r="DH116" s="2"/>
      <c r="DI116" s="2"/>
      <c r="DJ116" s="2"/>
      <c r="DK116" s="2"/>
      <c r="DL116" s="1">
        <v>821663.92320678616</v>
      </c>
      <c r="DM116" s="2"/>
      <c r="DN116" s="2"/>
      <c r="DO116" s="2"/>
      <c r="DP116" s="2"/>
      <c r="DQ116" s="2"/>
      <c r="DR116" s="2"/>
      <c r="DS116" s="1">
        <v>425850.14731230377</v>
      </c>
      <c r="DT116" s="2"/>
      <c r="DU116" s="2"/>
      <c r="DV116" s="2"/>
      <c r="DW116" s="2"/>
      <c r="DX116" s="2"/>
      <c r="DY116" s="2"/>
      <c r="DZ116" s="2"/>
      <c r="EA116" s="2"/>
      <c r="EB116" s="1">
        <v>49883.529334271319</v>
      </c>
      <c r="EC116" s="2"/>
      <c r="ED116" s="2"/>
      <c r="EE116" s="1">
        <v>103803.31761595167</v>
      </c>
      <c r="EF116" s="2"/>
      <c r="EG116" s="1">
        <v>372136.78098623431</v>
      </c>
      <c r="EH116" s="2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4"/>
      <c r="HX116" s="2">
        <v>1521354.2030043872</v>
      </c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1">
        <v>2266065.5183122088</v>
      </c>
      <c r="LP116" s="1">
        <v>157080</v>
      </c>
      <c r="LQ116" s="1"/>
      <c r="LR116" s="1"/>
      <c r="LS116" s="1"/>
      <c r="LT116" s="1"/>
      <c r="LU116" s="1">
        <v>1667763.416999375</v>
      </c>
      <c r="LV116" s="1"/>
      <c r="LW116" s="1"/>
      <c r="LX116" s="1"/>
      <c r="LY116" s="1"/>
      <c r="LZ116" s="1"/>
      <c r="MA116" s="1"/>
      <c r="MB116" s="1"/>
      <c r="MC116" s="1"/>
      <c r="MD116" s="1"/>
      <c r="ME116" s="1"/>
    </row>
    <row r="117" spans="1:343">
      <c r="A117" s="1">
        <v>1480</v>
      </c>
      <c r="B117" s="1">
        <v>10190405.354568796</v>
      </c>
      <c r="C117" s="1">
        <v>2849525.8653280637</v>
      </c>
      <c r="D117" s="1"/>
      <c r="E117" s="1"/>
      <c r="F117" s="1"/>
      <c r="G117" s="1"/>
      <c r="H117" s="1"/>
      <c r="I117" s="1"/>
      <c r="J117" s="1"/>
      <c r="K117" s="1">
        <v>1207511.4612565716</v>
      </c>
      <c r="L117" s="1"/>
      <c r="M117" s="1"/>
      <c r="N117" s="1"/>
      <c r="O117" s="1"/>
      <c r="P117" s="1"/>
      <c r="Q117" s="1"/>
      <c r="R117" s="1"/>
      <c r="S117" s="1"/>
      <c r="T117" s="1"/>
      <c r="U117" s="1">
        <v>1260113.5707166649</v>
      </c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>
        <v>3117707.1044493751</v>
      </c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>
        <v>1049245.7031627237</v>
      </c>
      <c r="AU117" s="1"/>
      <c r="AV117" s="1"/>
      <c r="AW117" s="1"/>
      <c r="AX117" s="1"/>
      <c r="AY117" s="1"/>
      <c r="AZ117" s="1"/>
      <c r="BA117" s="1"/>
      <c r="BB117" s="1"/>
      <c r="BC117" s="1">
        <v>706301.6496553967</v>
      </c>
      <c r="BD117" s="1"/>
      <c r="BE117" s="1"/>
      <c r="BF117" s="1"/>
      <c r="BG117" s="1"/>
      <c r="BH117" s="1"/>
      <c r="BI117" s="4">
        <v>6465806.4075795636</v>
      </c>
      <c r="BJ117" s="2">
        <v>643520.41943623172</v>
      </c>
      <c r="BK117" s="2"/>
      <c r="BL117" s="2"/>
      <c r="BM117" s="2"/>
      <c r="BN117" s="2"/>
      <c r="BO117" s="2"/>
      <c r="BP117" s="2"/>
      <c r="BQ117" s="1">
        <v>549174.17771286238</v>
      </c>
      <c r="BR117" s="2"/>
      <c r="BS117" s="2"/>
      <c r="BT117" s="2"/>
      <c r="BU117" s="2"/>
      <c r="BV117" s="2"/>
      <c r="BW117" s="2"/>
      <c r="BX117" s="2"/>
      <c r="BY117" s="2"/>
      <c r="BZ117" s="1">
        <v>1148319.8429455122</v>
      </c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1">
        <v>392484.28244644077</v>
      </c>
      <c r="CU117" s="2"/>
      <c r="CV117" s="2"/>
      <c r="CW117" s="2"/>
      <c r="CX117" s="1">
        <v>1250911.1385248806</v>
      </c>
      <c r="CY117" s="2"/>
      <c r="CZ117" s="2"/>
      <c r="DA117" s="2"/>
      <c r="DB117" s="2"/>
      <c r="DC117" s="2"/>
      <c r="DD117" s="2"/>
      <c r="DE117" s="1">
        <v>700316.85864741181</v>
      </c>
      <c r="DF117" s="2"/>
      <c r="DG117" s="2"/>
      <c r="DH117" s="2"/>
      <c r="DI117" s="2"/>
      <c r="DJ117" s="2"/>
      <c r="DK117" s="2"/>
      <c r="DL117" s="1">
        <v>824457.58054568933</v>
      </c>
      <c r="DM117" s="2"/>
      <c r="DN117" s="2"/>
      <c r="DO117" s="2"/>
      <c r="DP117" s="2"/>
      <c r="DQ117" s="2"/>
      <c r="DR117" s="2"/>
      <c r="DS117" s="1">
        <v>428831.09834348987</v>
      </c>
      <c r="DT117" s="2"/>
      <c r="DU117" s="2"/>
      <c r="DV117" s="2"/>
      <c r="DW117" s="2"/>
      <c r="DX117" s="2"/>
      <c r="DY117" s="2"/>
      <c r="DZ117" s="2"/>
      <c r="EA117" s="2"/>
      <c r="EB117" s="1">
        <v>50232.714039611215</v>
      </c>
      <c r="EC117" s="2"/>
      <c r="ED117" s="2"/>
      <c r="EE117" s="1">
        <v>104156.24889584591</v>
      </c>
      <c r="EF117" s="2"/>
      <c r="EG117" s="1">
        <v>373402.04604158754</v>
      </c>
      <c r="EH117" s="2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4"/>
      <c r="HX117" s="2">
        <v>1528200.296917907</v>
      </c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1">
        <v>2273770.1410744707</v>
      </c>
      <c r="LP117" s="1"/>
      <c r="LQ117" s="1"/>
      <c r="LR117" s="1"/>
      <c r="LS117" s="1"/>
      <c r="LT117" s="1"/>
      <c r="LU117" s="1">
        <v>1673433.812617173</v>
      </c>
      <c r="LV117" s="1"/>
      <c r="LW117" s="1"/>
      <c r="LX117" s="1"/>
      <c r="LY117" s="1"/>
      <c r="LZ117" s="1"/>
      <c r="MA117" s="1"/>
      <c r="MB117" s="1"/>
      <c r="MC117" s="1"/>
      <c r="MD117" s="1"/>
      <c r="ME117" s="1"/>
    </row>
    <row r="118" spans="1:343">
      <c r="A118" s="1">
        <v>1481</v>
      </c>
      <c r="B118" s="1">
        <v>10227767.1203095</v>
      </c>
      <c r="C118" s="1">
        <v>2859214.2532701795</v>
      </c>
      <c r="D118" s="1"/>
      <c r="E118" s="1"/>
      <c r="F118" s="1"/>
      <c r="G118" s="1"/>
      <c r="H118" s="1"/>
      <c r="I118" s="1"/>
      <c r="J118" s="1"/>
      <c r="K118" s="1">
        <v>1212945.262832226</v>
      </c>
      <c r="L118" s="1"/>
      <c r="M118" s="1"/>
      <c r="N118" s="1"/>
      <c r="O118" s="1"/>
      <c r="P118" s="1"/>
      <c r="Q118" s="1"/>
      <c r="R118" s="1"/>
      <c r="S118" s="1"/>
      <c r="T118" s="1"/>
      <c r="U118" s="1">
        <v>1265784.0817848898</v>
      </c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>
        <v>3128307.3086045031</v>
      </c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>
        <v>1052813.1385534771</v>
      </c>
      <c r="AU118" s="1"/>
      <c r="AV118" s="1"/>
      <c r="AW118" s="1"/>
      <c r="AX118" s="1"/>
      <c r="AY118" s="1"/>
      <c r="AZ118" s="1"/>
      <c r="BA118" s="1"/>
      <c r="BB118" s="1"/>
      <c r="BC118" s="1">
        <v>708703.07526422513</v>
      </c>
      <c r="BD118" s="1"/>
      <c r="BE118" s="1"/>
      <c r="BF118" s="1"/>
      <c r="BG118" s="1"/>
      <c r="BH118" s="1"/>
      <c r="BI118" s="4">
        <v>6493714.7728937231</v>
      </c>
      <c r="BJ118" s="2">
        <v>646158.85315592028</v>
      </c>
      <c r="BK118" s="2"/>
      <c r="BL118" s="2"/>
      <c r="BM118" s="2"/>
      <c r="BN118" s="2"/>
      <c r="BO118" s="2"/>
      <c r="BP118" s="2"/>
      <c r="BQ118" s="1">
        <v>550656.94799268711</v>
      </c>
      <c r="BR118" s="2"/>
      <c r="BS118" s="2"/>
      <c r="BT118" s="2"/>
      <c r="BU118" s="2"/>
      <c r="BV118" s="2"/>
      <c r="BW118" s="2"/>
      <c r="BX118" s="2"/>
      <c r="BY118" s="2"/>
      <c r="BZ118" s="1">
        <v>1156358.0818461305</v>
      </c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1">
        <v>393818.72900675872</v>
      </c>
      <c r="CU118" s="2"/>
      <c r="CV118" s="2"/>
      <c r="CW118" s="2"/>
      <c r="CX118" s="1">
        <v>1255164.2363958652</v>
      </c>
      <c r="CY118" s="2"/>
      <c r="CZ118" s="2"/>
      <c r="DA118" s="2"/>
      <c r="DB118" s="2"/>
      <c r="DC118" s="2"/>
      <c r="DD118" s="2"/>
      <c r="DE118" s="1">
        <v>702697.93596681301</v>
      </c>
      <c r="DF118" s="2"/>
      <c r="DG118" s="2"/>
      <c r="DH118" s="2"/>
      <c r="DI118" s="2"/>
      <c r="DJ118" s="2"/>
      <c r="DK118" s="2"/>
      <c r="DL118" s="1">
        <v>827260.73631954473</v>
      </c>
      <c r="DM118" s="2"/>
      <c r="DN118" s="2"/>
      <c r="DO118" s="2"/>
      <c r="DP118" s="2"/>
      <c r="DQ118" s="2"/>
      <c r="DR118" s="2"/>
      <c r="DS118" s="1">
        <v>431832.91603189427</v>
      </c>
      <c r="DT118" s="2"/>
      <c r="DU118" s="2"/>
      <c r="DV118" s="2"/>
      <c r="DW118" s="2"/>
      <c r="DX118" s="2"/>
      <c r="DY118" s="2"/>
      <c r="DZ118" s="2"/>
      <c r="EA118" s="2"/>
      <c r="EB118" s="1">
        <v>50584.343037888488</v>
      </c>
      <c r="EC118" s="2"/>
      <c r="ED118" s="2"/>
      <c r="EE118" s="1">
        <v>104510.3801420918</v>
      </c>
      <c r="EF118" s="2"/>
      <c r="EG118" s="1">
        <v>374671.61299812899</v>
      </c>
      <c r="EH118" s="2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4"/>
      <c r="HX118" s="2">
        <v>1535077.1982540374</v>
      </c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1">
        <v>2281500.9595541242</v>
      </c>
      <c r="LP118" s="1"/>
      <c r="LQ118" s="1"/>
      <c r="LR118" s="1"/>
      <c r="LS118" s="1"/>
      <c r="LT118" s="1"/>
      <c r="LU118" s="1">
        <v>1679123.4875800714</v>
      </c>
      <c r="LV118" s="1"/>
      <c r="LW118" s="1"/>
      <c r="LX118" s="1"/>
      <c r="LY118" s="1"/>
      <c r="LZ118" s="1"/>
      <c r="MA118" s="1"/>
      <c r="MB118" s="1"/>
      <c r="MC118" s="1"/>
      <c r="MD118" s="1"/>
      <c r="ME118" s="1"/>
    </row>
    <row r="119" spans="1:343">
      <c r="A119" s="1">
        <v>1482</v>
      </c>
      <c r="B119" s="1">
        <v>10265268.130797632</v>
      </c>
      <c r="C119" s="1">
        <v>2868935.5817312985</v>
      </c>
      <c r="D119" s="1"/>
      <c r="E119" s="1"/>
      <c r="F119" s="1"/>
      <c r="G119" s="1"/>
      <c r="H119" s="1"/>
      <c r="I119" s="1"/>
      <c r="J119" s="1"/>
      <c r="K119" s="1">
        <v>1218403.5165149709</v>
      </c>
      <c r="L119" s="1"/>
      <c r="M119" s="1"/>
      <c r="N119" s="1"/>
      <c r="O119" s="1"/>
      <c r="P119" s="1"/>
      <c r="Q119" s="1"/>
      <c r="R119" s="1"/>
      <c r="S119" s="1"/>
      <c r="T119" s="1"/>
      <c r="U119" s="1">
        <v>1271480.1101529216</v>
      </c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>
        <v>3138943.5534537584</v>
      </c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>
        <v>1056392.7032245591</v>
      </c>
      <c r="AU119" s="1"/>
      <c r="AV119" s="1"/>
      <c r="AW119" s="1"/>
      <c r="AX119" s="1"/>
      <c r="AY119" s="1"/>
      <c r="AZ119" s="1"/>
      <c r="BA119" s="1"/>
      <c r="BB119" s="1"/>
      <c r="BC119" s="1">
        <v>711112.66572012356</v>
      </c>
      <c r="BD119" s="1"/>
      <c r="BE119" s="1"/>
      <c r="BF119" s="1"/>
      <c r="BG119" s="1"/>
      <c r="BH119" s="1"/>
      <c r="BI119" s="4">
        <v>6521759.8456824729</v>
      </c>
      <c r="BJ119" s="2">
        <v>648808.1044538595</v>
      </c>
      <c r="BK119" s="2"/>
      <c r="BL119" s="2"/>
      <c r="BM119" s="2"/>
      <c r="BN119" s="2"/>
      <c r="BO119" s="2"/>
      <c r="BP119" s="2"/>
      <c r="BQ119" s="1">
        <v>552143.72175226733</v>
      </c>
      <c r="BR119" s="2"/>
      <c r="BS119" s="2"/>
      <c r="BT119" s="2"/>
      <c r="BU119" s="2"/>
      <c r="BV119" s="2"/>
      <c r="BW119" s="2"/>
      <c r="BX119" s="2"/>
      <c r="BY119" s="2"/>
      <c r="BZ119" s="1">
        <v>1164452.5884190532</v>
      </c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1">
        <v>395157.7126853817</v>
      </c>
      <c r="CU119" s="2"/>
      <c r="CV119" s="2"/>
      <c r="CW119" s="2"/>
      <c r="CX119" s="1">
        <v>1259431.7947996112</v>
      </c>
      <c r="CY119" s="2"/>
      <c r="CZ119" s="2"/>
      <c r="DA119" s="2"/>
      <c r="DB119" s="2"/>
      <c r="DC119" s="2"/>
      <c r="DD119" s="2"/>
      <c r="DE119" s="1">
        <v>705087.10894910025</v>
      </c>
      <c r="DF119" s="2"/>
      <c r="DG119" s="2"/>
      <c r="DH119" s="2"/>
      <c r="DI119" s="2"/>
      <c r="DJ119" s="2"/>
      <c r="DK119" s="2"/>
      <c r="DL119" s="1">
        <v>830073.4228230312</v>
      </c>
      <c r="DM119" s="2"/>
      <c r="DN119" s="2"/>
      <c r="DO119" s="2"/>
      <c r="DP119" s="2"/>
      <c r="DQ119" s="2"/>
      <c r="DR119" s="2"/>
      <c r="DS119" s="1">
        <v>434855.74644411751</v>
      </c>
      <c r="DT119" s="2"/>
      <c r="DU119" s="2"/>
      <c r="DV119" s="2"/>
      <c r="DW119" s="2"/>
      <c r="DX119" s="2"/>
      <c r="DY119" s="2"/>
      <c r="DZ119" s="2"/>
      <c r="EA119" s="2"/>
      <c r="EB119" s="1">
        <v>50938.433439153705</v>
      </c>
      <c r="EC119" s="2"/>
      <c r="ED119" s="2"/>
      <c r="EE119" s="1">
        <v>104865.71543457491</v>
      </c>
      <c r="EF119" s="2"/>
      <c r="EG119" s="1">
        <v>375945.49648232263</v>
      </c>
      <c r="EH119" s="2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4"/>
      <c r="HX119" s="2">
        <v>1541985.0456461804</v>
      </c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1">
        <v>2289258.0628166082</v>
      </c>
      <c r="LP119" s="1"/>
      <c r="LQ119" s="1"/>
      <c r="LR119" s="1"/>
      <c r="LS119" s="1"/>
      <c r="LT119" s="1"/>
      <c r="LU119" s="1">
        <v>1684832.5074378438</v>
      </c>
      <c r="LV119" s="1"/>
      <c r="LW119" s="1"/>
      <c r="LX119" s="1"/>
      <c r="LY119" s="1"/>
      <c r="LZ119" s="1"/>
      <c r="MA119" s="1"/>
      <c r="MB119" s="1"/>
      <c r="MC119" s="1"/>
      <c r="MD119" s="1"/>
      <c r="ME119" s="1"/>
    </row>
    <row r="120" spans="1:343">
      <c r="A120" s="1">
        <v>1483</v>
      </c>
      <c r="B120" s="1">
        <v>10302908.91443168</v>
      </c>
      <c r="C120" s="1">
        <v>2878689.9627091852</v>
      </c>
      <c r="D120" s="1"/>
      <c r="E120" s="1"/>
      <c r="F120" s="1"/>
      <c r="G120" s="1"/>
      <c r="H120" s="1"/>
      <c r="I120" s="1"/>
      <c r="J120" s="1"/>
      <c r="K120" s="1">
        <v>1223886.3323392882</v>
      </c>
      <c r="L120" s="1"/>
      <c r="M120" s="1"/>
      <c r="N120" s="1"/>
      <c r="O120" s="1"/>
      <c r="P120" s="1"/>
      <c r="Q120" s="1"/>
      <c r="R120" s="1"/>
      <c r="S120" s="1"/>
      <c r="T120" s="1"/>
      <c r="U120" s="1">
        <v>1277201.7706486096</v>
      </c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>
        <v>3149615.9615355013</v>
      </c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>
        <v>1059984.4384155227</v>
      </c>
      <c r="AU120" s="1"/>
      <c r="AV120" s="1"/>
      <c r="AW120" s="1"/>
      <c r="AX120" s="1"/>
      <c r="AY120" s="1"/>
      <c r="AZ120" s="1"/>
      <c r="BA120" s="1"/>
      <c r="BB120" s="1"/>
      <c r="BC120" s="1">
        <v>713530.44878357206</v>
      </c>
      <c r="BD120" s="1"/>
      <c r="BE120" s="1"/>
      <c r="BF120" s="1"/>
      <c r="BG120" s="1"/>
      <c r="BH120" s="1"/>
      <c r="BI120" s="4">
        <v>6549942.3825915726</v>
      </c>
      <c r="BJ120" s="2">
        <v>651468.21768212027</v>
      </c>
      <c r="BK120" s="2"/>
      <c r="BL120" s="2"/>
      <c r="BM120" s="2"/>
      <c r="BN120" s="2"/>
      <c r="BO120" s="2"/>
      <c r="BP120" s="2"/>
      <c r="BQ120" s="1">
        <v>553634.50980099838</v>
      </c>
      <c r="BR120" s="2"/>
      <c r="BS120" s="2"/>
      <c r="BT120" s="2"/>
      <c r="BU120" s="2"/>
      <c r="BV120" s="2"/>
      <c r="BW120" s="2"/>
      <c r="BX120" s="2"/>
      <c r="BY120" s="2"/>
      <c r="BZ120" s="1">
        <v>1172603.7565379865</v>
      </c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1">
        <v>396501.248908512</v>
      </c>
      <c r="CU120" s="2"/>
      <c r="CV120" s="2"/>
      <c r="CW120" s="2"/>
      <c r="CX120" s="1">
        <v>1263713.86290193</v>
      </c>
      <c r="CY120" s="2"/>
      <c r="CZ120" s="2"/>
      <c r="DA120" s="2"/>
      <c r="DB120" s="2"/>
      <c r="DC120" s="2"/>
      <c r="DD120" s="2"/>
      <c r="DE120" s="1">
        <v>707484.40511952725</v>
      </c>
      <c r="DF120" s="2"/>
      <c r="DG120" s="2"/>
      <c r="DH120" s="2"/>
      <c r="DI120" s="2"/>
      <c r="DJ120" s="2"/>
      <c r="DK120" s="2"/>
      <c r="DL120" s="1">
        <v>832895.6724606296</v>
      </c>
      <c r="DM120" s="2"/>
      <c r="DN120" s="2"/>
      <c r="DO120" s="2"/>
      <c r="DP120" s="2"/>
      <c r="DQ120" s="2"/>
      <c r="DR120" s="2"/>
      <c r="DS120" s="1">
        <v>437899.73666922632</v>
      </c>
      <c r="DT120" s="2"/>
      <c r="DU120" s="2"/>
      <c r="DV120" s="2"/>
      <c r="DW120" s="2"/>
      <c r="DX120" s="2"/>
      <c r="DY120" s="2"/>
      <c r="DZ120" s="2"/>
      <c r="EA120" s="2"/>
      <c r="EB120" s="1">
        <v>51295.002473227774</v>
      </c>
      <c r="EC120" s="2"/>
      <c r="ED120" s="2"/>
      <c r="EE120" s="1">
        <v>105222.25886705247</v>
      </c>
      <c r="EF120" s="2"/>
      <c r="EG120" s="1">
        <v>377223.71117036254</v>
      </c>
      <c r="EH120" s="2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4"/>
      <c r="HX120" s="2">
        <v>1548923.9783515881</v>
      </c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1">
        <v>2297041.5402301848</v>
      </c>
      <c r="LP120" s="1"/>
      <c r="LQ120" s="1"/>
      <c r="LR120" s="1"/>
      <c r="LS120" s="1"/>
      <c r="LT120" s="1"/>
      <c r="LU120" s="1">
        <v>1690560.9379631325</v>
      </c>
      <c r="LV120" s="1"/>
      <c r="LW120" s="1"/>
      <c r="LX120" s="1"/>
      <c r="LY120" s="1"/>
      <c r="LZ120" s="1"/>
      <c r="MA120" s="1"/>
      <c r="MB120" s="1"/>
      <c r="MC120" s="1"/>
      <c r="MD120" s="1"/>
      <c r="ME120" s="1"/>
    </row>
    <row r="121" spans="1:343">
      <c r="A121" s="1">
        <v>1484</v>
      </c>
      <c r="B121" s="1">
        <v>10340690.001654034</v>
      </c>
      <c r="C121" s="1">
        <v>2888477.5085823964</v>
      </c>
      <c r="D121" s="1"/>
      <c r="E121" s="1"/>
      <c r="F121" s="1"/>
      <c r="G121" s="1"/>
      <c r="H121" s="1"/>
      <c r="I121" s="1"/>
      <c r="J121" s="1"/>
      <c r="K121" s="1">
        <v>1229393.820834815</v>
      </c>
      <c r="L121" s="1"/>
      <c r="M121" s="1"/>
      <c r="N121" s="1"/>
      <c r="O121" s="1"/>
      <c r="P121" s="1"/>
      <c r="Q121" s="1"/>
      <c r="R121" s="1"/>
      <c r="S121" s="1"/>
      <c r="T121" s="1"/>
      <c r="U121" s="1">
        <v>1282949.1786165284</v>
      </c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>
        <v>3160324.6558047221</v>
      </c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>
        <v>1063588.3855061356</v>
      </c>
      <c r="AU121" s="1"/>
      <c r="AV121" s="1"/>
      <c r="AW121" s="1"/>
      <c r="AX121" s="1"/>
      <c r="AY121" s="1"/>
      <c r="AZ121" s="1"/>
      <c r="BA121" s="1"/>
      <c r="BB121" s="1"/>
      <c r="BC121" s="1">
        <v>715956.45230943628</v>
      </c>
      <c r="BD121" s="1"/>
      <c r="BE121" s="1"/>
      <c r="BF121" s="1"/>
      <c r="BG121" s="1"/>
      <c r="BH121" s="1"/>
      <c r="BI121" s="4">
        <v>6578263.1448723515</v>
      </c>
      <c r="BJ121" s="2">
        <v>654139.23737461702</v>
      </c>
      <c r="BK121" s="2"/>
      <c r="BL121" s="2"/>
      <c r="BM121" s="2"/>
      <c r="BN121" s="2"/>
      <c r="BO121" s="2"/>
      <c r="BP121" s="2"/>
      <c r="BQ121" s="1">
        <v>555129.32297746104</v>
      </c>
      <c r="BR121" s="2"/>
      <c r="BS121" s="2"/>
      <c r="BT121" s="2"/>
      <c r="BU121" s="2"/>
      <c r="BV121" s="2"/>
      <c r="BW121" s="2"/>
      <c r="BX121" s="2"/>
      <c r="BY121" s="2"/>
      <c r="BZ121" s="1">
        <v>1180811.9828337522</v>
      </c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1">
        <v>397849.35315480095</v>
      </c>
      <c r="CU121" s="2"/>
      <c r="CV121" s="2"/>
      <c r="CW121" s="2"/>
      <c r="CX121" s="1">
        <v>1268010.4900357965</v>
      </c>
      <c r="CY121" s="2"/>
      <c r="CZ121" s="2"/>
      <c r="DA121" s="2"/>
      <c r="DB121" s="2"/>
      <c r="DC121" s="2"/>
      <c r="DD121" s="2"/>
      <c r="DE121" s="1">
        <v>709889.85209693364</v>
      </c>
      <c r="DF121" s="2"/>
      <c r="DG121" s="2"/>
      <c r="DH121" s="2"/>
      <c r="DI121" s="2"/>
      <c r="DJ121" s="2"/>
      <c r="DK121" s="2"/>
      <c r="DL121" s="1">
        <v>835727.51774699579</v>
      </c>
      <c r="DM121" s="2"/>
      <c r="DN121" s="2"/>
      <c r="DO121" s="2"/>
      <c r="DP121" s="2"/>
      <c r="DQ121" s="2"/>
      <c r="DR121" s="2"/>
      <c r="DS121" s="1">
        <v>440965.03482591087</v>
      </c>
      <c r="DT121" s="2"/>
      <c r="DU121" s="2"/>
      <c r="DV121" s="2"/>
      <c r="DW121" s="2"/>
      <c r="DX121" s="2"/>
      <c r="DY121" s="2"/>
      <c r="DZ121" s="2"/>
      <c r="EA121" s="2"/>
      <c r="EB121" s="1">
        <v>51654.067490540365</v>
      </c>
      <c r="EC121" s="2"/>
      <c r="ED121" s="2"/>
      <c r="EE121" s="1">
        <v>105580.01454720045</v>
      </c>
      <c r="EF121" s="2"/>
      <c r="EG121" s="1">
        <v>378506.27178834181</v>
      </c>
      <c r="EH121" s="2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4"/>
      <c r="HX121" s="2">
        <v>1555894.1362541702</v>
      </c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1">
        <v>2304851.4814669676</v>
      </c>
      <c r="LP121" s="1"/>
      <c r="LQ121" s="1"/>
      <c r="LR121" s="1"/>
      <c r="LS121" s="1"/>
      <c r="LT121" s="1"/>
      <c r="LU121" s="1">
        <v>1696308.8451522072</v>
      </c>
      <c r="LV121" s="1"/>
      <c r="LW121" s="1"/>
      <c r="LX121" s="1"/>
      <c r="LY121" s="1"/>
      <c r="LZ121" s="1"/>
      <c r="MA121" s="1"/>
      <c r="MB121" s="1"/>
      <c r="MC121" s="1"/>
      <c r="MD121" s="1"/>
      <c r="ME121" s="1"/>
    </row>
    <row r="122" spans="1:343">
      <c r="A122" s="1">
        <v>1485</v>
      </c>
      <c r="B122" s="1">
        <v>10378611.924959052</v>
      </c>
      <c r="C122" s="1">
        <v>2898298.3321115766</v>
      </c>
      <c r="D122" s="1"/>
      <c r="E122" s="1"/>
      <c r="F122" s="1"/>
      <c r="G122" s="1"/>
      <c r="H122" s="1"/>
      <c r="I122" s="1"/>
      <c r="J122" s="1"/>
      <c r="K122" s="1">
        <v>1234926.0930285717</v>
      </c>
      <c r="L122" s="1"/>
      <c r="M122" s="1"/>
      <c r="N122" s="1"/>
      <c r="O122" s="1"/>
      <c r="P122" s="1"/>
      <c r="Q122" s="1"/>
      <c r="R122" s="1"/>
      <c r="S122" s="1"/>
      <c r="T122" s="1"/>
      <c r="U122" s="1">
        <v>1288722.4499203027</v>
      </c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>
        <v>3171069.7596344585</v>
      </c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>
        <v>1067204.5860168566</v>
      </c>
      <c r="AU122" s="1"/>
      <c r="AV122" s="1"/>
      <c r="AW122" s="1"/>
      <c r="AX122" s="1"/>
      <c r="AY122" s="1"/>
      <c r="AZ122" s="1"/>
      <c r="BA122" s="1"/>
      <c r="BB122" s="1"/>
      <c r="BC122" s="1">
        <v>718390.70424728841</v>
      </c>
      <c r="BD122" s="1"/>
      <c r="BE122" s="1"/>
      <c r="BF122" s="1"/>
      <c r="BG122" s="1"/>
      <c r="BH122" s="1"/>
      <c r="BI122" s="4">
        <v>6606722.8984115347</v>
      </c>
      <c r="BJ122" s="2">
        <v>656821.20824785298</v>
      </c>
      <c r="BK122" s="2"/>
      <c r="BL122" s="2"/>
      <c r="BM122" s="2"/>
      <c r="BN122" s="2"/>
      <c r="BO122" s="2"/>
      <c r="BP122" s="2"/>
      <c r="BQ122" s="1">
        <v>556628.17214950011</v>
      </c>
      <c r="BR122" s="2"/>
      <c r="BS122" s="2"/>
      <c r="BT122" s="2"/>
      <c r="BU122" s="2"/>
      <c r="BV122" s="2"/>
      <c r="BW122" s="2"/>
      <c r="BX122" s="2"/>
      <c r="BY122" s="2"/>
      <c r="BZ122" s="1">
        <v>1189077.6667135884</v>
      </c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1">
        <v>399202.04095552728</v>
      </c>
      <c r="CU122" s="2"/>
      <c r="CV122" s="2"/>
      <c r="CW122" s="2"/>
      <c r="CX122" s="1">
        <v>1272321.7257019184</v>
      </c>
      <c r="CY122" s="2"/>
      <c r="CZ122" s="2"/>
      <c r="DA122" s="2"/>
      <c r="DB122" s="2"/>
      <c r="DC122" s="2"/>
      <c r="DD122" s="2"/>
      <c r="DE122" s="1">
        <v>712303.47759406327</v>
      </c>
      <c r="DF122" s="2"/>
      <c r="DG122" s="2"/>
      <c r="DH122" s="2"/>
      <c r="DI122" s="2"/>
      <c r="DJ122" s="2"/>
      <c r="DK122" s="2"/>
      <c r="DL122" s="1">
        <v>838568.99130733567</v>
      </c>
      <c r="DM122" s="2"/>
      <c r="DN122" s="2"/>
      <c r="DO122" s="2"/>
      <c r="DP122" s="2"/>
      <c r="DQ122" s="2"/>
      <c r="DR122" s="2"/>
      <c r="DS122" s="1">
        <v>444051.79006969219</v>
      </c>
      <c r="DT122" s="2"/>
      <c r="DU122" s="2"/>
      <c r="DV122" s="2"/>
      <c r="DW122" s="2"/>
      <c r="DX122" s="2"/>
      <c r="DY122" s="2"/>
      <c r="DZ122" s="2"/>
      <c r="EA122" s="2"/>
      <c r="EB122" s="1">
        <v>52015.645962974144</v>
      </c>
      <c r="EC122" s="2"/>
      <c r="ED122" s="2"/>
      <c r="EE122" s="1">
        <v>105938.98659666094</v>
      </c>
      <c r="EF122" s="2"/>
      <c r="EG122" s="1">
        <v>379793.19311242219</v>
      </c>
      <c r="EH122" s="2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4"/>
      <c r="HX122" s="2">
        <v>1562895.6598673139</v>
      </c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1">
        <v>2312687.9765039557</v>
      </c>
      <c r="LP122" s="1"/>
      <c r="LQ122" s="1"/>
      <c r="LR122" s="1"/>
      <c r="LS122" s="1"/>
      <c r="LT122" s="1"/>
      <c r="LU122" s="1">
        <v>1702076.2952257248</v>
      </c>
      <c r="LV122" s="1"/>
      <c r="LW122" s="1"/>
      <c r="LX122" s="1"/>
      <c r="LY122" s="1"/>
      <c r="LZ122" s="1"/>
      <c r="MA122" s="1"/>
      <c r="MB122" s="1"/>
      <c r="MC122" s="1"/>
      <c r="MD122" s="1"/>
      <c r="ME122" s="1"/>
    </row>
    <row r="123" spans="1:343">
      <c r="A123" s="1">
        <v>1486</v>
      </c>
      <c r="B123" s="1">
        <v>10416675.218901159</v>
      </c>
      <c r="C123" s="1">
        <v>2908152.5464407559</v>
      </c>
      <c r="D123" s="1"/>
      <c r="E123" s="1"/>
      <c r="F123" s="1"/>
      <c r="G123" s="1"/>
      <c r="H123" s="1"/>
      <c r="I123" s="1"/>
      <c r="J123" s="1"/>
      <c r="K123" s="1">
        <v>1240483.2604472002</v>
      </c>
      <c r="L123" s="1"/>
      <c r="M123" s="1"/>
      <c r="N123" s="1"/>
      <c r="O123" s="1"/>
      <c r="P123" s="1"/>
      <c r="Q123" s="1"/>
      <c r="R123" s="1"/>
      <c r="S123" s="1"/>
      <c r="T123" s="1"/>
      <c r="U123" s="1">
        <v>1294521.7009449441</v>
      </c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>
        <v>3181851.3968172157</v>
      </c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>
        <v>1070833.0816093141</v>
      </c>
      <c r="AU123" s="1"/>
      <c r="AV123" s="1"/>
      <c r="AW123" s="1"/>
      <c r="AX123" s="1"/>
      <c r="AY123" s="1"/>
      <c r="AZ123" s="1"/>
      <c r="BA123" s="1"/>
      <c r="BB123" s="1"/>
      <c r="BC123" s="1">
        <v>720833.23264172929</v>
      </c>
      <c r="BD123" s="1"/>
      <c r="BE123" s="1"/>
      <c r="BF123" s="1"/>
      <c r="BG123" s="1"/>
      <c r="BH123" s="1"/>
      <c r="BI123" s="4">
        <v>6635322.4137612917</v>
      </c>
      <c r="BJ123" s="2">
        <v>659514.17520166922</v>
      </c>
      <c r="BK123" s="2"/>
      <c r="BL123" s="2"/>
      <c r="BM123" s="2"/>
      <c r="BN123" s="2"/>
      <c r="BO123" s="2"/>
      <c r="BP123" s="2"/>
      <c r="BQ123" s="1">
        <v>558131.0682143037</v>
      </c>
      <c r="BR123" s="2"/>
      <c r="BS123" s="2"/>
      <c r="BT123" s="2"/>
      <c r="BU123" s="2"/>
      <c r="BV123" s="2"/>
      <c r="BW123" s="2"/>
      <c r="BX123" s="2"/>
      <c r="BY123" s="2"/>
      <c r="BZ123" s="1">
        <v>1197401.2103805833</v>
      </c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1">
        <v>400559.32789477607</v>
      </c>
      <c r="CU123" s="2"/>
      <c r="CV123" s="2"/>
      <c r="CW123" s="2"/>
      <c r="CX123" s="1">
        <v>1276647.6195693049</v>
      </c>
      <c r="CY123" s="2"/>
      <c r="CZ123" s="2"/>
      <c r="DA123" s="2"/>
      <c r="DB123" s="2"/>
      <c r="DC123" s="2"/>
      <c r="DD123" s="2"/>
      <c r="DE123" s="1">
        <v>714725.30941788317</v>
      </c>
      <c r="DF123" s="2"/>
      <c r="DG123" s="2"/>
      <c r="DH123" s="2"/>
      <c r="DI123" s="2"/>
      <c r="DJ123" s="2"/>
      <c r="DK123" s="2"/>
      <c r="DL123" s="1">
        <v>841420.12587778072</v>
      </c>
      <c r="DM123" s="2"/>
      <c r="DN123" s="2"/>
      <c r="DO123" s="2"/>
      <c r="DP123" s="2"/>
      <c r="DQ123" s="2"/>
      <c r="DR123" s="2"/>
      <c r="DS123" s="1">
        <v>447160.15260018001</v>
      </c>
      <c r="DT123" s="2"/>
      <c r="DU123" s="2"/>
      <c r="DV123" s="2"/>
      <c r="DW123" s="2"/>
      <c r="DX123" s="2"/>
      <c r="DY123" s="2"/>
      <c r="DZ123" s="2"/>
      <c r="EA123" s="2"/>
      <c r="EB123" s="1">
        <v>52379.755484714959</v>
      </c>
      <c r="EC123" s="2"/>
      <c r="ED123" s="2"/>
      <c r="EE123" s="1">
        <v>106299.17915108959</v>
      </c>
      <c r="EF123" s="2"/>
      <c r="EG123" s="1">
        <v>381084.48996900447</v>
      </c>
      <c r="EH123" s="2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4"/>
      <c r="HX123" s="2">
        <v>1569928.6903367168</v>
      </c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1">
        <v>2320551.1156240692</v>
      </c>
      <c r="LP123" s="1"/>
      <c r="LQ123" s="1"/>
      <c r="LR123" s="1"/>
      <c r="LS123" s="1"/>
      <c r="LT123" s="1"/>
      <c r="LU123" s="1">
        <v>1707863.3546294924</v>
      </c>
      <c r="LV123" s="1"/>
      <c r="LW123" s="1"/>
      <c r="LX123" s="1"/>
      <c r="LY123" s="1"/>
      <c r="LZ123" s="1"/>
      <c r="MA123" s="1"/>
      <c r="MB123" s="1"/>
      <c r="MC123" s="1"/>
      <c r="MD123" s="1"/>
      <c r="ME123" s="1"/>
    </row>
    <row r="124" spans="1:343">
      <c r="A124" s="1">
        <v>1487</v>
      </c>
      <c r="B124" s="1">
        <v>10454880.420102956</v>
      </c>
      <c r="C124" s="1">
        <v>2918040.2650986547</v>
      </c>
      <c r="D124" s="1"/>
      <c r="E124" s="1"/>
      <c r="F124" s="1"/>
      <c r="G124" s="1"/>
      <c r="H124" s="1"/>
      <c r="I124" s="1"/>
      <c r="J124" s="1"/>
      <c r="K124" s="1">
        <v>1246065.4351192126</v>
      </c>
      <c r="L124" s="1"/>
      <c r="M124" s="1"/>
      <c r="N124" s="1"/>
      <c r="O124" s="1"/>
      <c r="P124" s="1"/>
      <c r="Q124" s="1"/>
      <c r="R124" s="1"/>
      <c r="S124" s="1"/>
      <c r="T124" s="1"/>
      <c r="U124" s="1">
        <v>1300347.0485991961</v>
      </c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>
        <v>3192669.6915663946</v>
      </c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>
        <v>1074473.9140867859</v>
      </c>
      <c r="AU124" s="1"/>
      <c r="AV124" s="1"/>
      <c r="AW124" s="1"/>
      <c r="AX124" s="1"/>
      <c r="AY124" s="1"/>
      <c r="AZ124" s="1"/>
      <c r="BA124" s="1"/>
      <c r="BB124" s="1"/>
      <c r="BC124" s="1">
        <v>723284.06563271128</v>
      </c>
      <c r="BD124" s="1"/>
      <c r="BE124" s="1"/>
      <c r="BF124" s="1"/>
      <c r="BG124" s="1"/>
      <c r="BH124" s="1"/>
      <c r="BI124" s="4">
        <v>6664062.4661694458</v>
      </c>
      <c r="BJ124" s="2">
        <v>662218.18331999611</v>
      </c>
      <c r="BK124" s="2"/>
      <c r="BL124" s="2"/>
      <c r="BM124" s="2"/>
      <c r="BN124" s="2"/>
      <c r="BO124" s="2"/>
      <c r="BP124" s="2"/>
      <c r="BQ124" s="1">
        <v>559638.02209848224</v>
      </c>
      <c r="BR124" s="2"/>
      <c r="BS124" s="2"/>
      <c r="BT124" s="2"/>
      <c r="BU124" s="2"/>
      <c r="BV124" s="2"/>
      <c r="BW124" s="2"/>
      <c r="BX124" s="2"/>
      <c r="BY124" s="2"/>
      <c r="BZ124" s="1">
        <v>1205783.0188532472</v>
      </c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1">
        <v>401921.22960961831</v>
      </c>
      <c r="CU124" s="2"/>
      <c r="CV124" s="2"/>
      <c r="CW124" s="2"/>
      <c r="CX124" s="1">
        <v>1280988.2214758405</v>
      </c>
      <c r="CY124" s="2"/>
      <c r="CZ124" s="2"/>
      <c r="DA124" s="2"/>
      <c r="DB124" s="2"/>
      <c r="DC124" s="2"/>
      <c r="DD124" s="2"/>
      <c r="DE124" s="1">
        <v>717155.37546990404</v>
      </c>
      <c r="DF124" s="2"/>
      <c r="DG124" s="2"/>
      <c r="DH124" s="2"/>
      <c r="DI124" s="2"/>
      <c r="DJ124" s="2"/>
      <c r="DK124" s="2"/>
      <c r="DL124" s="1">
        <v>844280.95430576522</v>
      </c>
      <c r="DM124" s="2"/>
      <c r="DN124" s="2"/>
      <c r="DO124" s="2"/>
      <c r="DP124" s="2"/>
      <c r="DQ124" s="2"/>
      <c r="DR124" s="2"/>
      <c r="DS124" s="1">
        <v>450290.27366838121</v>
      </c>
      <c r="DT124" s="2"/>
      <c r="DU124" s="2"/>
      <c r="DV124" s="2"/>
      <c r="DW124" s="2"/>
      <c r="DX124" s="2"/>
      <c r="DY124" s="2"/>
      <c r="DZ124" s="2"/>
      <c r="EA124" s="2"/>
      <c r="EB124" s="1">
        <v>52746.413773107961</v>
      </c>
      <c r="EC124" s="2"/>
      <c r="ED124" s="2"/>
      <c r="EE124" s="1">
        <v>106660.5963602033</v>
      </c>
      <c r="EF124" s="2"/>
      <c r="EG124" s="1">
        <v>382380.17723489914</v>
      </c>
      <c r="EH124" s="2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4"/>
      <c r="HX124" s="2">
        <v>1576993.369443232</v>
      </c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1">
        <v>2328440.9894171911</v>
      </c>
      <c r="LP124" s="1"/>
      <c r="LQ124" s="1"/>
      <c r="LR124" s="1"/>
      <c r="LS124" s="1"/>
      <c r="LT124" s="1"/>
      <c r="LU124" s="1">
        <v>1713670.0900352327</v>
      </c>
      <c r="LV124" s="1"/>
      <c r="LW124" s="1"/>
      <c r="LX124" s="1"/>
      <c r="LY124" s="1"/>
      <c r="LZ124" s="1"/>
      <c r="MA124" s="1"/>
      <c r="MB124" s="1"/>
      <c r="MC124" s="1"/>
      <c r="MD124" s="1"/>
      <c r="ME124" s="1"/>
    </row>
    <row r="125" spans="1:343">
      <c r="A125" s="1">
        <v>1488</v>
      </c>
      <c r="B125" s="1">
        <v>10493228.067263396</v>
      </c>
      <c r="C125" s="1">
        <v>2927961.6019999902</v>
      </c>
      <c r="D125" s="1"/>
      <c r="E125" s="1"/>
      <c r="F125" s="1"/>
      <c r="G125" s="1"/>
      <c r="H125" s="1"/>
      <c r="I125" s="1"/>
      <c r="J125" s="1"/>
      <c r="K125" s="1">
        <v>1251672.7295772489</v>
      </c>
      <c r="L125" s="1"/>
      <c r="M125" s="1"/>
      <c r="N125" s="1"/>
      <c r="O125" s="1"/>
      <c r="P125" s="1"/>
      <c r="Q125" s="1"/>
      <c r="R125" s="1"/>
      <c r="S125" s="1"/>
      <c r="T125" s="1"/>
      <c r="U125" s="1">
        <v>1306198.6103178924</v>
      </c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>
        <v>3203524.7685177205</v>
      </c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>
        <v>1078127.125394681</v>
      </c>
      <c r="AU125" s="1"/>
      <c r="AV125" s="1"/>
      <c r="AW125" s="1"/>
      <c r="AX125" s="1"/>
      <c r="AY125" s="1"/>
      <c r="AZ125" s="1"/>
      <c r="BA125" s="1"/>
      <c r="BB125" s="1"/>
      <c r="BC125" s="1">
        <v>725743.23145586252</v>
      </c>
      <c r="BD125" s="1"/>
      <c r="BE125" s="1"/>
      <c r="BF125" s="1"/>
      <c r="BG125" s="1"/>
      <c r="BH125" s="1"/>
      <c r="BI125" s="4">
        <v>6692943.835609938</v>
      </c>
      <c r="BJ125" s="2">
        <v>664933.27787160804</v>
      </c>
      <c r="BK125" s="2"/>
      <c r="BL125" s="2"/>
      <c r="BM125" s="2"/>
      <c r="BN125" s="2"/>
      <c r="BO125" s="2"/>
      <c r="BP125" s="2"/>
      <c r="BQ125" s="1">
        <v>561149.04475814814</v>
      </c>
      <c r="BR125" s="2"/>
      <c r="BS125" s="2"/>
      <c r="BT125" s="2"/>
      <c r="BU125" s="2"/>
      <c r="BV125" s="2"/>
      <c r="BW125" s="2"/>
      <c r="BX125" s="2"/>
      <c r="BY125" s="2"/>
      <c r="BZ125" s="1">
        <v>1214223.4999852197</v>
      </c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1">
        <v>403287.76179029106</v>
      </c>
      <c r="CU125" s="2"/>
      <c r="CV125" s="2"/>
      <c r="CW125" s="2"/>
      <c r="CX125" s="1">
        <v>1285343.5814288585</v>
      </c>
      <c r="CY125" s="2"/>
      <c r="CZ125" s="2"/>
      <c r="DA125" s="2"/>
      <c r="DB125" s="2"/>
      <c r="DC125" s="2"/>
      <c r="DD125" s="2"/>
      <c r="DE125" s="1">
        <v>719593.70374650182</v>
      </c>
      <c r="DF125" s="2"/>
      <c r="DG125" s="2"/>
      <c r="DH125" s="2"/>
      <c r="DI125" s="2"/>
      <c r="DJ125" s="2"/>
      <c r="DK125" s="2"/>
      <c r="DL125" s="1">
        <v>847151.50955040485</v>
      </c>
      <c r="DM125" s="2"/>
      <c r="DN125" s="2"/>
      <c r="DO125" s="2"/>
      <c r="DP125" s="2"/>
      <c r="DQ125" s="2"/>
      <c r="DR125" s="2"/>
      <c r="DS125" s="1">
        <v>453442.30558405985</v>
      </c>
      <c r="DT125" s="2"/>
      <c r="DU125" s="2"/>
      <c r="DV125" s="2"/>
      <c r="DW125" s="2"/>
      <c r="DX125" s="2"/>
      <c r="DY125" s="2"/>
      <c r="DZ125" s="2"/>
      <c r="EA125" s="2"/>
      <c r="EB125" s="1">
        <v>53115.638669519714</v>
      </c>
      <c r="EC125" s="2"/>
      <c r="ED125" s="2"/>
      <c r="EE125" s="1">
        <v>107023.242387828</v>
      </c>
      <c r="EF125" s="2"/>
      <c r="EG125" s="1">
        <v>383680.26983749779</v>
      </c>
      <c r="EH125" s="2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4"/>
      <c r="HX125" s="2">
        <v>1584089.8396057265</v>
      </c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1">
        <v>2336357.6887812098</v>
      </c>
      <c r="LP125" s="1"/>
      <c r="LQ125" s="1"/>
      <c r="LR125" s="1"/>
      <c r="LS125" s="1"/>
      <c r="LT125" s="1"/>
      <c r="LU125" s="1">
        <v>1719496.5683413525</v>
      </c>
      <c r="LV125" s="1"/>
      <c r="LW125" s="1"/>
      <c r="LX125" s="1"/>
      <c r="LY125" s="1"/>
      <c r="LZ125" s="1"/>
      <c r="MA125" s="1"/>
      <c r="MB125" s="1"/>
      <c r="MC125" s="1"/>
      <c r="MD125" s="1"/>
      <c r="ME125" s="1"/>
    </row>
    <row r="126" spans="1:343">
      <c r="A126" s="1">
        <v>1489</v>
      </c>
      <c r="B126" s="1">
        <v>10531718.701165976</v>
      </c>
      <c r="C126" s="1">
        <v>2937916.6714467905</v>
      </c>
      <c r="D126" s="1"/>
      <c r="E126" s="1"/>
      <c r="F126" s="1"/>
      <c r="G126" s="1"/>
      <c r="H126" s="1"/>
      <c r="I126" s="1"/>
      <c r="J126" s="1"/>
      <c r="K126" s="1">
        <v>1257305.2568603465</v>
      </c>
      <c r="L126" s="1"/>
      <c r="M126" s="1"/>
      <c r="N126" s="1"/>
      <c r="O126" s="1"/>
      <c r="P126" s="1"/>
      <c r="Q126" s="1"/>
      <c r="R126" s="1"/>
      <c r="S126" s="1"/>
      <c r="T126" s="1"/>
      <c r="U126" s="1">
        <v>1312076.5040643229</v>
      </c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>
        <v>3214416.7527306811</v>
      </c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>
        <v>1081792.7576210231</v>
      </c>
      <c r="AU126" s="1"/>
      <c r="AV126" s="1"/>
      <c r="AW126" s="1"/>
      <c r="AX126" s="1"/>
      <c r="AY126" s="1"/>
      <c r="AZ126" s="1"/>
      <c r="BA126" s="1"/>
      <c r="BB126" s="1"/>
      <c r="BC126" s="1">
        <v>728210.75844281248</v>
      </c>
      <c r="BD126" s="1"/>
      <c r="BE126" s="1"/>
      <c r="BF126" s="1"/>
      <c r="BG126" s="1"/>
      <c r="BH126" s="1"/>
      <c r="BI126" s="4">
        <v>6721967.3068134515</v>
      </c>
      <c r="BJ126" s="2">
        <v>667659.5043108816</v>
      </c>
      <c r="BK126" s="2"/>
      <c r="BL126" s="2"/>
      <c r="BM126" s="2"/>
      <c r="BN126" s="2"/>
      <c r="BO126" s="2"/>
      <c r="BP126" s="2"/>
      <c r="BQ126" s="1">
        <v>562664.14717899507</v>
      </c>
      <c r="BR126" s="2"/>
      <c r="BS126" s="2"/>
      <c r="BT126" s="2"/>
      <c r="BU126" s="2"/>
      <c r="BV126" s="2"/>
      <c r="BW126" s="2"/>
      <c r="BX126" s="2"/>
      <c r="BY126" s="2"/>
      <c r="BZ126" s="1">
        <v>1222723.0644851162</v>
      </c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1">
        <v>404658.94018037809</v>
      </c>
      <c r="CU126" s="2"/>
      <c r="CV126" s="2"/>
      <c r="CW126" s="2"/>
      <c r="CX126" s="1">
        <v>1289713.7496057167</v>
      </c>
      <c r="CY126" s="2"/>
      <c r="CZ126" s="2"/>
      <c r="DA126" s="2"/>
      <c r="DB126" s="2"/>
      <c r="DC126" s="2"/>
      <c r="DD126" s="2"/>
      <c r="DE126" s="1">
        <v>722040.32233924</v>
      </c>
      <c r="DF126" s="2"/>
      <c r="DG126" s="2"/>
      <c r="DH126" s="2"/>
      <c r="DI126" s="2"/>
      <c r="DJ126" s="2"/>
      <c r="DK126" s="2"/>
      <c r="DL126" s="1">
        <v>850031.82468287623</v>
      </c>
      <c r="DM126" s="2"/>
      <c r="DN126" s="2"/>
      <c r="DO126" s="2"/>
      <c r="DP126" s="2"/>
      <c r="DQ126" s="2"/>
      <c r="DR126" s="2"/>
      <c r="DS126" s="1">
        <v>456616.40172314824</v>
      </c>
      <c r="DT126" s="2"/>
      <c r="DU126" s="2"/>
      <c r="DV126" s="2"/>
      <c r="DW126" s="2"/>
      <c r="DX126" s="2"/>
      <c r="DY126" s="2"/>
      <c r="DZ126" s="2"/>
      <c r="EA126" s="2"/>
      <c r="EB126" s="1">
        <v>53487.448140206347</v>
      </c>
      <c r="EC126" s="2"/>
      <c r="ED126" s="2"/>
      <c r="EE126" s="1">
        <v>107387.12141194662</v>
      </c>
      <c r="EF126" s="2"/>
      <c r="EG126" s="1">
        <v>384984.78275494534</v>
      </c>
      <c r="EH126" s="2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4"/>
      <c r="HX126" s="2">
        <v>1591218.2438839523</v>
      </c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1">
        <v>2344301.3049230659</v>
      </c>
      <c r="LP126" s="1"/>
      <c r="LQ126" s="1"/>
      <c r="LR126" s="1"/>
      <c r="LS126" s="1"/>
      <c r="LT126" s="1"/>
      <c r="LU126" s="1">
        <v>1725342.8566737133</v>
      </c>
      <c r="LV126" s="1"/>
      <c r="LW126" s="1"/>
      <c r="LX126" s="1"/>
      <c r="LY126" s="1"/>
      <c r="LZ126" s="1"/>
      <c r="MA126" s="1"/>
      <c r="MB126" s="1"/>
      <c r="MC126" s="1"/>
      <c r="MD126" s="1"/>
      <c r="ME126" s="1"/>
    </row>
    <row r="127" spans="1:343">
      <c r="A127" s="1">
        <v>1490</v>
      </c>
      <c r="B127" s="1">
        <v>10570352.864686958</v>
      </c>
      <c r="C127" s="1">
        <v>2947905.5881297099</v>
      </c>
      <c r="D127" s="1"/>
      <c r="E127" s="1"/>
      <c r="F127" s="1"/>
      <c r="G127" s="1"/>
      <c r="H127" s="1"/>
      <c r="I127" s="1"/>
      <c r="J127" s="1"/>
      <c r="K127" s="1">
        <v>1262963.130516218</v>
      </c>
      <c r="L127" s="1"/>
      <c r="M127" s="1"/>
      <c r="N127" s="1"/>
      <c r="O127" s="1"/>
      <c r="P127" s="1"/>
      <c r="Q127" s="1"/>
      <c r="R127" s="1"/>
      <c r="S127" s="1"/>
      <c r="T127" s="1"/>
      <c r="U127" s="1">
        <v>1317980.8483326123</v>
      </c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>
        <v>3225345.7696899655</v>
      </c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>
        <v>1085470.8529969347</v>
      </c>
      <c r="AU127" s="1"/>
      <c r="AV127" s="1"/>
      <c r="AW127" s="1"/>
      <c r="AX127" s="1"/>
      <c r="AY127" s="1"/>
      <c r="AZ127" s="1"/>
      <c r="BA127" s="1"/>
      <c r="BB127" s="1"/>
      <c r="BC127" s="1">
        <v>730686.67502151814</v>
      </c>
      <c r="BD127" s="1"/>
      <c r="BE127" s="1"/>
      <c r="BF127" s="1"/>
      <c r="BG127" s="1"/>
      <c r="BH127" s="1"/>
      <c r="BI127" s="4">
        <v>6751133.6692982633</v>
      </c>
      <c r="BJ127" s="2">
        <v>670396.90827855619</v>
      </c>
      <c r="BK127" s="2"/>
      <c r="BL127" s="2"/>
      <c r="BM127" s="2"/>
      <c r="BN127" s="2"/>
      <c r="BO127" s="2"/>
      <c r="BP127" s="2"/>
      <c r="BQ127" s="1">
        <v>564183.34037637827</v>
      </c>
      <c r="BR127" s="2"/>
      <c r="BS127" s="2"/>
      <c r="BT127" s="2"/>
      <c r="BU127" s="2"/>
      <c r="BV127" s="2"/>
      <c r="BW127" s="2"/>
      <c r="BX127" s="2"/>
      <c r="BY127" s="2"/>
      <c r="BZ127" s="1">
        <v>1231282.1259365119</v>
      </c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1">
        <v>406034.78057699138</v>
      </c>
      <c r="CU127" s="2"/>
      <c r="CV127" s="2"/>
      <c r="CW127" s="2"/>
      <c r="CX127" s="1">
        <v>1294098.7763543762</v>
      </c>
      <c r="CY127" s="2"/>
      <c r="CZ127" s="2"/>
      <c r="DA127" s="2"/>
      <c r="DB127" s="2"/>
      <c r="DC127" s="2"/>
      <c r="DD127" s="2"/>
      <c r="DE127" s="1">
        <v>724495.2594351935</v>
      </c>
      <c r="DF127" s="2"/>
      <c r="DG127" s="2"/>
      <c r="DH127" s="2"/>
      <c r="DI127" s="2"/>
      <c r="DJ127" s="2"/>
      <c r="DK127" s="2"/>
      <c r="DL127" s="1">
        <v>852921.93288679805</v>
      </c>
      <c r="DM127" s="2"/>
      <c r="DN127" s="2"/>
      <c r="DO127" s="2"/>
      <c r="DP127" s="2"/>
      <c r="DQ127" s="2"/>
      <c r="DR127" s="2"/>
      <c r="DS127" s="1">
        <v>459812.71653521026</v>
      </c>
      <c r="DT127" s="2"/>
      <c r="DU127" s="2"/>
      <c r="DV127" s="2"/>
      <c r="DW127" s="2"/>
      <c r="DX127" s="2"/>
      <c r="DY127" s="2"/>
      <c r="DZ127" s="2"/>
      <c r="EA127" s="2"/>
      <c r="EB127" s="1">
        <v>53861.860277187785</v>
      </c>
      <c r="EC127" s="2"/>
      <c r="ED127" s="2"/>
      <c r="EE127" s="1">
        <v>107752.23762474724</v>
      </c>
      <c r="EF127" s="2"/>
      <c r="EG127" s="1">
        <v>386293.7310163122</v>
      </c>
      <c r="EH127" s="2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4"/>
      <c r="HX127" s="2">
        <v>1598378.7259814299</v>
      </c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1">
        <v>2352271.9293598044</v>
      </c>
      <c r="LP127" s="1"/>
      <c r="LQ127" s="1"/>
      <c r="LR127" s="1"/>
      <c r="LS127" s="1"/>
      <c r="LT127" s="1"/>
      <c r="LU127" s="1">
        <v>1731209.022386404</v>
      </c>
      <c r="LV127" s="1"/>
      <c r="LW127" s="1"/>
      <c r="LX127" s="1"/>
      <c r="LY127" s="1"/>
      <c r="LZ127" s="1"/>
      <c r="MA127" s="1"/>
      <c r="MB127" s="1"/>
      <c r="MC127" s="1"/>
      <c r="MD127" s="1"/>
      <c r="ME127" s="1"/>
    </row>
    <row r="128" spans="1:343">
      <c r="A128" s="1">
        <v>1491</v>
      </c>
      <c r="B128" s="1">
        <v>10609131.102803627</v>
      </c>
      <c r="C128" s="1">
        <v>2957928.4671293511</v>
      </c>
      <c r="D128" s="1"/>
      <c r="E128" s="1"/>
      <c r="F128" s="1"/>
      <c r="G128" s="1"/>
      <c r="H128" s="1"/>
      <c r="I128" s="1"/>
      <c r="J128" s="1"/>
      <c r="K128" s="1">
        <v>1268646.464603541</v>
      </c>
      <c r="L128" s="1"/>
      <c r="M128" s="1"/>
      <c r="N128" s="1"/>
      <c r="O128" s="1"/>
      <c r="P128" s="1"/>
      <c r="Q128" s="1"/>
      <c r="R128" s="1"/>
      <c r="S128" s="1"/>
      <c r="T128" s="1"/>
      <c r="U128" s="1">
        <v>1323911.762150109</v>
      </c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>
        <v>3236311.9453069116</v>
      </c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>
        <v>1089161.4538971244</v>
      </c>
      <c r="AU128" s="1"/>
      <c r="AV128" s="1"/>
      <c r="AW128" s="1"/>
      <c r="AX128" s="1"/>
      <c r="AY128" s="1"/>
      <c r="AZ128" s="1"/>
      <c r="BA128" s="1"/>
      <c r="BB128" s="1"/>
      <c r="BC128" s="1">
        <v>733171.00971659133</v>
      </c>
      <c r="BD128" s="1"/>
      <c r="BE128" s="1"/>
      <c r="BF128" s="1"/>
      <c r="BG128" s="1"/>
      <c r="BH128" s="1"/>
      <c r="BI128" s="4">
        <v>6780443.7174013052</v>
      </c>
      <c r="BJ128" s="2">
        <v>673145.53560249822</v>
      </c>
      <c r="BK128" s="2"/>
      <c r="BL128" s="2"/>
      <c r="BM128" s="2"/>
      <c r="BN128" s="2"/>
      <c r="BO128" s="2"/>
      <c r="BP128" s="2"/>
      <c r="BQ128" s="1">
        <v>565706.63539539441</v>
      </c>
      <c r="BR128" s="2"/>
      <c r="BS128" s="2"/>
      <c r="BT128" s="2"/>
      <c r="BU128" s="2"/>
      <c r="BV128" s="2"/>
      <c r="BW128" s="2"/>
      <c r="BX128" s="2"/>
      <c r="BY128" s="2"/>
      <c r="BZ128" s="1">
        <v>1239901.1008180673</v>
      </c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1">
        <v>407415.29883095319</v>
      </c>
      <c r="CU128" s="2"/>
      <c r="CV128" s="2"/>
      <c r="CW128" s="2"/>
      <c r="CX128" s="1">
        <v>1298498.7121939813</v>
      </c>
      <c r="CY128" s="2"/>
      <c r="CZ128" s="2"/>
      <c r="DA128" s="2"/>
      <c r="DB128" s="2"/>
      <c r="DC128" s="2"/>
      <c r="DD128" s="2"/>
      <c r="DE128" s="1">
        <v>726958.54331727326</v>
      </c>
      <c r="DF128" s="2"/>
      <c r="DG128" s="2"/>
      <c r="DH128" s="2"/>
      <c r="DI128" s="2"/>
      <c r="DJ128" s="2"/>
      <c r="DK128" s="2"/>
      <c r="DL128" s="1">
        <v>855821.86745861324</v>
      </c>
      <c r="DM128" s="2"/>
      <c r="DN128" s="2"/>
      <c r="DO128" s="2"/>
      <c r="DP128" s="2"/>
      <c r="DQ128" s="2"/>
      <c r="DR128" s="2"/>
      <c r="DS128" s="1">
        <v>463031.40555095667</v>
      </c>
      <c r="DT128" s="2"/>
      <c r="DU128" s="2"/>
      <c r="DV128" s="2"/>
      <c r="DW128" s="2"/>
      <c r="DX128" s="2"/>
      <c r="DY128" s="2"/>
      <c r="DZ128" s="2"/>
      <c r="EA128" s="2"/>
      <c r="EB128" s="1">
        <v>54238.893299128096</v>
      </c>
      <c r="EC128" s="2"/>
      <c r="ED128" s="2"/>
      <c r="EE128" s="1">
        <v>108118.59523267139</v>
      </c>
      <c r="EF128" s="2"/>
      <c r="EG128" s="1">
        <v>387607.1297017677</v>
      </c>
      <c r="EH128" s="2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4"/>
      <c r="HX128" s="2">
        <v>1605571.4302483462</v>
      </c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1">
        <v>2360269.6539196279</v>
      </c>
      <c r="LP128" s="1"/>
      <c r="LQ128" s="1"/>
      <c r="LR128" s="1"/>
      <c r="LS128" s="1"/>
      <c r="LT128" s="1"/>
      <c r="LU128" s="1">
        <v>1737095.133062518</v>
      </c>
      <c r="LV128" s="1"/>
      <c r="LW128" s="1"/>
      <c r="LX128" s="1"/>
      <c r="LY128" s="1"/>
      <c r="LZ128" s="1"/>
      <c r="MA128" s="1"/>
      <c r="MB128" s="1"/>
      <c r="MC128" s="1"/>
      <c r="MD128" s="1"/>
      <c r="ME128" s="1"/>
    </row>
    <row r="129" spans="1:343">
      <c r="A129" s="1">
        <v>1492</v>
      </c>
      <c r="B129" s="1">
        <v>10648053.962602589</v>
      </c>
      <c r="C129" s="1">
        <v>2967985.4239175911</v>
      </c>
      <c r="D129" s="1"/>
      <c r="E129" s="1"/>
      <c r="F129" s="1"/>
      <c r="G129" s="1"/>
      <c r="H129" s="1"/>
      <c r="I129" s="1"/>
      <c r="J129" s="1"/>
      <c r="K129" s="1">
        <v>1274355.3736942569</v>
      </c>
      <c r="L129" s="1"/>
      <c r="M129" s="1"/>
      <c r="N129" s="1"/>
      <c r="O129" s="1"/>
      <c r="P129" s="1"/>
      <c r="Q129" s="1"/>
      <c r="R129" s="1"/>
      <c r="S129" s="1"/>
      <c r="T129" s="1"/>
      <c r="U129" s="1">
        <v>1329869.3650797845</v>
      </c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>
        <v>3247315.4059209554</v>
      </c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>
        <v>1092864.6028403747</v>
      </c>
      <c r="AU129" s="1"/>
      <c r="AV129" s="1"/>
      <c r="AW129" s="1"/>
      <c r="AX129" s="1"/>
      <c r="AY129" s="1"/>
      <c r="AZ129" s="1"/>
      <c r="BA129" s="1"/>
      <c r="BB129" s="1"/>
      <c r="BC129" s="1">
        <v>735663.79114962777</v>
      </c>
      <c r="BD129" s="1"/>
      <c r="BE129" s="1"/>
      <c r="BF129" s="1"/>
      <c r="BG129" s="1"/>
      <c r="BH129" s="1"/>
      <c r="BI129" s="4">
        <v>6809898.2503094189</v>
      </c>
      <c r="BJ129" s="2">
        <v>675905.43229846843</v>
      </c>
      <c r="BK129" s="2"/>
      <c r="BL129" s="2"/>
      <c r="BM129" s="2"/>
      <c r="BN129" s="2"/>
      <c r="BO129" s="2"/>
      <c r="BP129" s="2"/>
      <c r="BQ129" s="1">
        <v>567234.04331096192</v>
      </c>
      <c r="BR129" s="2"/>
      <c r="BS129" s="2"/>
      <c r="BT129" s="2"/>
      <c r="BU129" s="2"/>
      <c r="BV129" s="2"/>
      <c r="BW129" s="2"/>
      <c r="BX129" s="2"/>
      <c r="BY129" s="2"/>
      <c r="BZ129" s="1">
        <v>1248580.4085237936</v>
      </c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1">
        <v>408800.51084697846</v>
      </c>
      <c r="CU129" s="2"/>
      <c r="CV129" s="2"/>
      <c r="CW129" s="2"/>
      <c r="CX129" s="1">
        <v>1302913.607815441</v>
      </c>
      <c r="CY129" s="2"/>
      <c r="CZ129" s="2"/>
      <c r="DA129" s="2"/>
      <c r="DB129" s="2"/>
      <c r="DC129" s="2"/>
      <c r="DD129" s="2"/>
      <c r="DE129" s="1">
        <v>729430.20236455207</v>
      </c>
      <c r="DF129" s="2"/>
      <c r="DG129" s="2"/>
      <c r="DH129" s="2"/>
      <c r="DI129" s="2"/>
      <c r="DJ129" s="2"/>
      <c r="DK129" s="2"/>
      <c r="DL129" s="1">
        <v>858731.66180797259</v>
      </c>
      <c r="DM129" s="2"/>
      <c r="DN129" s="2"/>
      <c r="DO129" s="2"/>
      <c r="DP129" s="2"/>
      <c r="DQ129" s="2"/>
      <c r="DR129" s="2"/>
      <c r="DS129" s="1">
        <v>466272.62538981333</v>
      </c>
      <c r="DT129" s="2"/>
      <c r="DU129" s="2"/>
      <c r="DV129" s="2"/>
      <c r="DW129" s="2"/>
      <c r="DX129" s="2"/>
      <c r="DY129" s="2"/>
      <c r="DZ129" s="2"/>
      <c r="EA129" s="2"/>
      <c r="EB129" s="1">
        <v>54618.565552221989</v>
      </c>
      <c r="EC129" s="2"/>
      <c r="ED129" s="2"/>
      <c r="EE129" s="1">
        <v>108486.19845646247</v>
      </c>
      <c r="EF129" s="2"/>
      <c r="EG129" s="1">
        <v>388924.99394275376</v>
      </c>
      <c r="EH129" s="2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4"/>
      <c r="HX129" s="2">
        <v>1612796.5016844636</v>
      </c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1">
        <v>2368294.570742955</v>
      </c>
      <c r="LP129" s="1"/>
      <c r="LQ129" s="1"/>
      <c r="LR129" s="1"/>
      <c r="LS129" s="1"/>
      <c r="LT129" s="1"/>
      <c r="LU129" s="1">
        <v>1743001.2565149306</v>
      </c>
      <c r="LV129" s="1"/>
      <c r="LW129" s="1"/>
      <c r="LX129" s="1"/>
      <c r="LY129" s="1"/>
      <c r="LZ129" s="1"/>
      <c r="MA129" s="1"/>
      <c r="MB129" s="1"/>
      <c r="MC129" s="1"/>
      <c r="MD129" s="1"/>
      <c r="ME129" s="1"/>
    </row>
    <row r="130" spans="1:343">
      <c r="A130" s="1">
        <v>1493</v>
      </c>
      <c r="B130" s="1">
        <v>10687121.993288092</v>
      </c>
      <c r="C130" s="1">
        <v>2978076.5743589113</v>
      </c>
      <c r="D130" s="1"/>
      <c r="E130" s="1"/>
      <c r="F130" s="1"/>
      <c r="G130" s="1"/>
      <c r="H130" s="1"/>
      <c r="I130" s="1"/>
      <c r="J130" s="1"/>
      <c r="K130" s="1">
        <v>1280089.972875881</v>
      </c>
      <c r="L130" s="1"/>
      <c r="M130" s="1"/>
      <c r="N130" s="1"/>
      <c r="O130" s="1"/>
      <c r="P130" s="1"/>
      <c r="Q130" s="1"/>
      <c r="R130" s="1"/>
      <c r="S130" s="1"/>
      <c r="T130" s="1"/>
      <c r="U130" s="1">
        <v>1335853.7772226436</v>
      </c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>
        <v>3258356.2783010867</v>
      </c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>
        <v>1096580.3424900321</v>
      </c>
      <c r="AU130" s="1"/>
      <c r="AV130" s="1"/>
      <c r="AW130" s="1"/>
      <c r="AX130" s="1"/>
      <c r="AY130" s="1"/>
      <c r="AZ130" s="1"/>
      <c r="BA130" s="1"/>
      <c r="BB130" s="1"/>
      <c r="BC130" s="1">
        <v>738165.04803953657</v>
      </c>
      <c r="BD130" s="1"/>
      <c r="BE130" s="1"/>
      <c r="BF130" s="1"/>
      <c r="BG130" s="1"/>
      <c r="BH130" s="1"/>
      <c r="BI130" s="4">
        <v>6839498.07209084</v>
      </c>
      <c r="BJ130" s="2">
        <v>678676.64457089209</v>
      </c>
      <c r="BK130" s="2"/>
      <c r="BL130" s="2"/>
      <c r="BM130" s="2"/>
      <c r="BN130" s="2"/>
      <c r="BO130" s="2"/>
      <c r="BP130" s="2"/>
      <c r="BQ130" s="1">
        <v>568765.57522790146</v>
      </c>
      <c r="BR130" s="2"/>
      <c r="BS130" s="2"/>
      <c r="BT130" s="2"/>
      <c r="BU130" s="2"/>
      <c r="BV130" s="2"/>
      <c r="BW130" s="2"/>
      <c r="BX130" s="2"/>
      <c r="BY130" s="2"/>
      <c r="BZ130" s="1">
        <v>1257320.4713834601</v>
      </c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1">
        <v>410190.4325838582</v>
      </c>
      <c r="CU130" s="2"/>
      <c r="CV130" s="2"/>
      <c r="CW130" s="2"/>
      <c r="CX130" s="1">
        <v>1307343.5140820136</v>
      </c>
      <c r="CY130" s="2"/>
      <c r="CZ130" s="2"/>
      <c r="DA130" s="2"/>
      <c r="DB130" s="2"/>
      <c r="DC130" s="2"/>
      <c r="DD130" s="2"/>
      <c r="DE130" s="1">
        <v>731910.26505259157</v>
      </c>
      <c r="DF130" s="2"/>
      <c r="DG130" s="2"/>
      <c r="DH130" s="2"/>
      <c r="DI130" s="2"/>
      <c r="DJ130" s="2"/>
      <c r="DK130" s="2"/>
      <c r="DL130" s="1">
        <v>861651.34945811972</v>
      </c>
      <c r="DM130" s="2"/>
      <c r="DN130" s="2"/>
      <c r="DO130" s="2"/>
      <c r="DP130" s="2"/>
      <c r="DQ130" s="2"/>
      <c r="DR130" s="2"/>
      <c r="DS130" s="1">
        <v>469536.53376754199</v>
      </c>
      <c r="DT130" s="2"/>
      <c r="DU130" s="2"/>
      <c r="DV130" s="2"/>
      <c r="DW130" s="2"/>
      <c r="DX130" s="2"/>
      <c r="DY130" s="2"/>
      <c r="DZ130" s="2"/>
      <c r="EA130" s="2"/>
      <c r="EB130" s="1">
        <v>55000.895511087539</v>
      </c>
      <c r="EC130" s="2"/>
      <c r="ED130" s="2"/>
      <c r="EE130" s="1">
        <v>108855.05153121446</v>
      </c>
      <c r="EF130" s="2"/>
      <c r="EG130" s="1">
        <v>390247.33892215916</v>
      </c>
      <c r="EH130" s="2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4"/>
      <c r="HX130" s="2">
        <v>1620054.0859420437</v>
      </c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1">
        <v>2376346.772283481</v>
      </c>
      <c r="LP130" s="1"/>
      <c r="LQ130" s="1"/>
      <c r="LR130" s="1"/>
      <c r="LS130" s="1"/>
      <c r="LT130" s="1"/>
      <c r="LU130" s="1">
        <v>1748927.4607870816</v>
      </c>
      <c r="LV130" s="1"/>
      <c r="LW130" s="1"/>
      <c r="LX130" s="1"/>
      <c r="LY130" s="1"/>
      <c r="LZ130" s="1"/>
      <c r="MA130" s="1"/>
      <c r="MB130" s="1"/>
      <c r="MC130" s="1"/>
      <c r="MD130" s="1"/>
      <c r="ME130" s="1"/>
    </row>
    <row r="131" spans="1:343">
      <c r="A131" s="1">
        <v>1494</v>
      </c>
      <c r="B131" s="1">
        <v>10726335.746190378</v>
      </c>
      <c r="C131" s="1">
        <v>2988202.0347117316</v>
      </c>
      <c r="D131" s="1"/>
      <c r="E131" s="1"/>
      <c r="F131" s="1"/>
      <c r="G131" s="1"/>
      <c r="H131" s="1"/>
      <c r="I131" s="1"/>
      <c r="J131" s="1"/>
      <c r="K131" s="1">
        <v>1285850.3777538224</v>
      </c>
      <c r="L131" s="1"/>
      <c r="M131" s="1"/>
      <c r="N131" s="1"/>
      <c r="O131" s="1"/>
      <c r="P131" s="1"/>
      <c r="Q131" s="1"/>
      <c r="R131" s="1"/>
      <c r="S131" s="1"/>
      <c r="T131" s="1"/>
      <c r="U131" s="1">
        <v>1341865.1192201455</v>
      </c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>
        <v>3269434.6896473109</v>
      </c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>
        <v>1100308.7156544982</v>
      </c>
      <c r="AU131" s="1"/>
      <c r="AV131" s="1"/>
      <c r="AW131" s="1"/>
      <c r="AX131" s="1"/>
      <c r="AY131" s="1"/>
      <c r="AZ131" s="1"/>
      <c r="BA131" s="1"/>
      <c r="BB131" s="1"/>
      <c r="BC131" s="1">
        <v>740674.80920287105</v>
      </c>
      <c r="BD131" s="1"/>
      <c r="BE131" s="1"/>
      <c r="BF131" s="1"/>
      <c r="BG131" s="1"/>
      <c r="BH131" s="1"/>
      <c r="BI131" s="4">
        <v>6869243.9917268734</v>
      </c>
      <c r="BJ131" s="2">
        <v>681459.21881363273</v>
      </c>
      <c r="BK131" s="2"/>
      <c r="BL131" s="2"/>
      <c r="BM131" s="2"/>
      <c r="BN131" s="2"/>
      <c r="BO131" s="2"/>
      <c r="BP131" s="2"/>
      <c r="BQ131" s="1">
        <v>570301.24228101678</v>
      </c>
      <c r="BR131" s="2"/>
      <c r="BS131" s="2"/>
      <c r="BT131" s="2"/>
      <c r="BU131" s="2"/>
      <c r="BV131" s="2"/>
      <c r="BW131" s="2"/>
      <c r="BX131" s="2"/>
      <c r="BY131" s="2"/>
      <c r="BZ131" s="1">
        <v>1266121.7146831441</v>
      </c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1">
        <v>411585.08005464333</v>
      </c>
      <c r="CU131" s="2"/>
      <c r="CV131" s="2"/>
      <c r="CW131" s="2"/>
      <c r="CX131" s="1">
        <v>1311788.4820298925</v>
      </c>
      <c r="CY131" s="2"/>
      <c r="CZ131" s="2"/>
      <c r="DA131" s="2"/>
      <c r="DB131" s="2"/>
      <c r="DC131" s="2"/>
      <c r="DD131" s="2"/>
      <c r="DE131" s="1">
        <v>734398.75995377044</v>
      </c>
      <c r="DF131" s="2"/>
      <c r="DG131" s="2"/>
      <c r="DH131" s="2"/>
      <c r="DI131" s="2"/>
      <c r="DJ131" s="2"/>
      <c r="DK131" s="2"/>
      <c r="DL131" s="1">
        <v>864580.96404627734</v>
      </c>
      <c r="DM131" s="2"/>
      <c r="DN131" s="2"/>
      <c r="DO131" s="2"/>
      <c r="DP131" s="2"/>
      <c r="DQ131" s="2"/>
      <c r="DR131" s="2"/>
      <c r="DS131" s="1">
        <v>472823.28950391471</v>
      </c>
      <c r="DT131" s="2"/>
      <c r="DU131" s="2"/>
      <c r="DV131" s="2"/>
      <c r="DW131" s="2"/>
      <c r="DX131" s="2"/>
      <c r="DY131" s="2"/>
      <c r="DZ131" s="2"/>
      <c r="EA131" s="2"/>
      <c r="EB131" s="1">
        <v>55385.901779665146</v>
      </c>
      <c r="EC131" s="2"/>
      <c r="ED131" s="2"/>
      <c r="EE131" s="1">
        <v>109225.1587064206</v>
      </c>
      <c r="EF131" s="2"/>
      <c r="EG131" s="1">
        <v>391574.17987449456</v>
      </c>
      <c r="EH131" s="2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4"/>
      <c r="HX131" s="2">
        <v>1627344.3293287829</v>
      </c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1">
        <v>2384426.351309245</v>
      </c>
      <c r="LP131" s="1"/>
      <c r="LQ131" s="1"/>
      <c r="LR131" s="1"/>
      <c r="LS131" s="1"/>
      <c r="LT131" s="1"/>
      <c r="LU131" s="1">
        <v>1754873.8141537579</v>
      </c>
      <c r="LV131" s="1"/>
      <c r="LW131" s="1"/>
      <c r="LX131" s="1"/>
      <c r="LY131" s="1"/>
      <c r="LZ131" s="1"/>
      <c r="MA131" s="1"/>
      <c r="MB131" s="1"/>
      <c r="MC131" s="1"/>
      <c r="MD131" s="1"/>
      <c r="ME131" s="1"/>
    </row>
    <row r="132" spans="1:343">
      <c r="A132" s="1">
        <v>1495</v>
      </c>
      <c r="B132" s="1">
        <v>10765695.774774099</v>
      </c>
      <c r="C132" s="1">
        <v>2998361.9216297516</v>
      </c>
      <c r="D132" s="1"/>
      <c r="E132" s="1"/>
      <c r="F132" s="1"/>
      <c r="G132" s="1"/>
      <c r="H132" s="1"/>
      <c r="I132" s="1"/>
      <c r="J132" s="1"/>
      <c r="K132" s="1">
        <v>1291636.7044537144</v>
      </c>
      <c r="L132" s="1"/>
      <c r="M132" s="1"/>
      <c r="N132" s="1"/>
      <c r="O132" s="1"/>
      <c r="P132" s="1"/>
      <c r="Q132" s="1"/>
      <c r="R132" s="1"/>
      <c r="S132" s="1"/>
      <c r="T132" s="1"/>
      <c r="U132" s="1">
        <v>1347903.5122566361</v>
      </c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>
        <v>3280550.7675921121</v>
      </c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>
        <v>1104049.7652877236</v>
      </c>
      <c r="AU132" s="1"/>
      <c r="AV132" s="1"/>
      <c r="AW132" s="1"/>
      <c r="AX132" s="1"/>
      <c r="AY132" s="1"/>
      <c r="AZ132" s="1"/>
      <c r="BA132" s="1"/>
      <c r="BB132" s="1"/>
      <c r="BC132" s="1">
        <v>743193.10355416092</v>
      </c>
      <c r="BD132" s="1"/>
      <c r="BE132" s="1"/>
      <c r="BF132" s="1"/>
      <c r="BG132" s="1"/>
      <c r="BH132" s="1"/>
      <c r="BI132" s="4">
        <v>6899136.8231437961</v>
      </c>
      <c r="BJ132" s="2">
        <v>684253.20161076856</v>
      </c>
      <c r="BK132" s="2"/>
      <c r="BL132" s="2"/>
      <c r="BM132" s="2"/>
      <c r="BN132" s="2"/>
      <c r="BO132" s="2"/>
      <c r="BP132" s="2"/>
      <c r="BQ132" s="1">
        <v>571841.05563517543</v>
      </c>
      <c r="BR132" s="2"/>
      <c r="BS132" s="2"/>
      <c r="BT132" s="2"/>
      <c r="BU132" s="2"/>
      <c r="BV132" s="2"/>
      <c r="BW132" s="2"/>
      <c r="BX132" s="2"/>
      <c r="BY132" s="2"/>
      <c r="BZ132" s="1">
        <v>1274984.5666859259</v>
      </c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1">
        <v>412984.46932682913</v>
      </c>
      <c r="CU132" s="2"/>
      <c r="CV132" s="2"/>
      <c r="CW132" s="2"/>
      <c r="CX132" s="1">
        <v>1316248.5628687942</v>
      </c>
      <c r="CY132" s="2"/>
      <c r="CZ132" s="2"/>
      <c r="DA132" s="2"/>
      <c r="DB132" s="2"/>
      <c r="DC132" s="2"/>
      <c r="DD132" s="2"/>
      <c r="DE132" s="1">
        <v>736895.71573761327</v>
      </c>
      <c r="DF132" s="2"/>
      <c r="DG132" s="2"/>
      <c r="DH132" s="2"/>
      <c r="DI132" s="2"/>
      <c r="DJ132" s="2"/>
      <c r="DK132" s="2"/>
      <c r="DL132" s="1">
        <v>867520.5393240347</v>
      </c>
      <c r="DM132" s="2"/>
      <c r="DN132" s="2"/>
      <c r="DO132" s="2"/>
      <c r="DP132" s="2"/>
      <c r="DQ132" s="2"/>
      <c r="DR132" s="2"/>
      <c r="DS132" s="1">
        <v>476133.05253044207</v>
      </c>
      <c r="DT132" s="2"/>
      <c r="DU132" s="2"/>
      <c r="DV132" s="2"/>
      <c r="DW132" s="2"/>
      <c r="DX132" s="2"/>
      <c r="DY132" s="2"/>
      <c r="DZ132" s="2"/>
      <c r="EA132" s="2"/>
      <c r="EB132" s="1">
        <v>55773.603092122794</v>
      </c>
      <c r="EC132" s="2"/>
      <c r="ED132" s="2"/>
      <c r="EE132" s="1">
        <v>109596.52424602244</v>
      </c>
      <c r="EF132" s="2"/>
      <c r="EG132" s="1">
        <v>392905.53208606789</v>
      </c>
      <c r="EH132" s="2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4"/>
      <c r="HX132" s="2">
        <v>1634667.3788107622</v>
      </c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1">
        <v>2392533.4009036967</v>
      </c>
      <c r="LP132" s="1"/>
      <c r="LQ132" s="1"/>
      <c r="LR132" s="1"/>
      <c r="LS132" s="1"/>
      <c r="LT132" s="1"/>
      <c r="LU132" s="1">
        <v>1760840.3851218808</v>
      </c>
      <c r="LV132" s="1"/>
      <c r="LW132" s="1"/>
      <c r="LX132" s="1"/>
      <c r="LY132" s="1"/>
      <c r="LZ132" s="1"/>
      <c r="MA132" s="1"/>
      <c r="MB132" s="1"/>
      <c r="MC132" s="1"/>
      <c r="MD132" s="1"/>
      <c r="ME132" s="1"/>
    </row>
    <row r="133" spans="1:343">
      <c r="A133" s="1">
        <v>1496</v>
      </c>
      <c r="B133" s="1">
        <v>10805202.634646712</v>
      </c>
      <c r="C133" s="1">
        <v>3008556.3521632929</v>
      </c>
      <c r="D133" s="1"/>
      <c r="E133" s="1"/>
      <c r="F133" s="1"/>
      <c r="G133" s="1"/>
      <c r="H133" s="1"/>
      <c r="I133" s="1"/>
      <c r="J133" s="1"/>
      <c r="K133" s="1">
        <v>1297449.069623756</v>
      </c>
      <c r="L133" s="1"/>
      <c r="M133" s="1"/>
      <c r="N133" s="1"/>
      <c r="O133" s="1"/>
      <c r="P133" s="1"/>
      <c r="Q133" s="1"/>
      <c r="R133" s="1"/>
      <c r="S133" s="1"/>
      <c r="T133" s="1"/>
      <c r="U133" s="1">
        <v>1353969.0780617909</v>
      </c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>
        <v>3291704.6402019253</v>
      </c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>
        <v>1107803.534489702</v>
      </c>
      <c r="AU133" s="1"/>
      <c r="AV133" s="1"/>
      <c r="AW133" s="1"/>
      <c r="AX133" s="1"/>
      <c r="AY133" s="1"/>
      <c r="AZ133" s="1"/>
      <c r="BA133" s="1"/>
      <c r="BB133" s="1"/>
      <c r="BC133" s="1">
        <v>745719.96010624513</v>
      </c>
      <c r="BD133" s="1"/>
      <c r="BE133" s="1"/>
      <c r="BF133" s="1"/>
      <c r="BG133" s="1"/>
      <c r="BH133" s="1"/>
      <c r="BI133" s="4">
        <v>6929177.3852449795</v>
      </c>
      <c r="BJ133" s="2">
        <v>687058.63973737275</v>
      </c>
      <c r="BK133" s="2"/>
      <c r="BL133" s="2"/>
      <c r="BM133" s="2"/>
      <c r="BN133" s="2"/>
      <c r="BO133" s="2"/>
      <c r="BP133" s="2"/>
      <c r="BQ133" s="1">
        <v>573385.02648539038</v>
      </c>
      <c r="BR133" s="2"/>
      <c r="BS133" s="2"/>
      <c r="BT133" s="2"/>
      <c r="BU133" s="2"/>
      <c r="BV133" s="2"/>
      <c r="BW133" s="2"/>
      <c r="BX133" s="2"/>
      <c r="BY133" s="2"/>
      <c r="BZ133" s="1">
        <v>1283909.4586527273</v>
      </c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1">
        <v>414388.6165225404</v>
      </c>
      <c r="CU133" s="2"/>
      <c r="CV133" s="2"/>
      <c r="CW133" s="2"/>
      <c r="CX133" s="1">
        <v>1320723.8079825481</v>
      </c>
      <c r="CY133" s="2"/>
      <c r="CZ133" s="2"/>
      <c r="DA133" s="2"/>
      <c r="DB133" s="2"/>
      <c r="DC133" s="2"/>
      <c r="DD133" s="2"/>
      <c r="DE133" s="1">
        <v>739401.16117112117</v>
      </c>
      <c r="DF133" s="2"/>
      <c r="DG133" s="2"/>
      <c r="DH133" s="2"/>
      <c r="DI133" s="2"/>
      <c r="DJ133" s="2"/>
      <c r="DK133" s="2"/>
      <c r="DL133" s="1">
        <v>870470.10915773653</v>
      </c>
      <c r="DM133" s="2"/>
      <c r="DN133" s="2"/>
      <c r="DO133" s="2"/>
      <c r="DP133" s="2"/>
      <c r="DQ133" s="2"/>
      <c r="DR133" s="2"/>
      <c r="DS133" s="1">
        <v>479465.9838981551</v>
      </c>
      <c r="DT133" s="2"/>
      <c r="DU133" s="2"/>
      <c r="DV133" s="2"/>
      <c r="DW133" s="2"/>
      <c r="DX133" s="2"/>
      <c r="DY133" s="2"/>
      <c r="DZ133" s="2"/>
      <c r="EA133" s="2"/>
      <c r="EB133" s="1">
        <v>56164.01831376765</v>
      </c>
      <c r="EC133" s="2"/>
      <c r="ED133" s="2"/>
      <c r="EE133" s="1">
        <v>109969.15242845892</v>
      </c>
      <c r="EF133" s="2"/>
      <c r="EG133" s="1">
        <v>394241.41089516057</v>
      </c>
      <c r="EH133" s="2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4"/>
      <c r="HX133" s="2">
        <v>1642023.3820154106</v>
      </c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1">
        <v>2400668.0144667695</v>
      </c>
      <c r="LP133" s="1"/>
      <c r="LQ133" s="1"/>
      <c r="LR133" s="1"/>
      <c r="LS133" s="1"/>
      <c r="LT133" s="1"/>
      <c r="LU133" s="1">
        <v>1766827.2424312953</v>
      </c>
      <c r="LV133" s="1"/>
      <c r="LW133" s="1"/>
      <c r="LX133" s="1"/>
      <c r="LY133" s="1"/>
      <c r="LZ133" s="1"/>
      <c r="MA133" s="1"/>
      <c r="MB133" s="1"/>
      <c r="MC133" s="1"/>
      <c r="MD133" s="1"/>
      <c r="ME133" s="1"/>
    </row>
    <row r="134" spans="1:343">
      <c r="A134" s="1">
        <v>1497</v>
      </c>
      <c r="B134" s="1">
        <v>10844856.883566966</v>
      </c>
      <c r="C134" s="1">
        <v>3018785.4437606484</v>
      </c>
      <c r="D134" s="1"/>
      <c r="E134" s="1"/>
      <c r="F134" s="1"/>
      <c r="G134" s="1"/>
      <c r="H134" s="1"/>
      <c r="I134" s="1"/>
      <c r="J134" s="1"/>
      <c r="K134" s="1">
        <v>1303287.5904370628</v>
      </c>
      <c r="L134" s="1"/>
      <c r="M134" s="1"/>
      <c r="N134" s="1"/>
      <c r="O134" s="1"/>
      <c r="P134" s="1"/>
      <c r="Q134" s="1"/>
      <c r="R134" s="1"/>
      <c r="S134" s="1"/>
      <c r="T134" s="1"/>
      <c r="U134" s="1">
        <v>1360061.938913069</v>
      </c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>
        <v>3302896.4359786119</v>
      </c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>
        <v>1111570.0665069669</v>
      </c>
      <c r="AU134" s="1"/>
      <c r="AV134" s="1"/>
      <c r="AW134" s="1"/>
      <c r="AX134" s="1"/>
      <c r="AY134" s="1"/>
      <c r="AZ134" s="1"/>
      <c r="BA134" s="1"/>
      <c r="BB134" s="1"/>
      <c r="BC134" s="1">
        <v>748255.40797060647</v>
      </c>
      <c r="BD134" s="1"/>
      <c r="BE134" s="1"/>
      <c r="BF134" s="1"/>
      <c r="BG134" s="1"/>
      <c r="BH134" s="1"/>
      <c r="BI134" s="4">
        <v>6959366.5019432008</v>
      </c>
      <c r="BJ134" s="2">
        <v>689875.58016029594</v>
      </c>
      <c r="BK134" s="2"/>
      <c r="BL134" s="2"/>
      <c r="BM134" s="2"/>
      <c r="BN134" s="2"/>
      <c r="BO134" s="2"/>
      <c r="BP134" s="2"/>
      <c r="BQ134" s="1">
        <v>574933.16605690087</v>
      </c>
      <c r="BR134" s="2"/>
      <c r="BS134" s="2"/>
      <c r="BT134" s="2"/>
      <c r="BU134" s="2"/>
      <c r="BV134" s="2"/>
      <c r="BW134" s="2"/>
      <c r="BX134" s="2"/>
      <c r="BY134" s="2"/>
      <c r="BZ134" s="1">
        <v>1292896.8248632962</v>
      </c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1">
        <v>415797.53781871707</v>
      </c>
      <c r="CU134" s="2"/>
      <c r="CV134" s="2"/>
      <c r="CW134" s="2"/>
      <c r="CX134" s="1">
        <v>1325214.268929689</v>
      </c>
      <c r="CY134" s="2"/>
      <c r="CZ134" s="2"/>
      <c r="DA134" s="2"/>
      <c r="DB134" s="2"/>
      <c r="DC134" s="2"/>
      <c r="DD134" s="2"/>
      <c r="DE134" s="1">
        <v>741915.125119103</v>
      </c>
      <c r="DF134" s="2"/>
      <c r="DG134" s="2"/>
      <c r="DH134" s="2"/>
      <c r="DI134" s="2"/>
      <c r="DJ134" s="2"/>
      <c r="DK134" s="2"/>
      <c r="DL134" s="1">
        <v>873429.70752887288</v>
      </c>
      <c r="DM134" s="2"/>
      <c r="DN134" s="2"/>
      <c r="DO134" s="2"/>
      <c r="DP134" s="2"/>
      <c r="DQ134" s="2"/>
      <c r="DR134" s="2"/>
      <c r="DS134" s="1">
        <v>482822.24578544212</v>
      </c>
      <c r="DT134" s="2"/>
      <c r="DU134" s="2"/>
      <c r="DV134" s="2"/>
      <c r="DW134" s="2"/>
      <c r="DX134" s="2"/>
      <c r="DY134" s="2"/>
      <c r="DZ134" s="2"/>
      <c r="EA134" s="2"/>
      <c r="EB134" s="1">
        <v>56557.166441964015</v>
      </c>
      <c r="EC134" s="2"/>
      <c r="ED134" s="2"/>
      <c r="EE134" s="1">
        <v>110343.04754671569</v>
      </c>
      <c r="EF134" s="2"/>
      <c r="EG134" s="1">
        <v>395581.83169220417</v>
      </c>
      <c r="EH134" s="2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4"/>
      <c r="HX134" s="2">
        <v>1649412.4872344797</v>
      </c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1">
        <v>2408830.2857159567</v>
      </c>
      <c r="LP134" s="1"/>
      <c r="LQ134" s="1"/>
      <c r="LR134" s="1"/>
      <c r="LS134" s="1"/>
      <c r="LT134" s="1"/>
      <c r="LU134" s="1">
        <v>1772834.4550555618</v>
      </c>
      <c r="LV134" s="1"/>
      <c r="LW134" s="1"/>
      <c r="LX134" s="1"/>
      <c r="LY134" s="1"/>
      <c r="LZ134" s="1"/>
      <c r="MA134" s="1"/>
      <c r="MB134" s="1"/>
      <c r="MC134" s="1"/>
      <c r="MD134" s="1"/>
      <c r="ME134" s="1"/>
    </row>
    <row r="135" spans="1:343">
      <c r="A135" s="1">
        <v>1498</v>
      </c>
      <c r="B135" s="1">
        <v>10884659.081453379</v>
      </c>
      <c r="C135" s="1">
        <v>3029049.3142694347</v>
      </c>
      <c r="D135" s="1"/>
      <c r="E135" s="1"/>
      <c r="F135" s="1"/>
      <c r="G135" s="1"/>
      <c r="H135" s="1"/>
      <c r="I135" s="1"/>
      <c r="J135" s="1"/>
      <c r="K135" s="1">
        <v>1309152.3845940295</v>
      </c>
      <c r="L135" s="1"/>
      <c r="M135" s="1"/>
      <c r="N135" s="1"/>
      <c r="O135" s="1"/>
      <c r="P135" s="1"/>
      <c r="Q135" s="1"/>
      <c r="R135" s="1"/>
      <c r="S135" s="1"/>
      <c r="T135" s="1"/>
      <c r="U135" s="1">
        <v>1366182.2176381778</v>
      </c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>
        <v>3314126.2838609396</v>
      </c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>
        <v>1115349.4047330907</v>
      </c>
      <c r="AU135" s="1"/>
      <c r="AV135" s="1"/>
      <c r="AW135" s="1"/>
      <c r="AX135" s="1"/>
      <c r="AY135" s="1"/>
      <c r="AZ135" s="1"/>
      <c r="BA135" s="1"/>
      <c r="BB135" s="1"/>
      <c r="BC135" s="1">
        <v>750799.47635770659</v>
      </c>
      <c r="BD135" s="1"/>
      <c r="BE135" s="1"/>
      <c r="BF135" s="1"/>
      <c r="BG135" s="1"/>
      <c r="BH135" s="1"/>
      <c r="BI135" s="4">
        <v>6989877.482143024</v>
      </c>
      <c r="BJ135" s="2">
        <v>692704.0700389531</v>
      </c>
      <c r="BK135" s="2"/>
      <c r="BL135" s="2"/>
      <c r="BM135" s="2"/>
      <c r="BN135" s="2"/>
      <c r="BO135" s="2"/>
      <c r="BP135" s="2"/>
      <c r="BQ135" s="2">
        <v>576657.96555507148</v>
      </c>
      <c r="BR135" s="2"/>
      <c r="BS135" s="2"/>
      <c r="BT135" s="2"/>
      <c r="BU135" s="2"/>
      <c r="BV135" s="2"/>
      <c r="BW135" s="2"/>
      <c r="BX135" s="2"/>
      <c r="BY135" s="2"/>
      <c r="BZ135" s="1">
        <v>1301947.1026373392</v>
      </c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1">
        <v>417211.24944730074</v>
      </c>
      <c r="CU135" s="2"/>
      <c r="CV135" s="2"/>
      <c r="CW135" s="2"/>
      <c r="CX135" s="1">
        <v>1329719.9974440499</v>
      </c>
      <c r="CY135" s="2"/>
      <c r="CZ135" s="2"/>
      <c r="DA135" s="2"/>
      <c r="DB135" s="2"/>
      <c r="DC135" s="2"/>
      <c r="DD135" s="2"/>
      <c r="DE135" s="1">
        <v>744437.63654450804</v>
      </c>
      <c r="DF135" s="2"/>
      <c r="DG135" s="2"/>
      <c r="DH135" s="2"/>
      <c r="DI135" s="2"/>
      <c r="DJ135" s="2"/>
      <c r="DK135" s="2"/>
      <c r="DL135" s="1">
        <v>876399.36853447114</v>
      </c>
      <c r="DM135" s="2"/>
      <c r="DN135" s="2"/>
      <c r="DO135" s="2"/>
      <c r="DP135" s="2"/>
      <c r="DQ135" s="2"/>
      <c r="DR135" s="2"/>
      <c r="DS135" s="1">
        <v>486202.00150594016</v>
      </c>
      <c r="DT135" s="2"/>
      <c r="DU135" s="2"/>
      <c r="DV135" s="2"/>
      <c r="DW135" s="2"/>
      <c r="DX135" s="2"/>
      <c r="DY135" s="2"/>
      <c r="DZ135" s="2"/>
      <c r="EA135" s="2"/>
      <c r="EB135" s="1">
        <v>56953.066607057757</v>
      </c>
      <c r="EC135" s="2"/>
      <c r="ED135" s="2"/>
      <c r="EE135" s="1">
        <v>110718.21390837453</v>
      </c>
      <c r="EF135" s="2"/>
      <c r="EG135" s="1">
        <v>396926.80991995771</v>
      </c>
      <c r="EH135" s="2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4"/>
      <c r="HX135" s="2">
        <v>1656834.8434270348</v>
      </c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1">
        <v>2417020.3086873912</v>
      </c>
      <c r="LP135" s="1"/>
      <c r="LQ135" s="1"/>
      <c r="LR135" s="1"/>
      <c r="LS135" s="1"/>
      <c r="LT135" s="1"/>
      <c r="LU135" s="1">
        <v>1778862.092202751</v>
      </c>
      <c r="LV135" s="1"/>
      <c r="LW135" s="1"/>
      <c r="LX135" s="1"/>
      <c r="LY135" s="1"/>
      <c r="LZ135" s="1"/>
      <c r="MA135" s="1"/>
      <c r="MB135" s="1"/>
      <c r="MC135" s="1"/>
      <c r="MD135" s="1"/>
      <c r="ME135" s="1"/>
    </row>
    <row r="136" spans="1:343">
      <c r="A136" s="1">
        <v>1499</v>
      </c>
      <c r="B136" s="1">
        <v>10924609.790392777</v>
      </c>
      <c r="C136" s="1">
        <v>3039348.081937951</v>
      </c>
      <c r="D136" s="1"/>
      <c r="E136" s="1"/>
      <c r="F136" s="1"/>
      <c r="G136" s="1"/>
      <c r="H136" s="1"/>
      <c r="I136" s="1"/>
      <c r="J136" s="1"/>
      <c r="K136" s="1">
        <v>1315043.5703247027</v>
      </c>
      <c r="L136" s="1"/>
      <c r="M136" s="1"/>
      <c r="N136" s="1"/>
      <c r="O136" s="1"/>
      <c r="P136" s="1"/>
      <c r="Q136" s="1"/>
      <c r="R136" s="1"/>
      <c r="S136" s="1"/>
      <c r="T136" s="1"/>
      <c r="U136" s="1">
        <v>1372330.0376175495</v>
      </c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>
        <v>3325394.313226067</v>
      </c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>
        <v>1119141.5927091832</v>
      </c>
      <c r="AU136" s="1"/>
      <c r="AV136" s="1"/>
      <c r="AW136" s="1"/>
      <c r="AX136" s="1"/>
      <c r="AY136" s="1"/>
      <c r="AZ136" s="1"/>
      <c r="BA136" s="1"/>
      <c r="BB136" s="1"/>
      <c r="BC136" s="1">
        <v>753352.19457732281</v>
      </c>
      <c r="BD136" s="1"/>
      <c r="BE136" s="1"/>
      <c r="BF136" s="1"/>
      <c r="BG136" s="1"/>
      <c r="BH136" s="1"/>
      <c r="BI136" s="4">
        <v>7020539.6630598167</v>
      </c>
      <c r="BJ136" s="2">
        <v>695544.15672611282</v>
      </c>
      <c r="BK136" s="2"/>
      <c r="BL136" s="2"/>
      <c r="BM136" s="2"/>
      <c r="BN136" s="2"/>
      <c r="BO136" s="2"/>
      <c r="BP136" s="2"/>
      <c r="BQ136" s="2">
        <v>578387.93945173663</v>
      </c>
      <c r="BR136" s="2"/>
      <c r="BS136" s="2"/>
      <c r="BT136" s="2"/>
      <c r="BU136" s="2"/>
      <c r="BV136" s="2"/>
      <c r="BW136" s="2"/>
      <c r="BX136" s="2"/>
      <c r="BY136" s="2"/>
      <c r="BZ136" s="1">
        <v>1311060.7323558005</v>
      </c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1">
        <v>418629.76769542159</v>
      </c>
      <c r="CU136" s="2"/>
      <c r="CV136" s="2"/>
      <c r="CW136" s="2"/>
      <c r="CX136" s="1">
        <v>1334241.0454353597</v>
      </c>
      <c r="CY136" s="2"/>
      <c r="CZ136" s="2"/>
      <c r="DA136" s="2"/>
      <c r="DB136" s="2"/>
      <c r="DC136" s="2"/>
      <c r="DD136" s="2"/>
      <c r="DE136" s="1">
        <v>746968.72450875945</v>
      </c>
      <c r="DF136" s="2"/>
      <c r="DG136" s="2"/>
      <c r="DH136" s="2"/>
      <c r="DI136" s="2"/>
      <c r="DJ136" s="2"/>
      <c r="DK136" s="2"/>
      <c r="DL136" s="1">
        <v>879379.12638748845</v>
      </c>
      <c r="DM136" s="2"/>
      <c r="DN136" s="2"/>
      <c r="DO136" s="2"/>
      <c r="DP136" s="2"/>
      <c r="DQ136" s="2"/>
      <c r="DR136" s="2"/>
      <c r="DS136" s="1">
        <v>489605.41551648168</v>
      </c>
      <c r="DT136" s="2"/>
      <c r="DU136" s="2"/>
      <c r="DV136" s="2"/>
      <c r="DW136" s="2"/>
      <c r="DX136" s="2"/>
      <c r="DY136" s="2"/>
      <c r="DZ136" s="2"/>
      <c r="EA136" s="2"/>
      <c r="EB136" s="1">
        <v>57351.738073307155</v>
      </c>
      <c r="EC136" s="2"/>
      <c r="ED136" s="2"/>
      <c r="EE136" s="1">
        <v>111094.65583566301</v>
      </c>
      <c r="EF136" s="2"/>
      <c r="EG136" s="1">
        <v>398276.36107368558</v>
      </c>
      <c r="EH136" s="2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4"/>
      <c r="HX136" s="2">
        <v>1664290.6002224563</v>
      </c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1">
        <v>2425238.1777369287</v>
      </c>
      <c r="LP136" s="1"/>
      <c r="LQ136" s="1"/>
      <c r="LR136" s="1"/>
      <c r="LS136" s="1"/>
      <c r="LT136" s="1"/>
      <c r="LU136" s="1">
        <v>1784910.2233162404</v>
      </c>
      <c r="LV136" s="1"/>
      <c r="LW136" s="1"/>
      <c r="LX136" s="1"/>
      <c r="LY136" s="1"/>
      <c r="LZ136" s="1"/>
      <c r="MA136" s="1"/>
      <c r="MB136" s="1"/>
      <c r="MC136" s="1"/>
      <c r="MD136" s="1"/>
      <c r="ME136" s="1"/>
    </row>
    <row r="137" spans="1:343">
      <c r="A137" s="1">
        <v>1500</v>
      </c>
      <c r="B137" s="1">
        <v>10964709.574648848</v>
      </c>
      <c r="C137" s="1">
        <v>3049681.8654165403</v>
      </c>
      <c r="D137" s="1"/>
      <c r="E137" s="1"/>
      <c r="F137" s="1"/>
      <c r="G137" s="1"/>
      <c r="H137" s="1"/>
      <c r="I137" s="1"/>
      <c r="J137" s="1"/>
      <c r="K137" s="1">
        <v>1320961.2663911637</v>
      </c>
      <c r="L137" s="1"/>
      <c r="M137" s="1"/>
      <c r="N137" s="1"/>
      <c r="O137" s="1"/>
      <c r="P137" s="1"/>
      <c r="Q137" s="1"/>
      <c r="R137" s="1"/>
      <c r="S137" s="1"/>
      <c r="T137" s="1"/>
      <c r="U137" s="1">
        <v>1378505.5227868285</v>
      </c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>
        <v>3336700.6538910358</v>
      </c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>
        <v>1122946.6741243945</v>
      </c>
      <c r="AU137" s="1"/>
      <c r="AV137" s="1"/>
      <c r="AW137" s="1"/>
      <c r="AX137" s="1"/>
      <c r="AY137" s="1"/>
      <c r="AZ137" s="1"/>
      <c r="BA137" s="1"/>
      <c r="BB137" s="1"/>
      <c r="BC137" s="1">
        <v>755913.59203888581</v>
      </c>
      <c r="BD137" s="1"/>
      <c r="BE137" s="1"/>
      <c r="BF137" s="1"/>
      <c r="BG137" s="1"/>
      <c r="BH137" s="1"/>
      <c r="BI137" s="4">
        <v>7051353.8880375503</v>
      </c>
      <c r="BJ137" s="2">
        <v>698395.88776868989</v>
      </c>
      <c r="BK137" s="2"/>
      <c r="BL137" s="2"/>
      <c r="BM137" s="2"/>
      <c r="BN137" s="2"/>
      <c r="BO137" s="2"/>
      <c r="BP137" s="2"/>
      <c r="BQ137" s="2">
        <v>580123.10327009181</v>
      </c>
      <c r="BR137" s="2"/>
      <c r="BS137" s="2"/>
      <c r="BT137" s="2"/>
      <c r="BU137" s="2"/>
      <c r="BV137" s="2"/>
      <c r="BW137" s="2"/>
      <c r="BX137" s="2"/>
      <c r="BY137" s="2"/>
      <c r="BZ137" s="1">
        <v>1320238.1574822909</v>
      </c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1">
        <v>420053.10890558606</v>
      </c>
      <c r="CU137" s="2"/>
      <c r="CV137" s="2"/>
      <c r="CW137" s="2"/>
      <c r="CX137" s="1">
        <v>1338777.4649898401</v>
      </c>
      <c r="CY137" s="2"/>
      <c r="CZ137" s="2"/>
      <c r="DA137" s="2"/>
      <c r="DB137" s="2"/>
      <c r="DC137" s="2"/>
      <c r="DD137" s="2"/>
      <c r="DE137" s="1">
        <v>749508.41817208927</v>
      </c>
      <c r="DF137" s="2"/>
      <c r="DG137" s="2"/>
      <c r="DH137" s="2"/>
      <c r="DI137" s="2"/>
      <c r="DJ137" s="2"/>
      <c r="DK137" s="2"/>
      <c r="DL137" s="1">
        <v>882369.01541720598</v>
      </c>
      <c r="DM137" s="2"/>
      <c r="DN137" s="2"/>
      <c r="DO137" s="2"/>
      <c r="DP137" s="2"/>
      <c r="DQ137" s="2"/>
      <c r="DR137" s="2"/>
      <c r="DS137" s="1">
        <v>493032.653425097</v>
      </c>
      <c r="DT137" s="2"/>
      <c r="DU137" s="2"/>
      <c r="DV137" s="2"/>
      <c r="DW137" s="2"/>
      <c r="DX137" s="2"/>
      <c r="DY137" s="2"/>
      <c r="DZ137" s="2"/>
      <c r="EA137" s="2"/>
      <c r="EB137" s="1">
        <v>57753.200239820297</v>
      </c>
      <c r="EC137" s="2"/>
      <c r="ED137" s="2"/>
      <c r="EE137" s="1">
        <v>111472.37766550427</v>
      </c>
      <c r="EF137" s="2"/>
      <c r="EG137" s="1">
        <v>399630.50070133613</v>
      </c>
      <c r="EH137" s="2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4"/>
      <c r="HX137" s="2">
        <v>1671779.9079234572</v>
      </c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1">
        <v>2433483.9875412346</v>
      </c>
      <c r="LP137" s="1"/>
      <c r="LQ137" s="1"/>
      <c r="LR137" s="1"/>
      <c r="LS137" s="1"/>
      <c r="LT137" s="1"/>
      <c r="LU137" s="1">
        <v>1790978.9180755157</v>
      </c>
      <c r="LV137" s="1"/>
      <c r="LW137" s="1"/>
      <c r="LX137" s="1"/>
      <c r="LY137" s="1"/>
      <c r="LZ137" s="1"/>
      <c r="MA137" s="1"/>
      <c r="MB137" s="1"/>
      <c r="MC137" s="1"/>
      <c r="MD137" s="1"/>
      <c r="ME137" s="1"/>
    </row>
    <row r="138" spans="1:343">
      <c r="A138" s="1">
        <v>1501</v>
      </c>
      <c r="B138" s="1">
        <v>11004959.00067075</v>
      </c>
      <c r="C138" s="1">
        <v>3060050.7837589569</v>
      </c>
      <c r="D138" s="1"/>
      <c r="E138" s="1"/>
      <c r="F138" s="1"/>
      <c r="G138" s="1"/>
      <c r="H138" s="1"/>
      <c r="I138" s="1"/>
      <c r="J138" s="1"/>
      <c r="K138" s="1">
        <v>1326905.5920899238</v>
      </c>
      <c r="L138" s="1"/>
      <c r="M138" s="1"/>
      <c r="N138" s="1"/>
      <c r="O138" s="1"/>
      <c r="P138" s="1"/>
      <c r="Q138" s="1"/>
      <c r="R138" s="1"/>
      <c r="S138" s="1"/>
      <c r="T138" s="1"/>
      <c r="U138" s="1">
        <v>1384708.797639369</v>
      </c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>
        <v>3348045.4361142656</v>
      </c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>
        <v>1126764.6928164177</v>
      </c>
      <c r="AU138" s="1"/>
      <c r="AV138" s="1"/>
      <c r="AW138" s="1"/>
      <c r="AX138" s="1"/>
      <c r="AY138" s="1"/>
      <c r="AZ138" s="1"/>
      <c r="BA138" s="1"/>
      <c r="BB138" s="1"/>
      <c r="BC138" s="1">
        <v>758483.69825181807</v>
      </c>
      <c r="BD138" s="1"/>
      <c r="BE138" s="1"/>
      <c r="BF138" s="1"/>
      <c r="BG138" s="1"/>
      <c r="BH138" s="1"/>
      <c r="BI138" s="4">
        <v>7082321.0055771405</v>
      </c>
      <c r="BJ138" s="2">
        <v>701259.31090854155</v>
      </c>
      <c r="BK138" s="2"/>
      <c r="BL138" s="2"/>
      <c r="BM138" s="2"/>
      <c r="BN138" s="2"/>
      <c r="BO138" s="2"/>
      <c r="BP138" s="2"/>
      <c r="BQ138" s="2">
        <v>581863.47257990204</v>
      </c>
      <c r="BR138" s="2"/>
      <c r="BS138" s="2"/>
      <c r="BT138" s="2"/>
      <c r="BU138" s="2"/>
      <c r="BV138" s="2"/>
      <c r="BW138" s="2"/>
      <c r="BX138" s="2"/>
      <c r="BY138" s="2"/>
      <c r="BZ138" s="1">
        <v>1329479.8245846669</v>
      </c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1">
        <v>421481.28947586508</v>
      </c>
      <c r="CU138" s="2"/>
      <c r="CV138" s="2"/>
      <c r="CW138" s="2"/>
      <c r="CX138" s="1">
        <v>1343329.3083708056</v>
      </c>
      <c r="CY138" s="2"/>
      <c r="CZ138" s="2"/>
      <c r="DA138" s="2"/>
      <c r="DB138" s="2"/>
      <c r="DC138" s="2"/>
      <c r="DD138" s="2"/>
      <c r="DE138" s="1">
        <v>752056.74679387442</v>
      </c>
      <c r="DF138" s="2"/>
      <c r="DG138" s="2"/>
      <c r="DH138" s="2"/>
      <c r="DI138" s="2"/>
      <c r="DJ138" s="2"/>
      <c r="DK138" s="2"/>
      <c r="DL138" s="1">
        <v>885369.07006962458</v>
      </c>
      <c r="DM138" s="2"/>
      <c r="DN138" s="2"/>
      <c r="DO138" s="2"/>
      <c r="DP138" s="2"/>
      <c r="DQ138" s="2"/>
      <c r="DR138" s="2"/>
      <c r="DS138" s="1">
        <v>496483.88199907262</v>
      </c>
      <c r="DT138" s="2"/>
      <c r="DU138" s="2"/>
      <c r="DV138" s="2"/>
      <c r="DW138" s="2"/>
      <c r="DX138" s="2"/>
      <c r="DY138" s="2"/>
      <c r="DZ138" s="2"/>
      <c r="EA138" s="2"/>
      <c r="EB138" s="1">
        <v>58157.472641499029</v>
      </c>
      <c r="EC138" s="2"/>
      <c r="ED138" s="2"/>
      <c r="EE138" s="1">
        <v>111851.383749567</v>
      </c>
      <c r="EF138" s="2"/>
      <c r="EG138" s="1">
        <v>400989.24440372072</v>
      </c>
      <c r="EH138" s="2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4"/>
      <c r="HX138" s="2">
        <v>1679302.9175091127</v>
      </c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1">
        <v>2441757.8330988749</v>
      </c>
      <c r="LP138" s="1"/>
      <c r="LQ138" s="1"/>
      <c r="LR138" s="1"/>
      <c r="LS138" s="1"/>
      <c r="LT138" s="1"/>
      <c r="LU138" s="1">
        <v>1797068.2463969726</v>
      </c>
      <c r="LV138" s="1"/>
      <c r="LW138" s="1"/>
      <c r="LX138" s="1"/>
      <c r="LY138" s="1"/>
      <c r="LZ138" s="1"/>
      <c r="MA138" s="1"/>
      <c r="MB138" s="1"/>
      <c r="MC138" s="1"/>
      <c r="MD138" s="1"/>
      <c r="ME138" s="1"/>
    </row>
    <row r="139" spans="1:343">
      <c r="A139" s="1">
        <v>1502</v>
      </c>
      <c r="B139" s="1">
        <v>11045358.637101732</v>
      </c>
      <c r="C139" s="1">
        <v>3070454.9564237376</v>
      </c>
      <c r="D139" s="1"/>
      <c r="E139" s="1"/>
      <c r="F139" s="1"/>
      <c r="G139" s="1"/>
      <c r="H139" s="1"/>
      <c r="I139" s="1"/>
      <c r="J139" s="1"/>
      <c r="K139" s="1">
        <v>1332876.6672543285</v>
      </c>
      <c r="L139" s="1"/>
      <c r="M139" s="1"/>
      <c r="N139" s="1"/>
      <c r="O139" s="1"/>
      <c r="P139" s="1"/>
      <c r="Q139" s="1"/>
      <c r="R139" s="1"/>
      <c r="S139" s="1"/>
      <c r="T139" s="1"/>
      <c r="U139" s="1">
        <v>1390939.9872287461</v>
      </c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>
        <v>3359428.7905970542</v>
      </c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>
        <v>1130595.6927719936</v>
      </c>
      <c r="AU139" s="1"/>
      <c r="AV139" s="1"/>
      <c r="AW139" s="1"/>
      <c r="AX139" s="1"/>
      <c r="AY139" s="1"/>
      <c r="AZ139" s="1"/>
      <c r="BA139" s="1"/>
      <c r="BB139" s="1"/>
      <c r="BC139" s="1">
        <v>761062.54282587429</v>
      </c>
      <c r="BD139" s="1"/>
      <c r="BE139" s="1"/>
      <c r="BF139" s="1"/>
      <c r="BG139" s="1"/>
      <c r="BH139" s="1"/>
      <c r="BI139" s="4">
        <v>7113441.8693699157</v>
      </c>
      <c r="BJ139" s="2">
        <v>704134.47408326657</v>
      </c>
      <c r="BK139" s="2"/>
      <c r="BL139" s="2"/>
      <c r="BM139" s="2"/>
      <c r="BN139" s="2"/>
      <c r="BO139" s="2"/>
      <c r="BP139" s="2"/>
      <c r="BQ139" s="2">
        <v>583609.06299764162</v>
      </c>
      <c r="BR139" s="2"/>
      <c r="BS139" s="2"/>
      <c r="BT139" s="2"/>
      <c r="BU139" s="2"/>
      <c r="BV139" s="2"/>
      <c r="BW139" s="2"/>
      <c r="BX139" s="2"/>
      <c r="BY139" s="2"/>
      <c r="BZ139" s="1">
        <v>1338786.1833567594</v>
      </c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1">
        <v>422914.32586008304</v>
      </c>
      <c r="CU139" s="2"/>
      <c r="CV139" s="2"/>
      <c r="CW139" s="2"/>
      <c r="CX139" s="1">
        <v>1347896.6280192663</v>
      </c>
      <c r="CY139" s="2"/>
      <c r="CZ139" s="2"/>
      <c r="DA139" s="2"/>
      <c r="DB139" s="2"/>
      <c r="DC139" s="2"/>
      <c r="DD139" s="2"/>
      <c r="DE139" s="1">
        <v>754613.73973297363</v>
      </c>
      <c r="DF139" s="2"/>
      <c r="DG139" s="2"/>
      <c r="DH139" s="2"/>
      <c r="DI139" s="2"/>
      <c r="DJ139" s="2"/>
      <c r="DK139" s="2"/>
      <c r="DL139" s="1">
        <v>888379.32490786142</v>
      </c>
      <c r="DM139" s="2"/>
      <c r="DN139" s="2"/>
      <c r="DO139" s="2"/>
      <c r="DP139" s="2"/>
      <c r="DQ139" s="2"/>
      <c r="DR139" s="2"/>
      <c r="DS139" s="1">
        <v>499959.26917306607</v>
      </c>
      <c r="DT139" s="2"/>
      <c r="DU139" s="2"/>
      <c r="DV139" s="2"/>
      <c r="DW139" s="2"/>
      <c r="DX139" s="2"/>
      <c r="DY139" s="2"/>
      <c r="DZ139" s="2"/>
      <c r="EA139" s="2"/>
      <c r="EB139" s="1">
        <v>58564.574949989517</v>
      </c>
      <c r="EC139" s="2"/>
      <c r="ED139" s="2"/>
      <c r="EE139" s="1">
        <v>112231.67845431554</v>
      </c>
      <c r="EF139" s="2"/>
      <c r="EG139" s="1">
        <v>402352.60783469339</v>
      </c>
      <c r="EH139" s="2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4"/>
      <c r="HX139" s="2">
        <v>1686859.7806379036</v>
      </c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1">
        <v>2450059.8097314113</v>
      </c>
      <c r="LP139" s="1"/>
      <c r="LQ139" s="1"/>
      <c r="LR139" s="1"/>
      <c r="LS139" s="1"/>
      <c r="LT139" s="1"/>
      <c r="LU139" s="1">
        <v>1803178.2784347225</v>
      </c>
      <c r="LV139" s="1"/>
      <c r="LW139" s="1"/>
      <c r="LX139" s="1"/>
      <c r="LY139" s="1"/>
      <c r="LZ139" s="1"/>
      <c r="MA139" s="1"/>
      <c r="MB139" s="1"/>
      <c r="MC139" s="1"/>
      <c r="MD139" s="1"/>
      <c r="ME139" s="1"/>
    </row>
    <row r="140" spans="1:343">
      <c r="A140" s="1">
        <v>1503</v>
      </c>
      <c r="B140" s="1">
        <v>11085909.054787811</v>
      </c>
      <c r="C140" s="1">
        <v>3080894.5032755784</v>
      </c>
      <c r="D140" s="1"/>
      <c r="E140" s="1"/>
      <c r="F140" s="1"/>
      <c r="G140" s="1"/>
      <c r="H140" s="1"/>
      <c r="I140" s="1"/>
      <c r="J140" s="1"/>
      <c r="K140" s="1">
        <v>1338874.6122569728</v>
      </c>
      <c r="L140" s="1"/>
      <c r="M140" s="1"/>
      <c r="N140" s="1"/>
      <c r="O140" s="1"/>
      <c r="P140" s="1"/>
      <c r="Q140" s="1"/>
      <c r="R140" s="1"/>
      <c r="S140" s="1"/>
      <c r="T140" s="1"/>
      <c r="U140" s="1">
        <v>1397199.2171712753</v>
      </c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>
        <v>3370850.8484850843</v>
      </c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>
        <v>1134439.7181274185</v>
      </c>
      <c r="AU140" s="1"/>
      <c r="AV140" s="1"/>
      <c r="AW140" s="1"/>
      <c r="AX140" s="1"/>
      <c r="AY140" s="1"/>
      <c r="AZ140" s="1"/>
      <c r="BA140" s="1"/>
      <c r="BB140" s="1"/>
      <c r="BC140" s="1">
        <v>763650.15547148231</v>
      </c>
      <c r="BD140" s="1"/>
      <c r="BE140" s="1"/>
      <c r="BF140" s="1"/>
      <c r="BG140" s="1"/>
      <c r="BH140" s="1"/>
      <c r="BI140" s="4">
        <v>7144717.3383313604</v>
      </c>
      <c r="BJ140" s="2">
        <v>707021.42542700795</v>
      </c>
      <c r="BK140" s="2"/>
      <c r="BL140" s="2"/>
      <c r="BM140" s="2"/>
      <c r="BN140" s="2"/>
      <c r="BO140" s="2"/>
      <c r="BP140" s="2"/>
      <c r="BQ140" s="2">
        <v>585359.8901866345</v>
      </c>
      <c r="BR140" s="2"/>
      <c r="BS140" s="2"/>
      <c r="BT140" s="2"/>
      <c r="BU140" s="2"/>
      <c r="BV140" s="2"/>
      <c r="BW140" s="2"/>
      <c r="BX140" s="2"/>
      <c r="BY140" s="2"/>
      <c r="BZ140" s="1">
        <v>1348157.6866402566</v>
      </c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1">
        <v>424352.23456800735</v>
      </c>
      <c r="CU140" s="2"/>
      <c r="CV140" s="2"/>
      <c r="CW140" s="2"/>
      <c r="CX140" s="1">
        <v>1352479.4765545318</v>
      </c>
      <c r="CY140" s="2"/>
      <c r="CZ140" s="2"/>
      <c r="DA140" s="2"/>
      <c r="DB140" s="2"/>
      <c r="DC140" s="2"/>
      <c r="DD140" s="2"/>
      <c r="DE140" s="1">
        <v>757179.42644806579</v>
      </c>
      <c r="DF140" s="2"/>
      <c r="DG140" s="2"/>
      <c r="DH140" s="2"/>
      <c r="DI140" s="2"/>
      <c r="DJ140" s="2"/>
      <c r="DK140" s="2"/>
      <c r="DL140" s="1">
        <v>891399.81461254822</v>
      </c>
      <c r="DM140" s="2"/>
      <c r="DN140" s="2"/>
      <c r="DO140" s="2"/>
      <c r="DP140" s="2"/>
      <c r="DQ140" s="2"/>
      <c r="DR140" s="2"/>
      <c r="DS140" s="1">
        <v>503458.9840572775</v>
      </c>
      <c r="DT140" s="2"/>
      <c r="DU140" s="2"/>
      <c r="DV140" s="2"/>
      <c r="DW140" s="2"/>
      <c r="DX140" s="2"/>
      <c r="DY140" s="2"/>
      <c r="DZ140" s="2"/>
      <c r="EA140" s="2"/>
      <c r="EB140" s="1">
        <v>58974.526974639441</v>
      </c>
      <c r="EC140" s="2"/>
      <c r="ED140" s="2"/>
      <c r="EE140" s="1">
        <v>112613.26616106022</v>
      </c>
      <c r="EF140" s="2"/>
      <c r="EG140" s="1">
        <v>403720.60670133139</v>
      </c>
      <c r="EH140" s="2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4"/>
      <c r="HX140" s="2">
        <v>1694450.6496507742</v>
      </c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1">
        <v>2458390.0130844982</v>
      </c>
      <c r="LP140" s="1"/>
      <c r="LQ140" s="1"/>
      <c r="LR140" s="1"/>
      <c r="LS140" s="1"/>
      <c r="LT140" s="1"/>
      <c r="LU140" s="1">
        <v>1809309.0845814007</v>
      </c>
      <c r="LV140" s="1"/>
      <c r="LW140" s="1"/>
      <c r="LX140" s="1"/>
      <c r="LY140" s="1"/>
      <c r="LZ140" s="1"/>
      <c r="MA140" s="1"/>
      <c r="MB140" s="1"/>
      <c r="MC140" s="1"/>
      <c r="MD140" s="1"/>
      <c r="ME140" s="1"/>
    </row>
    <row r="141" spans="1:343">
      <c r="A141" s="1">
        <v>1504</v>
      </c>
      <c r="B141" s="1">
        <v>11126610.826786462</v>
      </c>
      <c r="C141" s="1">
        <v>3091369.5445867158</v>
      </c>
      <c r="D141" s="1"/>
      <c r="E141" s="1"/>
      <c r="F141" s="1"/>
      <c r="G141" s="1"/>
      <c r="H141" s="1"/>
      <c r="I141" s="1"/>
      <c r="J141" s="1"/>
      <c r="K141" s="1">
        <v>1344899.548012129</v>
      </c>
      <c r="L141" s="1"/>
      <c r="M141" s="1"/>
      <c r="N141" s="1"/>
      <c r="O141" s="1"/>
      <c r="P141" s="1"/>
      <c r="Q141" s="1"/>
      <c r="R141" s="1"/>
      <c r="S141" s="1"/>
      <c r="T141" s="1"/>
      <c r="U141" s="1">
        <v>1403486.6136485459</v>
      </c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>
        <v>3382311.7413699338</v>
      </c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>
        <v>1138296.8131690519</v>
      </c>
      <c r="AU141" s="1"/>
      <c r="AV141" s="1"/>
      <c r="AW141" s="1"/>
      <c r="AX141" s="1"/>
      <c r="AY141" s="1"/>
      <c r="AZ141" s="1"/>
      <c r="BA141" s="1"/>
      <c r="BB141" s="1"/>
      <c r="BC141" s="1">
        <v>766246.56600008544</v>
      </c>
      <c r="BD141" s="1"/>
      <c r="BE141" s="1"/>
      <c r="BF141" s="1"/>
      <c r="BG141" s="1"/>
      <c r="BH141" s="1"/>
      <c r="BI141" s="4">
        <v>7176148.2766350321</v>
      </c>
      <c r="BJ141" s="2">
        <v>709920.21327125863</v>
      </c>
      <c r="BK141" s="2"/>
      <c r="BL141" s="2"/>
      <c r="BM141" s="2"/>
      <c r="BN141" s="2"/>
      <c r="BO141" s="2"/>
      <c r="BP141" s="2"/>
      <c r="BQ141" s="2">
        <v>587115.96985719434</v>
      </c>
      <c r="BR141" s="2"/>
      <c r="BS141" s="2"/>
      <c r="BT141" s="2"/>
      <c r="BU141" s="2"/>
      <c r="BV141" s="2"/>
      <c r="BW141" s="2"/>
      <c r="BX141" s="2"/>
      <c r="BY141" s="2"/>
      <c r="BZ141" s="1">
        <v>1357594.7904467382</v>
      </c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1">
        <v>425795.03216553858</v>
      </c>
      <c r="CU141" s="2"/>
      <c r="CV141" s="2"/>
      <c r="CW141" s="2"/>
      <c r="CX141" s="1">
        <v>1357077.9067748173</v>
      </c>
      <c r="CY141" s="2"/>
      <c r="CZ141" s="2"/>
      <c r="DA141" s="2"/>
      <c r="DB141" s="2"/>
      <c r="DC141" s="2"/>
      <c r="DD141" s="2"/>
      <c r="DE141" s="1">
        <v>759753.83649798925</v>
      </c>
      <c r="DF141" s="2"/>
      <c r="DG141" s="2"/>
      <c r="DH141" s="2"/>
      <c r="DI141" s="2"/>
      <c r="DJ141" s="2"/>
      <c r="DK141" s="2"/>
      <c r="DL141" s="1">
        <v>894430.57398223097</v>
      </c>
      <c r="DM141" s="2"/>
      <c r="DN141" s="2"/>
      <c r="DO141" s="2"/>
      <c r="DP141" s="2"/>
      <c r="DQ141" s="2"/>
      <c r="DR141" s="2"/>
      <c r="DS141" s="1">
        <v>506983.19694567838</v>
      </c>
      <c r="DT141" s="2"/>
      <c r="DU141" s="2"/>
      <c r="DV141" s="2"/>
      <c r="DW141" s="2"/>
      <c r="DX141" s="2"/>
      <c r="DY141" s="2"/>
      <c r="DZ141" s="2"/>
      <c r="EA141" s="2"/>
      <c r="EB141" s="1">
        <v>59387.348663461911</v>
      </c>
      <c r="EC141" s="2"/>
      <c r="ED141" s="2"/>
      <c r="EE141" s="1">
        <v>112996.15126600783</v>
      </c>
      <c r="EF141" s="2"/>
      <c r="EG141" s="1">
        <v>405093.25676411594</v>
      </c>
      <c r="EH141" s="2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4"/>
      <c r="HX141" s="2">
        <v>1702075.6775742027</v>
      </c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1">
        <v>2466748.5391289857</v>
      </c>
      <c r="LP141" s="1"/>
      <c r="LQ141" s="1"/>
      <c r="LR141" s="1"/>
      <c r="LS141" s="1"/>
      <c r="LT141" s="1"/>
      <c r="LU141" s="1">
        <v>1815460.7354689776</v>
      </c>
      <c r="LV141" s="1"/>
      <c r="LW141" s="1"/>
      <c r="LX141" s="1"/>
      <c r="LY141" s="1"/>
      <c r="LZ141" s="1"/>
      <c r="MA141" s="1"/>
      <c r="MB141" s="1"/>
      <c r="MC141" s="1"/>
      <c r="MD141" s="1"/>
      <c r="ME141" s="1"/>
    </row>
    <row r="142" spans="1:343">
      <c r="A142" s="1">
        <v>1505</v>
      </c>
      <c r="B142" s="1">
        <v>11167464.528375361</v>
      </c>
      <c r="C142" s="1">
        <v>3101880.2010383108</v>
      </c>
      <c r="D142" s="1"/>
      <c r="E142" s="1"/>
      <c r="F142" s="1"/>
      <c r="G142" s="1"/>
      <c r="H142" s="1"/>
      <c r="I142" s="1"/>
      <c r="J142" s="1"/>
      <c r="K142" s="1">
        <v>1350951.5959781834</v>
      </c>
      <c r="L142" s="1"/>
      <c r="M142" s="1"/>
      <c r="N142" s="1"/>
      <c r="O142" s="1"/>
      <c r="P142" s="1"/>
      <c r="Q142" s="1"/>
      <c r="R142" s="1"/>
      <c r="S142" s="1"/>
      <c r="T142" s="1"/>
      <c r="U142" s="1">
        <v>1409802.3034099643</v>
      </c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>
        <v>3393811.601290592</v>
      </c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>
        <v>1142167.0223338266</v>
      </c>
      <c r="AU142" s="1"/>
      <c r="AV142" s="1"/>
      <c r="AW142" s="1"/>
      <c r="AX142" s="1"/>
      <c r="AY142" s="1"/>
      <c r="AZ142" s="1"/>
      <c r="BA142" s="1"/>
      <c r="BB142" s="1"/>
      <c r="BC142" s="1">
        <v>768851.80432448583</v>
      </c>
      <c r="BD142" s="1"/>
      <c r="BE142" s="1"/>
      <c r="BF142" s="1"/>
      <c r="BG142" s="1"/>
      <c r="BH142" s="1"/>
      <c r="BI142" s="4">
        <v>7207735.5537467385</v>
      </c>
      <c r="BJ142" s="2">
        <v>712830.88614567078</v>
      </c>
      <c r="BK142" s="2"/>
      <c r="BL142" s="2"/>
      <c r="BM142" s="2"/>
      <c r="BN142" s="2"/>
      <c r="BO142" s="2"/>
      <c r="BP142" s="2"/>
      <c r="BQ142" s="2">
        <v>588877.31776676583</v>
      </c>
      <c r="BR142" s="2"/>
      <c r="BS142" s="2"/>
      <c r="BT142" s="2"/>
      <c r="BU142" s="2"/>
      <c r="BV142" s="2"/>
      <c r="BW142" s="2"/>
      <c r="BX142" s="2"/>
      <c r="BY142" s="2"/>
      <c r="BZ142" s="1">
        <v>1367097.9539798652</v>
      </c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1">
        <v>427242.73527490144</v>
      </c>
      <c r="CU142" s="2"/>
      <c r="CV142" s="2"/>
      <c r="CW142" s="2"/>
      <c r="CX142" s="1">
        <v>1361691.9716578517</v>
      </c>
      <c r="CY142" s="2"/>
      <c r="CZ142" s="2"/>
      <c r="DA142" s="2"/>
      <c r="DB142" s="2"/>
      <c r="DC142" s="2"/>
      <c r="DD142" s="2"/>
      <c r="DE142" s="1">
        <v>762336.99954208243</v>
      </c>
      <c r="DF142" s="2"/>
      <c r="DG142" s="2"/>
      <c r="DH142" s="2"/>
      <c r="DI142" s="2"/>
      <c r="DJ142" s="2"/>
      <c r="DK142" s="2"/>
      <c r="DL142" s="1">
        <v>897471.63793377066</v>
      </c>
      <c r="DM142" s="2"/>
      <c r="DN142" s="2"/>
      <c r="DO142" s="2"/>
      <c r="DP142" s="2"/>
      <c r="DQ142" s="2"/>
      <c r="DR142" s="2"/>
      <c r="DS142" s="1">
        <v>510532.07932429807</v>
      </c>
      <c r="DT142" s="2"/>
      <c r="DU142" s="2"/>
      <c r="DV142" s="2"/>
      <c r="DW142" s="2"/>
      <c r="DX142" s="2"/>
      <c r="DY142" s="2"/>
      <c r="DZ142" s="2"/>
      <c r="EA142" s="2"/>
      <c r="EB142" s="1">
        <v>59803.060104106138</v>
      </c>
      <c r="EC142" s="2"/>
      <c r="ED142" s="2"/>
      <c r="EE142" s="1">
        <v>113380.33818031226</v>
      </c>
      <c r="EF142" s="2"/>
      <c r="EG142" s="1">
        <v>406470.57383711397</v>
      </c>
      <c r="EH142" s="2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4"/>
      <c r="HX142" s="2">
        <v>1709735.0181232865</v>
      </c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1">
        <v>2475135.4841620242</v>
      </c>
      <c r="LP142" s="1"/>
      <c r="LQ142" s="1"/>
      <c r="LR142" s="1"/>
      <c r="LS142" s="1"/>
      <c r="LT142" s="1"/>
      <c r="LU142" s="1">
        <v>1821633.3019695722</v>
      </c>
      <c r="LV142" s="1"/>
      <c r="LW142" s="1"/>
      <c r="LX142" s="1"/>
      <c r="LY142" s="1"/>
      <c r="LZ142" s="1"/>
      <c r="MA142" s="1"/>
      <c r="MB142" s="1"/>
      <c r="MC142" s="1"/>
      <c r="MD142" s="1"/>
      <c r="ME142" s="1"/>
    </row>
    <row r="143" spans="1:343">
      <c r="A143" s="1">
        <v>1506</v>
      </c>
      <c r="B143" s="1">
        <v>11208470.737061167</v>
      </c>
      <c r="C143" s="1">
        <v>3112426.5937218415</v>
      </c>
      <c r="D143" s="1"/>
      <c r="E143" s="1"/>
      <c r="F143" s="1"/>
      <c r="G143" s="1"/>
      <c r="H143" s="1"/>
      <c r="I143" s="1"/>
      <c r="J143" s="1"/>
      <c r="K143" s="1">
        <v>1357030.8781600853</v>
      </c>
      <c r="L143" s="1"/>
      <c r="M143" s="1"/>
      <c r="N143" s="1"/>
      <c r="O143" s="1"/>
      <c r="P143" s="1"/>
      <c r="Q143" s="1"/>
      <c r="R143" s="1"/>
      <c r="S143" s="1"/>
      <c r="T143" s="1"/>
      <c r="U143" s="1">
        <v>1416146.413775309</v>
      </c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>
        <v>3405350.5607349803</v>
      </c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>
        <v>1146050.3902097617</v>
      </c>
      <c r="AU143" s="1"/>
      <c r="AV143" s="1"/>
      <c r="AW143" s="1"/>
      <c r="AX143" s="1"/>
      <c r="AY143" s="1"/>
      <c r="AZ143" s="1"/>
      <c r="BA143" s="1"/>
      <c r="BB143" s="1"/>
      <c r="BC143" s="1">
        <v>771465.90045918908</v>
      </c>
      <c r="BD143" s="1"/>
      <c r="BE143" s="1"/>
      <c r="BF143" s="1"/>
      <c r="BG143" s="1"/>
      <c r="BH143" s="1"/>
      <c r="BI143" s="4">
        <v>7239480.0444589425</v>
      </c>
      <c r="BJ143" s="2">
        <v>715753.49277886807</v>
      </c>
      <c r="BK143" s="2"/>
      <c r="BL143" s="2"/>
      <c r="BM143" s="2"/>
      <c r="BN143" s="2"/>
      <c r="BO143" s="2"/>
      <c r="BP143" s="2"/>
      <c r="BQ143" s="2">
        <v>590643.94972006604</v>
      </c>
      <c r="BR143" s="2"/>
      <c r="BS143" s="2"/>
      <c r="BT143" s="2"/>
      <c r="BU143" s="2"/>
      <c r="BV143" s="2"/>
      <c r="BW143" s="2"/>
      <c r="BX143" s="2"/>
      <c r="BY143" s="2"/>
      <c r="BZ143" s="1">
        <v>1376667.6396577242</v>
      </c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1">
        <v>428695.36057483614</v>
      </c>
      <c r="CU143" s="2"/>
      <c r="CV143" s="2"/>
      <c r="CW143" s="2"/>
      <c r="CX143" s="1">
        <v>1366321.7243614886</v>
      </c>
      <c r="CY143" s="2"/>
      <c r="CZ143" s="2"/>
      <c r="DA143" s="2"/>
      <c r="DB143" s="2"/>
      <c r="DC143" s="2"/>
      <c r="DD143" s="2"/>
      <c r="DE143" s="1">
        <v>764928.94534052559</v>
      </c>
      <c r="DF143" s="2"/>
      <c r="DG143" s="2"/>
      <c r="DH143" s="2"/>
      <c r="DI143" s="2"/>
      <c r="DJ143" s="2"/>
      <c r="DK143" s="2"/>
      <c r="DL143" s="1">
        <v>900523.04150274559</v>
      </c>
      <c r="DM143" s="2"/>
      <c r="DN143" s="2"/>
      <c r="DO143" s="2"/>
      <c r="DP143" s="2"/>
      <c r="DQ143" s="2"/>
      <c r="DR143" s="2"/>
      <c r="DS143" s="1">
        <v>514105.80387956812</v>
      </c>
      <c r="DT143" s="2"/>
      <c r="DU143" s="2"/>
      <c r="DV143" s="2"/>
      <c r="DW143" s="2"/>
      <c r="DX143" s="2"/>
      <c r="DY143" s="2"/>
      <c r="DZ143" s="2"/>
      <c r="EA143" s="2"/>
      <c r="EB143" s="1">
        <v>60221.681524834872</v>
      </c>
      <c r="EC143" s="2"/>
      <c r="ED143" s="2"/>
      <c r="EE143" s="1">
        <v>113765.83133012534</v>
      </c>
      <c r="EF143" s="2"/>
      <c r="EG143" s="1">
        <v>407852.57378816017</v>
      </c>
      <c r="EH143" s="2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4"/>
      <c r="HX143" s="2">
        <v>1717428.8257048412</v>
      </c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1">
        <v>2483550.9448081753</v>
      </c>
      <c r="LP143" s="1"/>
      <c r="LQ143" s="1"/>
      <c r="LR143" s="1"/>
      <c r="LS143" s="1"/>
      <c r="LT143" s="1"/>
      <c r="LU143" s="1">
        <v>1827826.8551962688</v>
      </c>
      <c r="LV143" s="1"/>
      <c r="LW143" s="1"/>
      <c r="LX143" s="1"/>
      <c r="LY143" s="1"/>
      <c r="LZ143" s="1"/>
      <c r="MA143" s="1"/>
      <c r="MB143" s="1"/>
      <c r="MC143" s="1"/>
      <c r="MD143" s="1"/>
      <c r="ME143" s="1"/>
    </row>
    <row r="144" spans="1:343">
      <c r="A144" s="1">
        <v>1507</v>
      </c>
      <c r="B144" s="1">
        <v>11249630.032588303</v>
      </c>
      <c r="C144" s="1">
        <v>3123008.8441404961</v>
      </c>
      <c r="D144" s="1"/>
      <c r="E144" s="1"/>
      <c r="F144" s="1"/>
      <c r="G144" s="1"/>
      <c r="H144" s="1"/>
      <c r="I144" s="1"/>
      <c r="J144" s="1"/>
      <c r="K144" s="1">
        <v>1363137.5171118055</v>
      </c>
      <c r="L144" s="1"/>
      <c r="M144" s="1"/>
      <c r="N144" s="1"/>
      <c r="O144" s="1"/>
      <c r="P144" s="1"/>
      <c r="Q144" s="1"/>
      <c r="R144" s="1"/>
      <c r="S144" s="1"/>
      <c r="T144" s="1"/>
      <c r="U144" s="1">
        <v>1422519.0726372979</v>
      </c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>
        <v>3416928.7526414795</v>
      </c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>
        <v>1149946.961536475</v>
      </c>
      <c r="AU144" s="1"/>
      <c r="AV144" s="1"/>
      <c r="AW144" s="1"/>
      <c r="AX144" s="1"/>
      <c r="AY144" s="1"/>
      <c r="AZ144" s="1"/>
      <c r="BA144" s="1"/>
      <c r="BB144" s="1"/>
      <c r="BC144" s="1">
        <v>774088.88452075038</v>
      </c>
      <c r="BD144" s="1"/>
      <c r="BE144" s="1"/>
      <c r="BF144" s="1"/>
      <c r="BG144" s="1"/>
      <c r="BH144" s="1"/>
      <c r="BI144" s="4">
        <v>7271382.6289253831</v>
      </c>
      <c r="BJ144" s="2">
        <v>718688.08209926146</v>
      </c>
      <c r="BK144" s="2"/>
      <c r="BL144" s="2"/>
      <c r="BM144" s="2"/>
      <c r="BN144" s="2"/>
      <c r="BO144" s="2"/>
      <c r="BP144" s="2"/>
      <c r="BQ144" s="2">
        <v>592415.88156922616</v>
      </c>
      <c r="BR144" s="2"/>
      <c r="BS144" s="2"/>
      <c r="BT144" s="2"/>
      <c r="BU144" s="2"/>
      <c r="BV144" s="2"/>
      <c r="BW144" s="2"/>
      <c r="BX144" s="2"/>
      <c r="BY144" s="2"/>
      <c r="BZ144" s="1">
        <v>1386304.313135328</v>
      </c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1">
        <v>430152.92480079061</v>
      </c>
      <c r="CU144" s="2"/>
      <c r="CV144" s="2"/>
      <c r="CW144" s="2"/>
      <c r="CX144" s="1">
        <v>1370967.2182243178</v>
      </c>
      <c r="CY144" s="2"/>
      <c r="CZ144" s="2"/>
      <c r="DA144" s="2"/>
      <c r="DB144" s="2"/>
      <c r="DC144" s="2"/>
      <c r="DD144" s="2"/>
      <c r="DE144" s="1">
        <v>767529.70375468337</v>
      </c>
      <c r="DF144" s="2"/>
      <c r="DG144" s="2"/>
      <c r="DH144" s="2"/>
      <c r="DI144" s="2"/>
      <c r="DJ144" s="2"/>
      <c r="DK144" s="2"/>
      <c r="DL144" s="1">
        <v>903584.81984385499</v>
      </c>
      <c r="DM144" s="2"/>
      <c r="DN144" s="2"/>
      <c r="DO144" s="2"/>
      <c r="DP144" s="2"/>
      <c r="DQ144" s="2"/>
      <c r="DR144" s="2"/>
      <c r="DS144" s="1">
        <v>517704.54450672504</v>
      </c>
      <c r="DT144" s="2"/>
      <c r="DU144" s="2"/>
      <c r="DV144" s="2"/>
      <c r="DW144" s="2"/>
      <c r="DX144" s="2"/>
      <c r="DY144" s="2"/>
      <c r="DZ144" s="2"/>
      <c r="EA144" s="2"/>
      <c r="EB144" s="1">
        <v>60643.233295508711</v>
      </c>
      <c r="EC144" s="2"/>
      <c r="ED144" s="2"/>
      <c r="EE144" s="1">
        <v>114152.63515664777</v>
      </c>
      <c r="EF144" s="2"/>
      <c r="EG144" s="1">
        <v>409239.27253903996</v>
      </c>
      <c r="EH144" s="2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4"/>
      <c r="HX144" s="2">
        <v>1725157.255420513</v>
      </c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1">
        <v>2491995.0180205232</v>
      </c>
      <c r="LP144" s="1"/>
      <c r="LQ144" s="1"/>
      <c r="LR144" s="1"/>
      <c r="LS144" s="1"/>
      <c r="LT144" s="1"/>
      <c r="LU144" s="1">
        <v>1834041.4665039361</v>
      </c>
      <c r="LV144" s="1"/>
      <c r="LW144" s="1"/>
      <c r="LX144" s="1"/>
      <c r="LY144" s="1"/>
      <c r="LZ144" s="1"/>
      <c r="MA144" s="1"/>
      <c r="MB144" s="1"/>
      <c r="MC144" s="1"/>
      <c r="MD144" s="1"/>
      <c r="ME144" s="1"/>
    </row>
    <row r="145" spans="1:343">
      <c r="A145" s="1">
        <v>1508</v>
      </c>
      <c r="B145" s="1">
        <v>11290942.996947829</v>
      </c>
      <c r="C145" s="1">
        <v>3133627.0742105739</v>
      </c>
      <c r="D145" s="1"/>
      <c r="E145" s="1"/>
      <c r="F145" s="1"/>
      <c r="G145" s="1"/>
      <c r="H145" s="1"/>
      <c r="I145" s="1"/>
      <c r="J145" s="1"/>
      <c r="K145" s="1">
        <v>1369271.6359388086</v>
      </c>
      <c r="L145" s="1"/>
      <c r="M145" s="1"/>
      <c r="N145" s="1"/>
      <c r="O145" s="1"/>
      <c r="P145" s="1"/>
      <c r="Q145" s="1"/>
      <c r="R145" s="1"/>
      <c r="S145" s="1"/>
      <c r="T145" s="1"/>
      <c r="U145" s="1">
        <v>1428920.4084641656</v>
      </c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>
        <v>3428546.3104004608</v>
      </c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>
        <v>1153856.7812056991</v>
      </c>
      <c r="AU145" s="1"/>
      <c r="AV145" s="1"/>
      <c r="AW145" s="1"/>
      <c r="AX145" s="1"/>
      <c r="AY145" s="1"/>
      <c r="AZ145" s="1"/>
      <c r="BA145" s="1"/>
      <c r="BB145" s="1"/>
      <c r="BC145" s="1">
        <v>776720.78672812099</v>
      </c>
      <c r="BD145" s="1"/>
      <c r="BE145" s="1"/>
      <c r="BF145" s="1"/>
      <c r="BG145" s="1"/>
      <c r="BH145" s="1"/>
      <c r="BI145" s="4">
        <v>7303444.1926959474</v>
      </c>
      <c r="BJ145" s="2">
        <v>721634.70323586848</v>
      </c>
      <c r="BK145" s="2"/>
      <c r="BL145" s="2"/>
      <c r="BM145" s="2"/>
      <c r="BN145" s="2"/>
      <c r="BO145" s="2"/>
      <c r="BP145" s="2"/>
      <c r="BQ145" s="2">
        <v>594193.12921393372</v>
      </c>
      <c r="BR145" s="2"/>
      <c r="BS145" s="2"/>
      <c r="BT145" s="2"/>
      <c r="BU145" s="2"/>
      <c r="BV145" s="2"/>
      <c r="BW145" s="2"/>
      <c r="BX145" s="2"/>
      <c r="BY145" s="2"/>
      <c r="BZ145" s="1">
        <v>1396008.4433272751</v>
      </c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1">
        <v>431615.44474511332</v>
      </c>
      <c r="CU145" s="2"/>
      <c r="CV145" s="2"/>
      <c r="CW145" s="2"/>
      <c r="CX145" s="1">
        <v>1375628.5067662806</v>
      </c>
      <c r="CY145" s="2"/>
      <c r="CZ145" s="2"/>
      <c r="DA145" s="2"/>
      <c r="DB145" s="2"/>
      <c r="DC145" s="2"/>
      <c r="DD145" s="2"/>
      <c r="DE145" s="1">
        <v>770139.30474744935</v>
      </c>
      <c r="DF145" s="2"/>
      <c r="DG145" s="2"/>
      <c r="DH145" s="2"/>
      <c r="DI145" s="2"/>
      <c r="DJ145" s="2"/>
      <c r="DK145" s="2"/>
      <c r="DL145" s="1">
        <v>906657.00823132414</v>
      </c>
      <c r="DM145" s="2"/>
      <c r="DN145" s="2"/>
      <c r="DO145" s="2"/>
      <c r="DP145" s="2"/>
      <c r="DQ145" s="2"/>
      <c r="DR145" s="2"/>
      <c r="DS145" s="1">
        <v>521328.47631827206</v>
      </c>
      <c r="DT145" s="2"/>
      <c r="DU145" s="2"/>
      <c r="DV145" s="2"/>
      <c r="DW145" s="2"/>
      <c r="DX145" s="2"/>
      <c r="DY145" s="2"/>
      <c r="DZ145" s="2"/>
      <c r="EA145" s="2"/>
      <c r="EB145" s="1">
        <v>61067.735928577269</v>
      </c>
      <c r="EC145" s="2"/>
      <c r="ED145" s="2"/>
      <c r="EE145" s="1">
        <v>114540.75411618038</v>
      </c>
      <c r="EF145" s="2"/>
      <c r="EG145" s="1">
        <v>410630.68606567272</v>
      </c>
      <c r="EH145" s="2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4"/>
      <c r="HX145" s="2">
        <v>1732920.4630699053</v>
      </c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1">
        <v>2500467.8010817934</v>
      </c>
      <c r="LP145" s="1"/>
      <c r="LQ145" s="1"/>
      <c r="LR145" s="1"/>
      <c r="LS145" s="1"/>
      <c r="LT145" s="1"/>
      <c r="LU145" s="1">
        <v>1840277.2074900495</v>
      </c>
      <c r="LV145" s="1"/>
      <c r="LW145" s="1"/>
      <c r="LX145" s="1"/>
      <c r="LY145" s="1"/>
      <c r="LZ145" s="1"/>
      <c r="MA145" s="1"/>
      <c r="MB145" s="1"/>
      <c r="MC145" s="1"/>
      <c r="MD145" s="1"/>
      <c r="ME145" s="1"/>
    </row>
    <row r="146" spans="1:343">
      <c r="A146" s="1">
        <v>1509</v>
      </c>
      <c r="B146" s="1">
        <v>11332410.214386294</v>
      </c>
      <c r="C146" s="1">
        <v>3144281.40626289</v>
      </c>
      <c r="D146" s="1"/>
      <c r="E146" s="1"/>
      <c r="F146" s="1"/>
      <c r="G146" s="1"/>
      <c r="H146" s="1"/>
      <c r="I146" s="1"/>
      <c r="J146" s="1"/>
      <c r="K146" s="1">
        <v>1375433.3583005331</v>
      </c>
      <c r="L146" s="1"/>
      <c r="M146" s="1"/>
      <c r="N146" s="1"/>
      <c r="O146" s="1"/>
      <c r="P146" s="1"/>
      <c r="Q146" s="1"/>
      <c r="R146" s="1"/>
      <c r="S146" s="1"/>
      <c r="T146" s="1"/>
      <c r="U146" s="1">
        <v>1435350.5503022543</v>
      </c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>
        <v>3440203.3678558227</v>
      </c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>
        <v>1157779.8942617986</v>
      </c>
      <c r="AU146" s="1"/>
      <c r="AV146" s="1"/>
      <c r="AW146" s="1"/>
      <c r="AX146" s="1"/>
      <c r="AY146" s="1"/>
      <c r="AZ146" s="1"/>
      <c r="BA146" s="1"/>
      <c r="BB146" s="1"/>
      <c r="BC146" s="1">
        <v>779361.63740299665</v>
      </c>
      <c r="BD146" s="1"/>
      <c r="BE146" s="1"/>
      <c r="BF146" s="1"/>
      <c r="BG146" s="1"/>
      <c r="BH146" s="1"/>
      <c r="BI146" s="4">
        <v>7335665.6267517582</v>
      </c>
      <c r="BJ146" s="2">
        <v>724593.40551913553</v>
      </c>
      <c r="BK146" s="2"/>
      <c r="BL146" s="2"/>
      <c r="BM146" s="2"/>
      <c r="BN146" s="2"/>
      <c r="BO146" s="2"/>
      <c r="BP146" s="2"/>
      <c r="BQ146" s="2">
        <v>595975.70860157546</v>
      </c>
      <c r="BR146" s="2"/>
      <c r="BS146" s="2"/>
      <c r="BT146" s="2"/>
      <c r="BU146" s="2"/>
      <c r="BV146" s="2"/>
      <c r="BW146" s="2"/>
      <c r="BX146" s="2"/>
      <c r="BY146" s="2"/>
      <c r="BZ146" s="1">
        <v>1405780.5024305659</v>
      </c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1">
        <v>433082.93725724675</v>
      </c>
      <c r="CU146" s="2"/>
      <c r="CV146" s="2"/>
      <c r="CW146" s="2"/>
      <c r="CX146" s="1">
        <v>1380305.643689286</v>
      </c>
      <c r="CY146" s="2"/>
      <c r="CZ146" s="2"/>
      <c r="DA146" s="2"/>
      <c r="DB146" s="2"/>
      <c r="DC146" s="2"/>
      <c r="DD146" s="2"/>
      <c r="DE146" s="1">
        <v>772757.77838359075</v>
      </c>
      <c r="DF146" s="2"/>
      <c r="DG146" s="2"/>
      <c r="DH146" s="2"/>
      <c r="DI146" s="2"/>
      <c r="DJ146" s="2"/>
      <c r="DK146" s="2"/>
      <c r="DL146" s="1">
        <v>909739.64205931069</v>
      </c>
      <c r="DM146" s="2"/>
      <c r="DN146" s="2"/>
      <c r="DO146" s="2"/>
      <c r="DP146" s="2"/>
      <c r="DQ146" s="2"/>
      <c r="DR146" s="2"/>
      <c r="DS146" s="1">
        <v>524977.77565249987</v>
      </c>
      <c r="DT146" s="2"/>
      <c r="DU146" s="2"/>
      <c r="DV146" s="2"/>
      <c r="DW146" s="2"/>
      <c r="DX146" s="2"/>
      <c r="DY146" s="2"/>
      <c r="DZ146" s="2"/>
      <c r="EA146" s="2"/>
      <c r="EB146" s="1">
        <v>61495.210080077304</v>
      </c>
      <c r="EC146" s="2"/>
      <c r="ED146" s="2"/>
      <c r="EE146" s="1">
        <v>114930.1926801754</v>
      </c>
      <c r="EF146" s="2"/>
      <c r="EG146" s="1">
        <v>412026.83039829606</v>
      </c>
      <c r="EH146" s="2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4"/>
      <c r="HX146" s="2">
        <v>1740718.6051537199</v>
      </c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1">
        <v>2508969.3916054717</v>
      </c>
      <c r="LP146" s="1"/>
      <c r="LQ146" s="1"/>
      <c r="LR146" s="1"/>
      <c r="LS146" s="1"/>
      <c r="LT146" s="1"/>
      <c r="LU146" s="1">
        <v>1846534.1499955158</v>
      </c>
      <c r="LV146" s="1"/>
      <c r="LW146" s="1"/>
      <c r="LX146" s="1"/>
      <c r="LY146" s="1"/>
      <c r="LZ146" s="1"/>
      <c r="MA146" s="1"/>
      <c r="MB146" s="1"/>
      <c r="MC146" s="1"/>
      <c r="MD146" s="1"/>
      <c r="ME146" s="1"/>
    </row>
    <row r="147" spans="1:343">
      <c r="A147" s="1">
        <v>1510</v>
      </c>
      <c r="B147" s="1">
        <v>11374032.271414671</v>
      </c>
      <c r="C147" s="1">
        <v>3154971.9630441838</v>
      </c>
      <c r="D147" s="1"/>
      <c r="E147" s="1"/>
      <c r="F147" s="1"/>
      <c r="G147" s="1"/>
      <c r="H147" s="1"/>
      <c r="I147" s="1"/>
      <c r="J147" s="1"/>
      <c r="K147" s="1">
        <v>1381622.8084128855</v>
      </c>
      <c r="L147" s="1"/>
      <c r="M147" s="1"/>
      <c r="N147" s="1"/>
      <c r="O147" s="1"/>
      <c r="P147" s="1"/>
      <c r="Q147" s="1"/>
      <c r="R147" s="1"/>
      <c r="S147" s="1"/>
      <c r="T147" s="1"/>
      <c r="U147" s="1">
        <v>1441809.6277786144</v>
      </c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>
        <v>3451900.0593065326</v>
      </c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>
        <v>1161716.3459022888</v>
      </c>
      <c r="AU147" s="1"/>
      <c r="AV147" s="1"/>
      <c r="AW147" s="1"/>
      <c r="AX147" s="1"/>
      <c r="AY147" s="1"/>
      <c r="AZ147" s="1"/>
      <c r="BA147" s="1"/>
      <c r="BB147" s="1"/>
      <c r="BC147" s="1">
        <v>782011.46697016689</v>
      </c>
      <c r="BD147" s="1"/>
      <c r="BE147" s="1"/>
      <c r="BF147" s="1"/>
      <c r="BG147" s="1"/>
      <c r="BH147" s="1"/>
      <c r="BI147" s="4">
        <v>7368047.8275405262</v>
      </c>
      <c r="BJ147" s="2">
        <v>727564.23848176398</v>
      </c>
      <c r="BK147" s="2"/>
      <c r="BL147" s="2"/>
      <c r="BM147" s="2"/>
      <c r="BN147" s="2"/>
      <c r="BO147" s="2"/>
      <c r="BP147" s="2"/>
      <c r="BQ147" s="2">
        <v>597763.63572738017</v>
      </c>
      <c r="BR147" s="2"/>
      <c r="BS147" s="2"/>
      <c r="BT147" s="2"/>
      <c r="BU147" s="2"/>
      <c r="BV147" s="2"/>
      <c r="BW147" s="2"/>
      <c r="BX147" s="2"/>
      <c r="BY147" s="2"/>
      <c r="BZ147" s="1">
        <v>1415620.9659475796</v>
      </c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1">
        <v>434555.41924392141</v>
      </c>
      <c r="CU147" s="2"/>
      <c r="CV147" s="2"/>
      <c r="CW147" s="2"/>
      <c r="CX147" s="1">
        <v>1384998.6828778295</v>
      </c>
      <c r="CY147" s="2"/>
      <c r="CZ147" s="2"/>
      <c r="DA147" s="2"/>
      <c r="DB147" s="2"/>
      <c r="DC147" s="2"/>
      <c r="DD147" s="2"/>
      <c r="DE147" s="1">
        <v>775385.15483009501</v>
      </c>
      <c r="DF147" s="2"/>
      <c r="DG147" s="2"/>
      <c r="DH147" s="2"/>
      <c r="DI147" s="2"/>
      <c r="DJ147" s="2"/>
      <c r="DK147" s="2"/>
      <c r="DL147" s="1">
        <v>912832.7568423124</v>
      </c>
      <c r="DM147" s="2"/>
      <c r="DN147" s="2"/>
      <c r="DO147" s="2"/>
      <c r="DP147" s="2"/>
      <c r="DQ147" s="2"/>
      <c r="DR147" s="2"/>
      <c r="DS147" s="1">
        <v>528652.62008206733</v>
      </c>
      <c r="DT147" s="2"/>
      <c r="DU147" s="2"/>
      <c r="DV147" s="2"/>
      <c r="DW147" s="2"/>
      <c r="DX147" s="2"/>
      <c r="DY147" s="2"/>
      <c r="DZ147" s="2"/>
      <c r="EA147" s="2"/>
      <c r="EB147" s="1">
        <v>61925.676550637836</v>
      </c>
      <c r="EC147" s="2"/>
      <c r="ED147" s="2"/>
      <c r="EE147" s="1">
        <v>115320.955335288</v>
      </c>
      <c r="EF147" s="2"/>
      <c r="EG147" s="1">
        <v>413427.72162165027</v>
      </c>
      <c r="EH147" s="2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4"/>
      <c r="HX147" s="2">
        <v>1748551.8388769114</v>
      </c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1">
        <v>2517499.8875369304</v>
      </c>
      <c r="LP147" s="1"/>
      <c r="LQ147" s="1"/>
      <c r="LR147" s="1"/>
      <c r="LS147" s="1"/>
      <c r="LT147" s="1"/>
      <c r="LU147" s="1">
        <v>1852812.3661055006</v>
      </c>
      <c r="LV147" s="1"/>
      <c r="LW147" s="1"/>
      <c r="LX147" s="1"/>
      <c r="LY147" s="1"/>
      <c r="LZ147" s="1"/>
      <c r="MA147" s="1"/>
      <c r="MB147" s="1"/>
      <c r="MC147" s="1"/>
      <c r="MD147" s="1"/>
      <c r="ME147" s="1"/>
    </row>
    <row r="148" spans="1:343">
      <c r="A148" s="1">
        <v>1511</v>
      </c>
      <c r="B148" s="1">
        <v>11415809.756817292</v>
      </c>
      <c r="C148" s="1">
        <v>3165698.8677185341</v>
      </c>
      <c r="D148" s="1"/>
      <c r="E148" s="1"/>
      <c r="F148" s="1"/>
      <c r="G148" s="1"/>
      <c r="H148" s="1"/>
      <c r="I148" s="1"/>
      <c r="J148" s="1"/>
      <c r="K148" s="1">
        <v>1387840.1110507434</v>
      </c>
      <c r="L148" s="1"/>
      <c r="M148" s="1"/>
      <c r="N148" s="1"/>
      <c r="O148" s="1"/>
      <c r="P148" s="1"/>
      <c r="Q148" s="1"/>
      <c r="R148" s="1"/>
      <c r="S148" s="1"/>
      <c r="T148" s="1"/>
      <c r="U148" s="1">
        <v>1448297.7711036182</v>
      </c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>
        <v>3463636.5195081751</v>
      </c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>
        <v>1165666.1814783567</v>
      </c>
      <c r="AU148" s="1"/>
      <c r="AV148" s="1"/>
      <c r="AW148" s="1"/>
      <c r="AX148" s="1"/>
      <c r="AY148" s="1"/>
      <c r="AZ148" s="1"/>
      <c r="BA148" s="1"/>
      <c r="BB148" s="1"/>
      <c r="BC148" s="1">
        <v>784670.30595786555</v>
      </c>
      <c r="BD148" s="1"/>
      <c r="BE148" s="1"/>
      <c r="BF148" s="1"/>
      <c r="BG148" s="1"/>
      <c r="BH148" s="1"/>
      <c r="BI148" s="4">
        <v>7400591.6970120985</v>
      </c>
      <c r="BJ148" s="2">
        <v>730547.25185953919</v>
      </c>
      <c r="BK148" s="2"/>
      <c r="BL148" s="2"/>
      <c r="BM148" s="2"/>
      <c r="BN148" s="2"/>
      <c r="BO148" s="2"/>
      <c r="BP148" s="2"/>
      <c r="BQ148" s="2">
        <v>599556.9266345622</v>
      </c>
      <c r="BR148" s="2"/>
      <c r="BS148" s="2"/>
      <c r="BT148" s="2"/>
      <c r="BU148" s="2"/>
      <c r="BV148" s="2"/>
      <c r="BW148" s="2"/>
      <c r="BX148" s="2"/>
      <c r="BY148" s="2"/>
      <c r="BZ148" s="1">
        <v>1425530.3127092125</v>
      </c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1">
        <v>436032.9076693508</v>
      </c>
      <c r="CU148" s="2"/>
      <c r="CV148" s="2"/>
      <c r="CW148" s="2"/>
      <c r="CX148" s="1">
        <v>1389707.6783996143</v>
      </c>
      <c r="CY148" s="2"/>
      <c r="CZ148" s="2"/>
      <c r="DA148" s="2"/>
      <c r="DB148" s="2"/>
      <c r="DC148" s="2"/>
      <c r="DD148" s="2"/>
      <c r="DE148" s="1">
        <v>778021.46435651742</v>
      </c>
      <c r="DF148" s="2"/>
      <c r="DG148" s="2"/>
      <c r="DH148" s="2"/>
      <c r="DI148" s="2"/>
      <c r="DJ148" s="2"/>
      <c r="DK148" s="2"/>
      <c r="DL148" s="1">
        <v>915936.3882155763</v>
      </c>
      <c r="DM148" s="2"/>
      <c r="DN148" s="2"/>
      <c r="DO148" s="2"/>
      <c r="DP148" s="2"/>
      <c r="DQ148" s="2"/>
      <c r="DR148" s="2"/>
      <c r="DS148" s="1">
        <v>532353.18842264172</v>
      </c>
      <c r="DT148" s="2"/>
      <c r="DU148" s="2"/>
      <c r="DV148" s="2"/>
      <c r="DW148" s="2"/>
      <c r="DX148" s="2"/>
      <c r="DY148" s="2"/>
      <c r="DZ148" s="2"/>
      <c r="EA148" s="2"/>
      <c r="EB148" s="1">
        <v>62359.156286492296</v>
      </c>
      <c r="EC148" s="2"/>
      <c r="ED148" s="2"/>
      <c r="EE148" s="1">
        <v>115713.04658342799</v>
      </c>
      <c r="EF148" s="2"/>
      <c r="EG148" s="1">
        <v>414833.37587516394</v>
      </c>
      <c r="EH148" s="2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4"/>
      <c r="HX148" s="2">
        <v>1756420.3221518574</v>
      </c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1">
        <v>2526059.3871545563</v>
      </c>
      <c r="LP148" s="1"/>
      <c r="LQ148" s="1"/>
      <c r="LR148" s="1"/>
      <c r="LS148" s="1"/>
      <c r="LT148" s="1"/>
      <c r="LU148" s="1">
        <v>1859111.9281502594</v>
      </c>
      <c r="LV148" s="1"/>
      <c r="LW148" s="1"/>
      <c r="LX148" s="1"/>
      <c r="LY148" s="1"/>
      <c r="LZ148" s="1"/>
      <c r="MA148" s="1"/>
      <c r="MB148" s="1"/>
      <c r="MC148" s="1"/>
      <c r="MD148" s="1"/>
      <c r="ME148" s="1"/>
    </row>
    <row r="149" spans="1:343">
      <c r="A149" s="1">
        <v>1512</v>
      </c>
      <c r="B149" s="1">
        <v>11457743.261660844</v>
      </c>
      <c r="C149" s="1">
        <v>3176462.2438687775</v>
      </c>
      <c r="D149" s="1"/>
      <c r="E149" s="1"/>
      <c r="F149" s="1"/>
      <c r="G149" s="1"/>
      <c r="H149" s="1"/>
      <c r="I149" s="1"/>
      <c r="J149" s="1"/>
      <c r="K149" s="1">
        <v>1394085.3915504715</v>
      </c>
      <c r="L149" s="1"/>
      <c r="M149" s="1"/>
      <c r="N149" s="1"/>
      <c r="O149" s="1"/>
      <c r="P149" s="1"/>
      <c r="Q149" s="1"/>
      <c r="R149" s="1"/>
      <c r="S149" s="1"/>
      <c r="T149" s="1"/>
      <c r="U149" s="1">
        <v>1454815.1110735843</v>
      </c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>
        <v>3475412.8836745033</v>
      </c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>
        <v>1169629.4464953833</v>
      </c>
      <c r="AU149" s="1"/>
      <c r="AV149" s="1"/>
      <c r="AW149" s="1"/>
      <c r="AX149" s="1"/>
      <c r="AY149" s="1"/>
      <c r="AZ149" s="1"/>
      <c r="BA149" s="1"/>
      <c r="BB149" s="1"/>
      <c r="BC149" s="1">
        <v>787338.18499812239</v>
      </c>
      <c r="BD149" s="1"/>
      <c r="BE149" s="1"/>
      <c r="BF149" s="1"/>
      <c r="BG149" s="1"/>
      <c r="BH149" s="1"/>
      <c r="BI149" s="4">
        <v>7433298.1426542932</v>
      </c>
      <c r="BJ149" s="2">
        <v>733542.49559216329</v>
      </c>
      <c r="BK149" s="2"/>
      <c r="BL149" s="2"/>
      <c r="BM149" s="2"/>
      <c r="BN149" s="2"/>
      <c r="BO149" s="2"/>
      <c r="BP149" s="2"/>
      <c r="BQ149" s="2">
        <v>601355.59741446585</v>
      </c>
      <c r="BR149" s="2"/>
      <c r="BS149" s="2"/>
      <c r="BT149" s="2"/>
      <c r="BU149" s="2"/>
      <c r="BV149" s="2"/>
      <c r="BW149" s="2"/>
      <c r="BX149" s="2"/>
      <c r="BY149" s="2"/>
      <c r="BZ149" s="1">
        <v>1435509.0248981768</v>
      </c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1">
        <v>437515.41955542663</v>
      </c>
      <c r="CU149" s="2"/>
      <c r="CV149" s="2"/>
      <c r="CW149" s="2"/>
      <c r="CX149" s="1">
        <v>1394432.684506173</v>
      </c>
      <c r="CY149" s="2"/>
      <c r="CZ149" s="2"/>
      <c r="DA149" s="2"/>
      <c r="DB149" s="2"/>
      <c r="DC149" s="2"/>
      <c r="DD149" s="2"/>
      <c r="DE149" s="1">
        <v>780666.73733532964</v>
      </c>
      <c r="DF149" s="2"/>
      <c r="DG149" s="2"/>
      <c r="DH149" s="2"/>
      <c r="DI149" s="2"/>
      <c r="DJ149" s="2"/>
      <c r="DK149" s="2"/>
      <c r="DL149" s="1">
        <v>919050.57193550933</v>
      </c>
      <c r="DM149" s="2"/>
      <c r="DN149" s="2"/>
      <c r="DO149" s="2"/>
      <c r="DP149" s="2"/>
      <c r="DQ149" s="2"/>
      <c r="DR149" s="2"/>
      <c r="DS149" s="1">
        <v>536079.66074160021</v>
      </c>
      <c r="DT149" s="2"/>
      <c r="DU149" s="2"/>
      <c r="DV149" s="2"/>
      <c r="DW149" s="2"/>
      <c r="DX149" s="2"/>
      <c r="DY149" s="2"/>
      <c r="DZ149" s="2"/>
      <c r="EA149" s="2"/>
      <c r="EB149" s="1">
        <v>62795.670380497737</v>
      </c>
      <c r="EC149" s="2"/>
      <c r="ED149" s="2"/>
      <c r="EE149" s="1">
        <v>116106.47094181165</v>
      </c>
      <c r="EF149" s="2"/>
      <c r="EG149" s="1">
        <v>416243.80935313954</v>
      </c>
      <c r="EH149" s="2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4"/>
      <c r="HX149" s="2">
        <v>1764324.2136015408</v>
      </c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1">
        <v>2534647.9890708821</v>
      </c>
      <c r="LP149" s="1"/>
      <c r="LQ149" s="1"/>
      <c r="LR149" s="1"/>
      <c r="LS149" s="1"/>
      <c r="LT149" s="1"/>
      <c r="LU149" s="1">
        <v>1865432.9087059705</v>
      </c>
      <c r="LV149" s="1"/>
      <c r="LW149" s="1"/>
      <c r="LX149" s="1"/>
      <c r="LY149" s="1"/>
      <c r="LZ149" s="1"/>
      <c r="MA149" s="1"/>
      <c r="MB149" s="1"/>
      <c r="MC149" s="1"/>
      <c r="MD149" s="1"/>
      <c r="ME149" s="1"/>
    </row>
    <row r="150" spans="1:343">
      <c r="A150" s="1">
        <v>1513</v>
      </c>
      <c r="B150" s="1">
        <v>11499833.379303377</v>
      </c>
      <c r="C150" s="1">
        <v>3187262.2154979315</v>
      </c>
      <c r="D150" s="1"/>
      <c r="E150" s="1"/>
      <c r="F150" s="1"/>
      <c r="G150" s="1"/>
      <c r="H150" s="1"/>
      <c r="I150" s="1"/>
      <c r="J150" s="1"/>
      <c r="K150" s="1">
        <v>1400358.7758124487</v>
      </c>
      <c r="L150" s="1"/>
      <c r="M150" s="1"/>
      <c r="N150" s="1"/>
      <c r="O150" s="1"/>
      <c r="P150" s="1"/>
      <c r="Q150" s="1"/>
      <c r="R150" s="1"/>
      <c r="S150" s="1"/>
      <c r="T150" s="1"/>
      <c r="U150" s="1">
        <v>1461361.7790734153</v>
      </c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>
        <v>3487229.2874789969</v>
      </c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>
        <v>1173606.1866134678</v>
      </c>
      <c r="AU150" s="1"/>
      <c r="AV150" s="1"/>
      <c r="AW150" s="1"/>
      <c r="AX150" s="1"/>
      <c r="AY150" s="1"/>
      <c r="AZ150" s="1"/>
      <c r="BA150" s="1"/>
      <c r="BB150" s="1"/>
      <c r="BC150" s="1">
        <v>790015.13482711604</v>
      </c>
      <c r="BD150" s="1"/>
      <c r="BE150" s="1"/>
      <c r="BF150" s="1"/>
      <c r="BG150" s="1"/>
      <c r="BH150" s="1"/>
      <c r="BI150" s="4">
        <v>7466168.0775289396</v>
      </c>
      <c r="BJ150" s="2">
        <v>736550.01982409111</v>
      </c>
      <c r="BK150" s="2"/>
      <c r="BL150" s="2"/>
      <c r="BM150" s="2"/>
      <c r="BN150" s="2"/>
      <c r="BO150" s="2"/>
      <c r="BP150" s="2"/>
      <c r="BQ150" s="2">
        <v>603159.66420670913</v>
      </c>
      <c r="BR150" s="2"/>
      <c r="BS150" s="2"/>
      <c r="BT150" s="2"/>
      <c r="BU150" s="2"/>
      <c r="BV150" s="2"/>
      <c r="BW150" s="2"/>
      <c r="BX150" s="2"/>
      <c r="BY150" s="2"/>
      <c r="BZ150" s="1">
        <v>1445557.5880724639</v>
      </c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1">
        <v>439002.97198191512</v>
      </c>
      <c r="CU150" s="2"/>
      <c r="CV150" s="2"/>
      <c r="CW150" s="2"/>
      <c r="CX150" s="1">
        <v>1399173.7556334941</v>
      </c>
      <c r="CY150" s="2"/>
      <c r="CZ150" s="2"/>
      <c r="DA150" s="2"/>
      <c r="DB150" s="2"/>
      <c r="DC150" s="2"/>
      <c r="DD150" s="2"/>
      <c r="DE150" s="1">
        <v>783321.00424226979</v>
      </c>
      <c r="DF150" s="2"/>
      <c r="DG150" s="2"/>
      <c r="DH150" s="2"/>
      <c r="DI150" s="2"/>
      <c r="DJ150" s="2"/>
      <c r="DK150" s="2"/>
      <c r="DL150" s="1">
        <v>922175.34388009016</v>
      </c>
      <c r="DM150" s="2"/>
      <c r="DN150" s="2"/>
      <c r="DO150" s="2"/>
      <c r="DP150" s="2"/>
      <c r="DQ150" s="2"/>
      <c r="DR150" s="2"/>
      <c r="DS150" s="1">
        <v>539832.21836679138</v>
      </c>
      <c r="DT150" s="2"/>
      <c r="DU150" s="2"/>
      <c r="DV150" s="2"/>
      <c r="DW150" s="2"/>
      <c r="DX150" s="2"/>
      <c r="DY150" s="2"/>
      <c r="DZ150" s="2"/>
      <c r="EA150" s="2"/>
      <c r="EB150" s="1">
        <v>63235.240073161214</v>
      </c>
      <c r="EC150" s="2"/>
      <c r="ED150" s="2"/>
      <c r="EE150" s="1">
        <v>116501.23294301382</v>
      </c>
      <c r="EF150" s="2"/>
      <c r="EG150" s="1">
        <v>417659.03830494027</v>
      </c>
      <c r="EH150" s="2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4"/>
      <c r="HX150" s="2">
        <v>1772263.6725627477</v>
      </c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1">
        <v>2543265.7922337232</v>
      </c>
      <c r="LP150" s="1"/>
      <c r="LQ150" s="1"/>
      <c r="LR150" s="1"/>
      <c r="LS150" s="1"/>
      <c r="LT150" s="1"/>
      <c r="LU150" s="1">
        <v>1871775.3805955709</v>
      </c>
      <c r="LV150" s="1"/>
      <c r="LW150" s="1"/>
      <c r="LX150" s="1"/>
      <c r="LY150" s="1"/>
      <c r="LZ150" s="1"/>
      <c r="MA150" s="1"/>
      <c r="MB150" s="1"/>
      <c r="MC150" s="1"/>
      <c r="MD150" s="1"/>
      <c r="ME150" s="1"/>
    </row>
    <row r="151" spans="1:343">
      <c r="A151" s="1">
        <v>1514</v>
      </c>
      <c r="B151" s="1">
        <v>11542080.705403382</v>
      </c>
      <c r="C151" s="1">
        <v>3198098.9070306248</v>
      </c>
      <c r="D151" s="1"/>
      <c r="E151" s="1"/>
      <c r="F151" s="1"/>
      <c r="G151" s="1"/>
      <c r="H151" s="1"/>
      <c r="I151" s="1"/>
      <c r="J151" s="1"/>
      <c r="K151" s="1">
        <v>1406660.3903036045</v>
      </c>
      <c r="L151" s="1"/>
      <c r="M151" s="1"/>
      <c r="N151" s="1"/>
      <c r="O151" s="1"/>
      <c r="P151" s="1"/>
      <c r="Q151" s="1"/>
      <c r="R151" s="1"/>
      <c r="S151" s="1"/>
      <c r="T151" s="1"/>
      <c r="U151" s="1">
        <v>1467937.9070792457</v>
      </c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>
        <v>3499085.8670564257</v>
      </c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>
        <v>1177596.4476479536</v>
      </c>
      <c r="AU151" s="1"/>
      <c r="AV151" s="1"/>
      <c r="AW151" s="1"/>
      <c r="AX151" s="1"/>
      <c r="AY151" s="1"/>
      <c r="AZ151" s="1"/>
      <c r="BA151" s="1"/>
      <c r="BB151" s="1"/>
      <c r="BC151" s="1">
        <v>792701.18628552824</v>
      </c>
      <c r="BD151" s="1"/>
      <c r="BE151" s="1"/>
      <c r="BF151" s="1"/>
      <c r="BG151" s="1"/>
      <c r="BH151" s="1"/>
      <c r="BI151" s="4">
        <v>7499202.4203081764</v>
      </c>
      <c r="BJ151" s="2">
        <v>739569.87490536983</v>
      </c>
      <c r="BK151" s="2"/>
      <c r="BL151" s="2"/>
      <c r="BM151" s="2"/>
      <c r="BN151" s="2"/>
      <c r="BO151" s="2"/>
      <c r="BP151" s="2"/>
      <c r="BQ151" s="2">
        <v>604969.14319932915</v>
      </c>
      <c r="BR151" s="2"/>
      <c r="BS151" s="2"/>
      <c r="BT151" s="2"/>
      <c r="BU151" s="2"/>
      <c r="BV151" s="2"/>
      <c r="BW151" s="2"/>
      <c r="BX151" s="2"/>
      <c r="BY151" s="2"/>
      <c r="BZ151" s="1">
        <v>1455676.4911889709</v>
      </c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1">
        <v>440495.58208665368</v>
      </c>
      <c r="CU151" s="2"/>
      <c r="CV151" s="2"/>
      <c r="CW151" s="2"/>
      <c r="CX151" s="1">
        <v>1403930.946402648</v>
      </c>
      <c r="CY151" s="2"/>
      <c r="CZ151" s="2"/>
      <c r="DA151" s="2"/>
      <c r="DB151" s="2"/>
      <c r="DC151" s="2"/>
      <c r="DD151" s="2"/>
      <c r="DE151" s="1">
        <v>785984.29565669352</v>
      </c>
      <c r="DF151" s="2"/>
      <c r="DG151" s="2"/>
      <c r="DH151" s="2"/>
      <c r="DI151" s="2"/>
      <c r="DJ151" s="2"/>
      <c r="DK151" s="2"/>
      <c r="DL151" s="1">
        <v>925310.74004928255</v>
      </c>
      <c r="DM151" s="2"/>
      <c r="DN151" s="2"/>
      <c r="DO151" s="2"/>
      <c r="DP151" s="2"/>
      <c r="DQ151" s="2"/>
      <c r="DR151" s="2"/>
      <c r="DS151" s="1">
        <v>543611.04389535892</v>
      </c>
      <c r="DT151" s="2"/>
      <c r="DU151" s="2"/>
      <c r="DV151" s="2"/>
      <c r="DW151" s="2"/>
      <c r="DX151" s="2"/>
      <c r="DY151" s="2"/>
      <c r="DZ151" s="2"/>
      <c r="EA151" s="2"/>
      <c r="EB151" s="1">
        <v>63677.886753673338</v>
      </c>
      <c r="EC151" s="2"/>
      <c r="ED151" s="2"/>
      <c r="EE151" s="1">
        <v>116897.33713502008</v>
      </c>
      <c r="EF151" s="2"/>
      <c r="EG151" s="1">
        <v>419079.07903517713</v>
      </c>
      <c r="EH151" s="2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4"/>
      <c r="HX151" s="2">
        <v>1780238.85908928</v>
      </c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1">
        <v>2551912.8959273179</v>
      </c>
      <c r="LP151" s="1"/>
      <c r="LQ151" s="1"/>
      <c r="LR151" s="1"/>
      <c r="LS151" s="1"/>
      <c r="LT151" s="1"/>
      <c r="LU151" s="1">
        <v>1878139.416889596</v>
      </c>
      <c r="LV151" s="1"/>
      <c r="LW151" s="1"/>
      <c r="LX151" s="1"/>
      <c r="LY151" s="1"/>
      <c r="LZ151" s="1"/>
      <c r="MA151" s="1"/>
      <c r="MB151" s="1"/>
      <c r="MC151" s="1"/>
      <c r="MD151" s="1"/>
      <c r="ME151" s="1"/>
    </row>
    <row r="152" spans="1:343">
      <c r="A152" s="1">
        <v>1515</v>
      </c>
      <c r="B152" s="1">
        <v>11584485.837928874</v>
      </c>
      <c r="C152" s="1">
        <v>3208972.443314529</v>
      </c>
      <c r="D152" s="1"/>
      <c r="E152" s="1"/>
      <c r="F152" s="1"/>
      <c r="G152" s="1"/>
      <c r="H152" s="1"/>
      <c r="I152" s="1"/>
      <c r="J152" s="1"/>
      <c r="K152" s="1">
        <v>1412990.3620599706</v>
      </c>
      <c r="L152" s="1"/>
      <c r="M152" s="1"/>
      <c r="N152" s="1"/>
      <c r="O152" s="1"/>
      <c r="P152" s="1"/>
      <c r="Q152" s="1"/>
      <c r="R152" s="1"/>
      <c r="S152" s="1"/>
      <c r="T152" s="1"/>
      <c r="U152" s="1">
        <v>1474543.6276611022</v>
      </c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>
        <v>3510982.7590044178</v>
      </c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>
        <v>1181600.2755699567</v>
      </c>
      <c r="AU152" s="1"/>
      <c r="AV152" s="1"/>
      <c r="AW152" s="1"/>
      <c r="AX152" s="1"/>
      <c r="AY152" s="1"/>
      <c r="AZ152" s="1"/>
      <c r="BA152" s="1"/>
      <c r="BB152" s="1"/>
      <c r="BC152" s="1">
        <v>795396.37031889905</v>
      </c>
      <c r="BD152" s="1"/>
      <c r="BE152" s="1"/>
      <c r="BF152" s="1"/>
      <c r="BG152" s="1"/>
      <c r="BH152" s="1"/>
      <c r="BI152" s="4">
        <v>7532402.0953109944</v>
      </c>
      <c r="BJ152" s="2">
        <v>742602.11139248183</v>
      </c>
      <c r="BK152" s="2"/>
      <c r="BL152" s="2"/>
      <c r="BM152" s="2"/>
      <c r="BN152" s="2"/>
      <c r="BO152" s="2"/>
      <c r="BP152" s="2"/>
      <c r="BQ152" s="2">
        <v>606784.05062892707</v>
      </c>
      <c r="BR152" s="2"/>
      <c r="BS152" s="2"/>
      <c r="BT152" s="2"/>
      <c r="BU152" s="2"/>
      <c r="BV152" s="2"/>
      <c r="BW152" s="2"/>
      <c r="BX152" s="2"/>
      <c r="BY152" s="2"/>
      <c r="BZ152" s="1">
        <v>1465866.2266272935</v>
      </c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1">
        <v>441993.26706574834</v>
      </c>
      <c r="CU152" s="2"/>
      <c r="CV152" s="2"/>
      <c r="CW152" s="2"/>
      <c r="CX152" s="1">
        <v>1408704.3116204171</v>
      </c>
      <c r="CY152" s="2"/>
      <c r="CZ152" s="2"/>
      <c r="DA152" s="2"/>
      <c r="DB152" s="2"/>
      <c r="DC152" s="2"/>
      <c r="DD152" s="2"/>
      <c r="DE152" s="1">
        <v>788656.64226192632</v>
      </c>
      <c r="DF152" s="2"/>
      <c r="DG152" s="2"/>
      <c r="DH152" s="2"/>
      <c r="DI152" s="2"/>
      <c r="DJ152" s="2"/>
      <c r="DK152" s="2"/>
      <c r="DL152" s="1">
        <v>928456.79656545015</v>
      </c>
      <c r="DM152" s="2"/>
      <c r="DN152" s="2"/>
      <c r="DO152" s="2"/>
      <c r="DP152" s="2"/>
      <c r="DQ152" s="2"/>
      <c r="DR152" s="2"/>
      <c r="DS152" s="1">
        <v>547416.32120262634</v>
      </c>
      <c r="DT152" s="2"/>
      <c r="DU152" s="2"/>
      <c r="DV152" s="2"/>
      <c r="DW152" s="2"/>
      <c r="DX152" s="2"/>
      <c r="DY152" s="2"/>
      <c r="DZ152" s="2"/>
      <c r="EA152" s="2"/>
      <c r="EB152" s="1">
        <v>64123.631960949046</v>
      </c>
      <c r="EC152" s="2"/>
      <c r="ED152" s="2"/>
      <c r="EE152" s="1">
        <v>117294.78808127916</v>
      </c>
      <c r="EF152" s="2"/>
      <c r="EG152" s="1">
        <v>420503.94790389674</v>
      </c>
      <c r="EH152" s="2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4"/>
      <c r="HX152" s="2">
        <v>1788249.9339551816</v>
      </c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1">
        <v>2560589.3997734711</v>
      </c>
      <c r="LP152" s="1"/>
      <c r="LQ152" s="1"/>
      <c r="LR152" s="1"/>
      <c r="LS152" s="1"/>
      <c r="LT152" s="1"/>
      <c r="LU152" s="1">
        <v>1884525.0909070207</v>
      </c>
      <c r="LV152" s="1"/>
      <c r="LW152" s="1"/>
      <c r="LX152" s="1"/>
      <c r="LY152" s="1"/>
      <c r="LZ152" s="1"/>
      <c r="MA152" s="1"/>
      <c r="MB152" s="1"/>
      <c r="MC152" s="1"/>
      <c r="MD152" s="1"/>
      <c r="ME152" s="1"/>
    </row>
    <row r="153" spans="1:343">
      <c r="A153" s="1">
        <v>1516</v>
      </c>
      <c r="B153" s="1">
        <v>11627049.377166526</v>
      </c>
      <c r="C153" s="1">
        <v>3219882.9496217985</v>
      </c>
      <c r="D153" s="1"/>
      <c r="E153" s="1"/>
      <c r="F153" s="1"/>
      <c r="G153" s="1"/>
      <c r="H153" s="1"/>
      <c r="I153" s="1"/>
      <c r="J153" s="1"/>
      <c r="K153" s="1">
        <v>1419348.8186892404</v>
      </c>
      <c r="L153" s="1"/>
      <c r="M153" s="1"/>
      <c r="N153" s="1"/>
      <c r="O153" s="1"/>
      <c r="P153" s="1"/>
      <c r="Q153" s="1"/>
      <c r="R153" s="1"/>
      <c r="S153" s="1"/>
      <c r="T153" s="1"/>
      <c r="U153" s="1">
        <v>1481179.0739855771</v>
      </c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>
        <v>3522920.1003850331</v>
      </c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>
        <v>1185617.7165068947</v>
      </c>
      <c r="AU153" s="1"/>
      <c r="AV153" s="1"/>
      <c r="AW153" s="1"/>
      <c r="AX153" s="1"/>
      <c r="AY153" s="1"/>
      <c r="AZ153" s="1"/>
      <c r="BA153" s="1"/>
      <c r="BB153" s="1"/>
      <c r="BC153" s="1">
        <v>798100.71797798341</v>
      </c>
      <c r="BD153" s="1"/>
      <c r="BE153" s="1"/>
      <c r="BF153" s="1"/>
      <c r="BG153" s="1"/>
      <c r="BH153" s="1"/>
      <c r="BI153" s="4">
        <v>7565768.0325400224</v>
      </c>
      <c r="BJ153" s="2">
        <v>745646.78004919097</v>
      </c>
      <c r="BK153" s="2"/>
      <c r="BL153" s="2"/>
      <c r="BM153" s="2"/>
      <c r="BN153" s="2"/>
      <c r="BO153" s="2"/>
      <c r="BP153" s="2"/>
      <c r="BQ153" s="2">
        <v>608604.40278081375</v>
      </c>
      <c r="BR153" s="2"/>
      <c r="BS153" s="2"/>
      <c r="BT153" s="2"/>
      <c r="BU153" s="2"/>
      <c r="BV153" s="2"/>
      <c r="BW153" s="2"/>
      <c r="BX153" s="2"/>
      <c r="BY153" s="2"/>
      <c r="BZ153" s="1">
        <v>1476127.2902136843</v>
      </c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1">
        <v>443496.04417377192</v>
      </c>
      <c r="CU153" s="2"/>
      <c r="CV153" s="2"/>
      <c r="CW153" s="2"/>
      <c r="CX153" s="1">
        <v>1413493.9062799267</v>
      </c>
      <c r="CY153" s="2"/>
      <c r="CZ153" s="2"/>
      <c r="DA153" s="2"/>
      <c r="DB153" s="2"/>
      <c r="DC153" s="2"/>
      <c r="DD153" s="2"/>
      <c r="DE153" s="1">
        <v>791338.07484561694</v>
      </c>
      <c r="DF153" s="2"/>
      <c r="DG153" s="2"/>
      <c r="DH153" s="2"/>
      <c r="DI153" s="2"/>
      <c r="DJ153" s="2"/>
      <c r="DK153" s="2"/>
      <c r="DL153" s="1">
        <v>931613.54967377277</v>
      </c>
      <c r="DM153" s="2"/>
      <c r="DN153" s="2"/>
      <c r="DO153" s="2"/>
      <c r="DP153" s="2"/>
      <c r="DQ153" s="2"/>
      <c r="DR153" s="2"/>
      <c r="DS153" s="1">
        <v>551248.23545104463</v>
      </c>
      <c r="DT153" s="2"/>
      <c r="DU153" s="2"/>
      <c r="DV153" s="2"/>
      <c r="DW153" s="2"/>
      <c r="DX153" s="2"/>
      <c r="DY153" s="2"/>
      <c r="DZ153" s="2"/>
      <c r="EA153" s="2"/>
      <c r="EB153" s="1">
        <v>64572.497384675684</v>
      </c>
      <c r="EC153" s="2"/>
      <c r="ED153" s="2"/>
      <c r="EE153" s="1">
        <v>117693.59036075551</v>
      </c>
      <c r="EF153" s="2"/>
      <c r="EG153" s="1">
        <v>421933.66132677003</v>
      </c>
      <c r="EH153" s="2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4"/>
      <c r="HX153" s="2">
        <v>1796297.0586579798</v>
      </c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1">
        <v>2569295.4037327012</v>
      </c>
      <c r="LP153" s="1"/>
      <c r="LQ153" s="1"/>
      <c r="LR153" s="1"/>
      <c r="LS153" s="1"/>
      <c r="LT153" s="1"/>
      <c r="LU153" s="1">
        <v>1890932.4762161048</v>
      </c>
      <c r="LV153" s="1"/>
      <c r="LW153" s="1"/>
      <c r="LX153" s="1"/>
      <c r="LY153" s="1"/>
      <c r="LZ153" s="1"/>
      <c r="MA153" s="1"/>
      <c r="MB153" s="1"/>
      <c r="MC153" s="1"/>
      <c r="MD153" s="1"/>
      <c r="ME153" s="1"/>
    </row>
    <row r="154" spans="1:343">
      <c r="A154" s="1">
        <v>1517</v>
      </c>
      <c r="B154" s="1">
        <v>11669771.925730836</v>
      </c>
      <c r="C154" s="1">
        <v>3230830.551650513</v>
      </c>
      <c r="D154" s="1"/>
      <c r="E154" s="1"/>
      <c r="F154" s="1"/>
      <c r="G154" s="1"/>
      <c r="H154" s="1"/>
      <c r="I154" s="1"/>
      <c r="J154" s="1"/>
      <c r="K154" s="1">
        <v>1425735.8883733419</v>
      </c>
      <c r="L154" s="1"/>
      <c r="M154" s="1"/>
      <c r="N154" s="1"/>
      <c r="O154" s="1"/>
      <c r="P154" s="1"/>
      <c r="Q154" s="1"/>
      <c r="R154" s="1"/>
      <c r="S154" s="1"/>
      <c r="T154" s="1"/>
      <c r="U154" s="1">
        <v>1487844.3798185121</v>
      </c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>
        <v>3534898.0287263426</v>
      </c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>
        <v>1189648.8167430181</v>
      </c>
      <c r="AU154" s="1"/>
      <c r="AV154" s="1"/>
      <c r="AW154" s="1"/>
      <c r="AX154" s="1"/>
      <c r="AY154" s="1"/>
      <c r="AZ154" s="1"/>
      <c r="BA154" s="1"/>
      <c r="BB154" s="1"/>
      <c r="BC154" s="1">
        <v>800814.26041910856</v>
      </c>
      <c r="BD154" s="1"/>
      <c r="BE154" s="1"/>
      <c r="BF154" s="1"/>
      <c r="BG154" s="1"/>
      <c r="BH154" s="1"/>
      <c r="BI154" s="4">
        <v>7599301.1677185586</v>
      </c>
      <c r="BJ154" s="2">
        <v>748703.9318473927</v>
      </c>
      <c r="BK154" s="2"/>
      <c r="BL154" s="2"/>
      <c r="BM154" s="2"/>
      <c r="BN154" s="2"/>
      <c r="BO154" s="2"/>
      <c r="BP154" s="2"/>
      <c r="BQ154" s="2">
        <v>610430.21598915616</v>
      </c>
      <c r="BR154" s="2"/>
      <c r="BS154" s="2"/>
      <c r="BT154" s="2"/>
      <c r="BU154" s="2"/>
      <c r="BV154" s="2"/>
      <c r="BW154" s="2"/>
      <c r="BX154" s="2"/>
      <c r="BY154" s="2"/>
      <c r="BZ154" s="1">
        <v>1486460.1812451798</v>
      </c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1">
        <v>445003.93072396278</v>
      </c>
      <c r="CU154" s="2"/>
      <c r="CV154" s="2"/>
      <c r="CW154" s="2"/>
      <c r="CX154" s="1">
        <v>1418299.7855612785</v>
      </c>
      <c r="CY154" s="2"/>
      <c r="CZ154" s="2"/>
      <c r="DA154" s="2"/>
      <c r="DB154" s="2"/>
      <c r="DC154" s="2"/>
      <c r="DD154" s="2"/>
      <c r="DE154" s="1">
        <v>794028.62430009211</v>
      </c>
      <c r="DF154" s="2"/>
      <c r="DG154" s="2"/>
      <c r="DH154" s="2"/>
      <c r="DI154" s="2"/>
      <c r="DJ154" s="2"/>
      <c r="DK154" s="2"/>
      <c r="DL154" s="1">
        <v>934781.03574266366</v>
      </c>
      <c r="DM154" s="2"/>
      <c r="DN154" s="2"/>
      <c r="DO154" s="2"/>
      <c r="DP154" s="2"/>
      <c r="DQ154" s="2"/>
      <c r="DR154" s="2"/>
      <c r="DS154" s="1">
        <v>555106.97309920192</v>
      </c>
      <c r="DT154" s="2"/>
      <c r="DU154" s="2"/>
      <c r="DV154" s="2"/>
      <c r="DW154" s="2"/>
      <c r="DX154" s="2"/>
      <c r="DY154" s="2"/>
      <c r="DZ154" s="2"/>
      <c r="EA154" s="2"/>
      <c r="EB154" s="1">
        <v>65024.504866368407</v>
      </c>
      <c r="EC154" s="2"/>
      <c r="ED154" s="2"/>
      <c r="EE154" s="1">
        <v>118093.74856798208</v>
      </c>
      <c r="EF154" s="2"/>
      <c r="EG154" s="1">
        <v>423368.23577528109</v>
      </c>
      <c r="EH154" s="2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4"/>
      <c r="HX154" s="2">
        <v>1804380.3954219406</v>
      </c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1">
        <v>2578031.0081053926</v>
      </c>
      <c r="LP154" s="1"/>
      <c r="LQ154" s="1"/>
      <c r="LR154" s="1"/>
      <c r="LS154" s="1"/>
      <c r="LT154" s="1"/>
      <c r="LU154" s="1">
        <v>1897361.6466352397</v>
      </c>
      <c r="LV154" s="1"/>
      <c r="LW154" s="1"/>
      <c r="LX154" s="1"/>
      <c r="LY154" s="1"/>
      <c r="LZ154" s="1"/>
      <c r="MA154" s="1"/>
      <c r="MB154" s="1"/>
      <c r="MC154" s="1"/>
      <c r="MD154" s="1"/>
      <c r="ME154" s="1"/>
    </row>
    <row r="155" spans="1:343">
      <c r="A155" s="1">
        <v>1518</v>
      </c>
      <c r="B155" s="1">
        <v>11712654.088573331</v>
      </c>
      <c r="C155" s="1">
        <v>3241815.3755261251</v>
      </c>
      <c r="D155" s="1"/>
      <c r="E155" s="1"/>
      <c r="F155" s="1"/>
      <c r="G155" s="1"/>
      <c r="H155" s="1"/>
      <c r="I155" s="1"/>
      <c r="J155" s="1"/>
      <c r="K155" s="1">
        <v>1432151.6998710218</v>
      </c>
      <c r="L155" s="1"/>
      <c r="M155" s="1"/>
      <c r="N155" s="1"/>
      <c r="O155" s="1"/>
      <c r="P155" s="1"/>
      <c r="Q155" s="1"/>
      <c r="R155" s="1"/>
      <c r="S155" s="1"/>
      <c r="T155" s="1"/>
      <c r="U155" s="1">
        <v>1494539.6795276953</v>
      </c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>
        <v>3546916.6820240123</v>
      </c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>
        <v>1193693.6227199445</v>
      </c>
      <c r="AU155" s="1"/>
      <c r="AV155" s="1"/>
      <c r="AW155" s="1"/>
      <c r="AX155" s="1"/>
      <c r="AY155" s="1"/>
      <c r="AZ155" s="1"/>
      <c r="BA155" s="1"/>
      <c r="BB155" s="1"/>
      <c r="BC155" s="1">
        <v>803537.0289045336</v>
      </c>
      <c r="BD155" s="1"/>
      <c r="BE155" s="1"/>
      <c r="BF155" s="1"/>
      <c r="BG155" s="1"/>
      <c r="BH155" s="1"/>
      <c r="BI155" s="4">
        <v>7633002.4423278589</v>
      </c>
      <c r="BJ155" s="2">
        <v>751773.61796796706</v>
      </c>
      <c r="BK155" s="2"/>
      <c r="BL155" s="2"/>
      <c r="BM155" s="2"/>
      <c r="BN155" s="2"/>
      <c r="BO155" s="2"/>
      <c r="BP155" s="2"/>
      <c r="BQ155" s="2">
        <v>612261.50663712353</v>
      </c>
      <c r="BR155" s="2"/>
      <c r="BS155" s="2"/>
      <c r="BT155" s="2"/>
      <c r="BU155" s="2"/>
      <c r="BV155" s="2"/>
      <c r="BW155" s="2"/>
      <c r="BX155" s="2"/>
      <c r="BY155" s="2"/>
      <c r="BZ155" s="1">
        <v>1496865.4025138959</v>
      </c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1">
        <v>446516.94408842426</v>
      </c>
      <c r="CU155" s="2"/>
      <c r="CV155" s="2"/>
      <c r="CW155" s="2"/>
      <c r="CX155" s="1">
        <v>1423122.004832187</v>
      </c>
      <c r="CY155" s="2"/>
      <c r="CZ155" s="2"/>
      <c r="DA155" s="2"/>
      <c r="DB155" s="2"/>
      <c r="DC155" s="2"/>
      <c r="DD155" s="2"/>
      <c r="DE155" s="1">
        <v>796728.32162271242</v>
      </c>
      <c r="DF155" s="2"/>
      <c r="DG155" s="2"/>
      <c r="DH155" s="2"/>
      <c r="DI155" s="2"/>
      <c r="DJ155" s="2"/>
      <c r="DK155" s="2"/>
      <c r="DL155" s="1">
        <v>937959.29126418883</v>
      </c>
      <c r="DM155" s="2"/>
      <c r="DN155" s="2"/>
      <c r="DO155" s="2"/>
      <c r="DP155" s="2"/>
      <c r="DQ155" s="2"/>
      <c r="DR155" s="2"/>
      <c r="DS155" s="1">
        <v>558992.72191089625</v>
      </c>
      <c r="DT155" s="2"/>
      <c r="DU155" s="2"/>
      <c r="DV155" s="2"/>
      <c r="DW155" s="2"/>
      <c r="DX155" s="2"/>
      <c r="DY155" s="2"/>
      <c r="DZ155" s="2"/>
      <c r="EA155" s="2"/>
      <c r="EB155" s="1">
        <v>65479.676400432982</v>
      </c>
      <c r="EC155" s="2"/>
      <c r="ED155" s="2"/>
      <c r="EE155" s="1">
        <v>118495.26731311323</v>
      </c>
      <c r="EF155" s="2"/>
      <c r="EG155" s="1">
        <v>424807.68777691707</v>
      </c>
      <c r="EH155" s="2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4"/>
      <c r="HX155" s="2">
        <v>1812500.1072013392</v>
      </c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1">
        <v>2586796.3135329513</v>
      </c>
      <c r="LP155" s="1"/>
      <c r="LQ155" s="1"/>
      <c r="LR155" s="1"/>
      <c r="LS155" s="1"/>
      <c r="LT155" s="1"/>
      <c r="LU155" s="1">
        <v>1903812.6762337997</v>
      </c>
      <c r="LV155" s="1"/>
      <c r="LW155" s="1"/>
      <c r="LX155" s="1"/>
      <c r="LY155" s="1"/>
      <c r="LZ155" s="1"/>
      <c r="MA155" s="1"/>
      <c r="MB155" s="1"/>
      <c r="MC155" s="1"/>
      <c r="MD155" s="1"/>
      <c r="ME155" s="1"/>
    </row>
    <row r="156" spans="1:343">
      <c r="A156" s="1">
        <v>1519</v>
      </c>
      <c r="B156" s="1">
        <v>11755696.47299182</v>
      </c>
      <c r="C156" s="1">
        <v>3252837.5478029139</v>
      </c>
      <c r="D156" s="1"/>
      <c r="E156" s="1"/>
      <c r="F156" s="1"/>
      <c r="G156" s="1"/>
      <c r="H156" s="1"/>
      <c r="I156" s="1"/>
      <c r="J156" s="1"/>
      <c r="K156" s="1">
        <v>1438596.3825204412</v>
      </c>
      <c r="L156" s="1"/>
      <c r="M156" s="1"/>
      <c r="N156" s="1"/>
      <c r="O156" s="1"/>
      <c r="P156" s="1"/>
      <c r="Q156" s="1"/>
      <c r="R156" s="1"/>
      <c r="S156" s="1"/>
      <c r="T156" s="1"/>
      <c r="U156" s="1">
        <v>1501265.1080855699</v>
      </c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>
        <v>3558976.198742894</v>
      </c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>
        <v>1197752.1810371922</v>
      </c>
      <c r="AU156" s="1"/>
      <c r="AV156" s="1"/>
      <c r="AW156" s="1"/>
      <c r="AX156" s="1"/>
      <c r="AY156" s="1"/>
      <c r="AZ156" s="1"/>
      <c r="BA156" s="1"/>
      <c r="BB156" s="1"/>
      <c r="BC156" s="1">
        <v>806269.05480280903</v>
      </c>
      <c r="BD156" s="1"/>
      <c r="BE156" s="1"/>
      <c r="BF156" s="1"/>
      <c r="BG156" s="1"/>
      <c r="BH156" s="1"/>
      <c r="BI156" s="4">
        <v>7666872.8036446674</v>
      </c>
      <c r="BJ156" s="2">
        <v>754855.88980163576</v>
      </c>
      <c r="BK156" s="2"/>
      <c r="BL156" s="2"/>
      <c r="BM156" s="2"/>
      <c r="BN156" s="2"/>
      <c r="BO156" s="2"/>
      <c r="BP156" s="2"/>
      <c r="BQ156" s="2">
        <v>614098.29115703481</v>
      </c>
      <c r="BR156" s="2"/>
      <c r="BS156" s="2"/>
      <c r="BT156" s="2"/>
      <c r="BU156" s="2"/>
      <c r="BV156" s="2"/>
      <c r="BW156" s="2"/>
      <c r="BX156" s="2"/>
      <c r="BY156" s="2"/>
      <c r="BZ156" s="1">
        <v>1507343.4603314931</v>
      </c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1">
        <v>448035.10169832496</v>
      </c>
      <c r="CU156" s="2"/>
      <c r="CV156" s="2"/>
      <c r="CW156" s="2"/>
      <c r="CX156" s="1">
        <v>1427960.6196486165</v>
      </c>
      <c r="CY156" s="2"/>
      <c r="CZ156" s="2"/>
      <c r="DA156" s="2"/>
      <c r="DB156" s="2"/>
      <c r="DC156" s="2"/>
      <c r="DD156" s="2"/>
      <c r="DE156" s="1">
        <v>799437.19791622972</v>
      </c>
      <c r="DF156" s="2"/>
      <c r="DG156" s="2"/>
      <c r="DH156" s="2"/>
      <c r="DI156" s="2"/>
      <c r="DJ156" s="2"/>
      <c r="DK156" s="2"/>
      <c r="DL156" s="1">
        <v>941148.35285448714</v>
      </c>
      <c r="DM156" s="2"/>
      <c r="DN156" s="2"/>
      <c r="DO156" s="2"/>
      <c r="DP156" s="2"/>
      <c r="DQ156" s="2"/>
      <c r="DR156" s="2"/>
      <c r="DS156" s="1">
        <v>562905.67096427246</v>
      </c>
      <c r="DT156" s="2"/>
      <c r="DU156" s="2"/>
      <c r="DV156" s="2"/>
      <c r="DW156" s="2"/>
      <c r="DX156" s="2"/>
      <c r="DY156" s="2"/>
      <c r="DZ156" s="2"/>
      <c r="EA156" s="2"/>
      <c r="EB156" s="1">
        <v>65938.034135236012</v>
      </c>
      <c r="EC156" s="2"/>
      <c r="ED156" s="2"/>
      <c r="EE156" s="1">
        <v>118898.15122197782</v>
      </c>
      <c r="EF156" s="2"/>
      <c r="EG156" s="1">
        <v>426252.0339153586</v>
      </c>
      <c r="EH156" s="2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4"/>
      <c r="HX156" s="2">
        <v>1820656.3576837452</v>
      </c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1">
        <v>2595591.4209989635</v>
      </c>
      <c r="LP156" s="1"/>
      <c r="LQ156" s="1"/>
      <c r="LR156" s="1"/>
      <c r="LS156" s="1"/>
      <c r="LT156" s="1"/>
      <c r="LU156" s="1">
        <v>1910285.6393329948</v>
      </c>
      <c r="LV156" s="1"/>
      <c r="LW156" s="1"/>
      <c r="LX156" s="1"/>
      <c r="LY156" s="1"/>
      <c r="LZ156" s="1"/>
      <c r="MA156" s="1"/>
      <c r="MB156" s="1"/>
      <c r="MC156" s="1"/>
      <c r="MD156" s="1"/>
      <c r="ME156" s="1"/>
    </row>
    <row r="157" spans="1:343">
      <c r="A157" s="1">
        <v>1520</v>
      </c>
      <c r="B157" s="1">
        <v>11798899.688639659</v>
      </c>
      <c r="C157" s="1">
        <v>3263897.1954654441</v>
      </c>
      <c r="D157" s="1"/>
      <c r="E157" s="1"/>
      <c r="F157" s="1"/>
      <c r="G157" s="1"/>
      <c r="H157" s="1"/>
      <c r="I157" s="1"/>
      <c r="J157" s="1"/>
      <c r="K157" s="1">
        <v>1445070.0662417831</v>
      </c>
      <c r="L157" s="1"/>
      <c r="M157" s="1"/>
      <c r="N157" s="1"/>
      <c r="O157" s="1"/>
      <c r="P157" s="1"/>
      <c r="Q157" s="1"/>
      <c r="R157" s="1"/>
      <c r="S157" s="1"/>
      <c r="T157" s="1"/>
      <c r="U157" s="1">
        <v>1508020.8010719549</v>
      </c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>
        <v>3571076.7178186201</v>
      </c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>
        <v>1201824.5384527189</v>
      </c>
      <c r="AU157" s="1"/>
      <c r="AV157" s="1"/>
      <c r="AW157" s="1"/>
      <c r="AX157" s="1"/>
      <c r="AY157" s="1"/>
      <c r="AZ157" s="1"/>
      <c r="BA157" s="1"/>
      <c r="BB157" s="1"/>
      <c r="BC157" s="1">
        <v>809010.36958913866</v>
      </c>
      <c r="BD157" s="1"/>
      <c r="BE157" s="1"/>
      <c r="BF157" s="1"/>
      <c r="BG157" s="1"/>
      <c r="BH157" s="1"/>
      <c r="BI157" s="4">
        <v>7700913.2047790093</v>
      </c>
      <c r="BJ157" s="2">
        <v>757950.79894982243</v>
      </c>
      <c r="BK157" s="2"/>
      <c r="BL157" s="2"/>
      <c r="BM157" s="2"/>
      <c r="BN157" s="2"/>
      <c r="BO157" s="2"/>
      <c r="BP157" s="2"/>
      <c r="BQ157" s="2">
        <v>615940.58603050583</v>
      </c>
      <c r="BR157" s="2"/>
      <c r="BS157" s="2"/>
      <c r="BT157" s="2"/>
      <c r="BU157" s="2"/>
      <c r="BV157" s="2"/>
      <c r="BW157" s="2"/>
      <c r="BX157" s="2"/>
      <c r="BY157" s="2"/>
      <c r="BZ157" s="1">
        <v>1517894.8645538134</v>
      </c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1">
        <v>449558.42104409932</v>
      </c>
      <c r="CU157" s="2"/>
      <c r="CV157" s="2"/>
      <c r="CW157" s="2"/>
      <c r="CX157" s="1">
        <v>1432815.6857554219</v>
      </c>
      <c r="CY157" s="2"/>
      <c r="CZ157" s="2"/>
      <c r="DA157" s="2"/>
      <c r="DB157" s="2"/>
      <c r="DC157" s="2"/>
      <c r="DD157" s="2"/>
      <c r="DE157" s="1">
        <v>802155.28438914497</v>
      </c>
      <c r="DF157" s="2"/>
      <c r="DG157" s="2"/>
      <c r="DH157" s="2"/>
      <c r="DI157" s="2"/>
      <c r="DJ157" s="2"/>
      <c r="DK157" s="2"/>
      <c r="DL157" s="1">
        <v>944348.25725419249</v>
      </c>
      <c r="DM157" s="2"/>
      <c r="DN157" s="2"/>
      <c r="DO157" s="2"/>
      <c r="DP157" s="2"/>
      <c r="DQ157" s="2"/>
      <c r="DR157" s="2"/>
      <c r="DS157" s="1">
        <v>566846.01066102227</v>
      </c>
      <c r="DT157" s="2"/>
      <c r="DU157" s="2"/>
      <c r="DV157" s="2"/>
      <c r="DW157" s="2"/>
      <c r="DX157" s="2"/>
      <c r="DY157" s="2"/>
      <c r="DZ157" s="2"/>
      <c r="EA157" s="2"/>
      <c r="EB157" s="1">
        <v>66399.600374182657</v>
      </c>
      <c r="EC157" s="2"/>
      <c r="ED157" s="2"/>
      <c r="EE157" s="1">
        <v>119302.40493613256</v>
      </c>
      <c r="EF157" s="2"/>
      <c r="EG157" s="1">
        <v>427701.29083067086</v>
      </c>
      <c r="EH157" s="2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4"/>
      <c r="HX157" s="2">
        <v>1828849.3112933219</v>
      </c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1">
        <v>2604416.4318303601</v>
      </c>
      <c r="LP157" s="1"/>
      <c r="LQ157" s="1"/>
      <c r="LR157" s="1"/>
      <c r="LS157" s="1"/>
      <c r="LT157" s="1"/>
      <c r="LU157" s="1">
        <v>1916780.6105067271</v>
      </c>
      <c r="LV157" s="1"/>
      <c r="LW157" s="1"/>
      <c r="LX157" s="1"/>
      <c r="LY157" s="1"/>
      <c r="LZ157" s="1"/>
      <c r="MA157" s="1"/>
      <c r="MB157" s="1"/>
      <c r="MC157" s="1"/>
      <c r="MD157" s="1"/>
      <c r="ME157" s="1"/>
    </row>
    <row r="158" spans="1:343">
      <c r="A158" s="1">
        <v>1521</v>
      </c>
      <c r="B158" s="1">
        <v>11842264.347535081</v>
      </c>
      <c r="C158" s="1">
        <v>3274994.4459300269</v>
      </c>
      <c r="D158" s="1"/>
      <c r="E158" s="1"/>
      <c r="F158" s="1"/>
      <c r="G158" s="1"/>
      <c r="H158" s="1"/>
      <c r="I158" s="1"/>
      <c r="J158" s="1"/>
      <c r="K158" s="1">
        <v>1451572.881539871</v>
      </c>
      <c r="L158" s="1"/>
      <c r="M158" s="1"/>
      <c r="N158" s="1"/>
      <c r="O158" s="1"/>
      <c r="P158" s="1"/>
      <c r="Q158" s="1"/>
      <c r="R158" s="1"/>
      <c r="S158" s="1"/>
      <c r="T158" s="1"/>
      <c r="U158" s="1">
        <v>1514806.8946767787</v>
      </c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>
        <v>3583218.3786592036</v>
      </c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>
        <v>1205910.7418834581</v>
      </c>
      <c r="AU158" s="1"/>
      <c r="AV158" s="1"/>
      <c r="AW158" s="1"/>
      <c r="AX158" s="1"/>
      <c r="AY158" s="1"/>
      <c r="AZ158" s="1"/>
      <c r="BA158" s="1"/>
      <c r="BB158" s="1"/>
      <c r="BC158" s="1">
        <v>811761.00484574179</v>
      </c>
      <c r="BD158" s="1"/>
      <c r="BE158" s="1"/>
      <c r="BF158" s="1"/>
      <c r="BG158" s="1"/>
      <c r="BH158" s="1"/>
      <c r="BI158" s="4">
        <v>7735124.6047122311</v>
      </c>
      <c r="BJ158" s="2">
        <v>761058.39722551673</v>
      </c>
      <c r="BK158" s="2"/>
      <c r="BL158" s="2"/>
      <c r="BM158" s="2"/>
      <c r="BN158" s="2"/>
      <c r="BO158" s="2"/>
      <c r="BP158" s="2"/>
      <c r="BQ158" s="2">
        <v>617788.40778859728</v>
      </c>
      <c r="BR158" s="2"/>
      <c r="BS158" s="2"/>
      <c r="BT158" s="2"/>
      <c r="BU158" s="2"/>
      <c r="BV158" s="2"/>
      <c r="BW158" s="2"/>
      <c r="BX158" s="2"/>
      <c r="BY158" s="2"/>
      <c r="BZ158" s="1">
        <v>1528520.1286056899</v>
      </c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1">
        <v>451086.91967564926</v>
      </c>
      <c r="CU158" s="2"/>
      <c r="CV158" s="2"/>
      <c r="CW158" s="2"/>
      <c r="CX158" s="1">
        <v>1437687.2590869905</v>
      </c>
      <c r="CY158" s="2"/>
      <c r="CZ158" s="2"/>
      <c r="DA158" s="2"/>
      <c r="DB158" s="2"/>
      <c r="DC158" s="2"/>
      <c r="DD158" s="2"/>
      <c r="DE158" s="1">
        <v>804882.6123560681</v>
      </c>
      <c r="DF158" s="2"/>
      <c r="DG158" s="2"/>
      <c r="DH158" s="2"/>
      <c r="DI158" s="2"/>
      <c r="DJ158" s="2"/>
      <c r="DK158" s="2"/>
      <c r="DL158" s="1">
        <v>947559.04132885684</v>
      </c>
      <c r="DM158" s="2"/>
      <c r="DN158" s="2"/>
      <c r="DO158" s="2"/>
      <c r="DP158" s="2"/>
      <c r="DQ158" s="2"/>
      <c r="DR158" s="2"/>
      <c r="DS158" s="1">
        <v>570813.9327356494</v>
      </c>
      <c r="DT158" s="2"/>
      <c r="DU158" s="2"/>
      <c r="DV158" s="2"/>
      <c r="DW158" s="2"/>
      <c r="DX158" s="2"/>
      <c r="DY158" s="2"/>
      <c r="DZ158" s="2"/>
      <c r="EA158" s="2"/>
      <c r="EB158" s="1">
        <v>66864.39757680193</v>
      </c>
      <c r="EC158" s="2"/>
      <c r="ED158" s="2"/>
      <c r="EE158" s="1">
        <v>119708.03311291542</v>
      </c>
      <c r="EF158" s="2"/>
      <c r="EG158" s="1">
        <v>429155.47521949519</v>
      </c>
      <c r="EH158" s="2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4"/>
      <c r="HX158" s="2">
        <v>1837079.1331941418</v>
      </c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1">
        <v>2613271.4476985834</v>
      </c>
      <c r="LP158" s="1"/>
      <c r="LQ158" s="1"/>
      <c r="LR158" s="1"/>
      <c r="LS158" s="1"/>
      <c r="LT158" s="1"/>
      <c r="LU158" s="1">
        <v>1923297.6645824502</v>
      </c>
      <c r="LV158" s="1"/>
      <c r="LW158" s="1"/>
      <c r="LX158" s="1"/>
      <c r="LY158" s="1"/>
      <c r="LZ158" s="1"/>
      <c r="MA158" s="1"/>
      <c r="MB158" s="1"/>
      <c r="MC158" s="1"/>
      <c r="MD158" s="1"/>
      <c r="ME158" s="1"/>
    </row>
    <row r="159" spans="1:343">
      <c r="A159" s="1">
        <v>1522</v>
      </c>
      <c r="B159" s="1">
        <v>11885791.06407054</v>
      </c>
      <c r="C159" s="1">
        <v>3286129.4270461891</v>
      </c>
      <c r="D159" s="1"/>
      <c r="E159" s="1"/>
      <c r="F159" s="1"/>
      <c r="G159" s="1"/>
      <c r="H159" s="1"/>
      <c r="I159" s="1"/>
      <c r="J159" s="1"/>
      <c r="K159" s="1">
        <v>1458104.9595068004</v>
      </c>
      <c r="L159" s="1"/>
      <c r="M159" s="1"/>
      <c r="N159" s="1"/>
      <c r="O159" s="1"/>
      <c r="P159" s="1"/>
      <c r="Q159" s="1"/>
      <c r="R159" s="1"/>
      <c r="S159" s="1"/>
      <c r="T159" s="1"/>
      <c r="U159" s="1">
        <v>1521623.5257028241</v>
      </c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>
        <v>3595401.3211466451</v>
      </c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>
        <v>1210010.838405862</v>
      </c>
      <c r="AU159" s="1"/>
      <c r="AV159" s="1"/>
      <c r="AW159" s="1"/>
      <c r="AX159" s="1"/>
      <c r="AY159" s="1"/>
      <c r="AZ159" s="1"/>
      <c r="BA159" s="1"/>
      <c r="BB159" s="1"/>
      <c r="BC159" s="1">
        <v>814520.99226221733</v>
      </c>
      <c r="BD159" s="1"/>
      <c r="BE159" s="1"/>
      <c r="BF159" s="1"/>
      <c r="BG159" s="1"/>
      <c r="BH159" s="1"/>
      <c r="BI159" s="4">
        <v>7769507.9683353007</v>
      </c>
      <c r="BJ159" s="2">
        <v>764178.73665414134</v>
      </c>
      <c r="BK159" s="2"/>
      <c r="BL159" s="2"/>
      <c r="BM159" s="2"/>
      <c r="BN159" s="2"/>
      <c r="BO159" s="2"/>
      <c r="BP159" s="2"/>
      <c r="BQ159" s="2">
        <v>619641.773011963</v>
      </c>
      <c r="BR159" s="2"/>
      <c r="BS159" s="2"/>
      <c r="BT159" s="2"/>
      <c r="BU159" s="2"/>
      <c r="BV159" s="2"/>
      <c r="BW159" s="2"/>
      <c r="BX159" s="2"/>
      <c r="BY159" s="2"/>
      <c r="BZ159" s="1">
        <v>1539219.7695059294</v>
      </c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1">
        <v>452620.61520254653</v>
      </c>
      <c r="CU159" s="2"/>
      <c r="CV159" s="2"/>
      <c r="CW159" s="2"/>
      <c r="CX159" s="1">
        <v>1442575.3957678864</v>
      </c>
      <c r="CY159" s="2"/>
      <c r="CZ159" s="2"/>
      <c r="DA159" s="2"/>
      <c r="DB159" s="2"/>
      <c r="DC159" s="2"/>
      <c r="DD159" s="2"/>
      <c r="DE159" s="1">
        <v>807619.21323807875</v>
      </c>
      <c r="DF159" s="2"/>
      <c r="DG159" s="2"/>
      <c r="DH159" s="2"/>
      <c r="DI159" s="2"/>
      <c r="DJ159" s="2"/>
      <c r="DK159" s="2"/>
      <c r="DL159" s="1">
        <v>950780.742069375</v>
      </c>
      <c r="DM159" s="2"/>
      <c r="DN159" s="2"/>
      <c r="DO159" s="2"/>
      <c r="DP159" s="2"/>
      <c r="DQ159" s="2"/>
      <c r="DR159" s="2"/>
      <c r="DS159" s="1">
        <v>574809.63026479888</v>
      </c>
      <c r="DT159" s="2"/>
      <c r="DU159" s="2"/>
      <c r="DV159" s="2"/>
      <c r="DW159" s="2"/>
      <c r="DX159" s="2"/>
      <c r="DY159" s="2"/>
      <c r="DZ159" s="2"/>
      <c r="EA159" s="2"/>
      <c r="EB159" s="1">
        <v>67332.448359839531</v>
      </c>
      <c r="EC159" s="2"/>
      <c r="ED159" s="2"/>
      <c r="EE159" s="1">
        <v>120115.04042549935</v>
      </c>
      <c r="EF159" s="2"/>
      <c r="EG159" s="1">
        <v>430614.60383524152</v>
      </c>
      <c r="EH159" s="2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4"/>
      <c r="HX159" s="2">
        <v>1845345.9892935152</v>
      </c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1">
        <v>2622156.5706207589</v>
      </c>
      <c r="LP159" s="1"/>
      <c r="LQ159" s="1"/>
      <c r="LR159" s="1"/>
      <c r="LS159" s="1"/>
      <c r="LT159" s="1"/>
      <c r="LU159" s="1">
        <v>1929836.8766420307</v>
      </c>
      <c r="LV159" s="1"/>
      <c r="LW159" s="1"/>
      <c r="LX159" s="1"/>
      <c r="LY159" s="1"/>
      <c r="LZ159" s="1"/>
      <c r="MA159" s="1"/>
      <c r="MB159" s="1"/>
      <c r="MC159" s="1"/>
      <c r="MD159" s="1"/>
      <c r="ME159" s="1"/>
    </row>
    <row r="160" spans="1:343">
      <c r="A160" s="1">
        <v>1523</v>
      </c>
      <c r="B160" s="1">
        <v>11929480.455022108</v>
      </c>
      <c r="C160" s="1">
        <v>3297302.2670981465</v>
      </c>
      <c r="D160" s="1"/>
      <c r="E160" s="1"/>
      <c r="F160" s="1"/>
      <c r="G160" s="1"/>
      <c r="H160" s="1"/>
      <c r="I160" s="1"/>
      <c r="J160" s="1"/>
      <c r="K160" s="1">
        <v>1464666.431824581</v>
      </c>
      <c r="L160" s="1"/>
      <c r="M160" s="1"/>
      <c r="N160" s="1"/>
      <c r="O160" s="1"/>
      <c r="P160" s="1"/>
      <c r="Q160" s="1"/>
      <c r="R160" s="1"/>
      <c r="S160" s="1"/>
      <c r="T160" s="1"/>
      <c r="U160" s="1">
        <v>1528470.8315684868</v>
      </c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>
        <v>3607625.6856385441</v>
      </c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>
        <v>1214124.875256442</v>
      </c>
      <c r="AU160" s="1"/>
      <c r="AV160" s="1"/>
      <c r="AW160" s="1"/>
      <c r="AX160" s="1"/>
      <c r="AY160" s="1"/>
      <c r="AZ160" s="1"/>
      <c r="BA160" s="1"/>
      <c r="BB160" s="1"/>
      <c r="BC160" s="1">
        <v>817290.36363590893</v>
      </c>
      <c r="BD160" s="1"/>
      <c r="BE160" s="1"/>
      <c r="BF160" s="1"/>
      <c r="BG160" s="1"/>
      <c r="BH160" s="1"/>
      <c r="BI160" s="4">
        <v>7804064.2664873637</v>
      </c>
      <c r="BJ160" s="2">
        <v>767311.86947442335</v>
      </c>
      <c r="BK160" s="2"/>
      <c r="BL160" s="2"/>
      <c r="BM160" s="2"/>
      <c r="BN160" s="2"/>
      <c r="BO160" s="2"/>
      <c r="BP160" s="2"/>
      <c r="BQ160" s="2">
        <v>621500.69833099877</v>
      </c>
      <c r="BR160" s="2"/>
      <c r="BS160" s="2"/>
      <c r="BT160" s="2"/>
      <c r="BU160" s="2"/>
      <c r="BV160" s="2"/>
      <c r="BW160" s="2"/>
      <c r="BX160" s="2"/>
      <c r="BY160" s="2"/>
      <c r="BZ160" s="1">
        <v>1549994.3078924709</v>
      </c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1">
        <v>454159.52529423521</v>
      </c>
      <c r="CU160" s="2"/>
      <c r="CV160" s="2"/>
      <c r="CW160" s="2"/>
      <c r="CX160" s="1">
        <v>1447480.1521134973</v>
      </c>
      <c r="CY160" s="2"/>
      <c r="CZ160" s="2"/>
      <c r="DA160" s="2"/>
      <c r="DB160" s="2"/>
      <c r="DC160" s="2"/>
      <c r="DD160" s="2"/>
      <c r="DE160" s="1">
        <v>810365.11856308824</v>
      </c>
      <c r="DF160" s="2"/>
      <c r="DG160" s="2"/>
      <c r="DH160" s="2"/>
      <c r="DI160" s="2"/>
      <c r="DJ160" s="2"/>
      <c r="DK160" s="2"/>
      <c r="DL160" s="1">
        <v>954013.39659241098</v>
      </c>
      <c r="DM160" s="2"/>
      <c r="DN160" s="2"/>
      <c r="DO160" s="2"/>
      <c r="DP160" s="2"/>
      <c r="DQ160" s="2"/>
      <c r="DR160" s="2"/>
      <c r="DS160" s="1">
        <v>578833.29767665244</v>
      </c>
      <c r="DT160" s="2"/>
      <c r="DU160" s="2"/>
      <c r="DV160" s="2"/>
      <c r="DW160" s="2"/>
      <c r="DX160" s="2"/>
      <c r="DY160" s="2"/>
      <c r="DZ160" s="2"/>
      <c r="EA160" s="2"/>
      <c r="EB160" s="1">
        <v>67803.775498358402</v>
      </c>
      <c r="EC160" s="2"/>
      <c r="ED160" s="2"/>
      <c r="EE160" s="1">
        <v>120523.43156294606</v>
      </c>
      <c r="EF160" s="2"/>
      <c r="EG160" s="1">
        <v>432078.69348828139</v>
      </c>
      <c r="EH160" s="2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4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1">
        <v>2631071.9029608695</v>
      </c>
      <c r="LP160" s="1"/>
      <c r="LQ160" s="1"/>
      <c r="LR160" s="1"/>
      <c r="LS160" s="1"/>
      <c r="LT160" s="1"/>
      <c r="LU160" s="1">
        <v>1936398.3220226136</v>
      </c>
      <c r="LV160" s="1"/>
      <c r="LW160" s="1"/>
      <c r="LX160" s="1"/>
      <c r="LY160" s="1"/>
      <c r="LZ160" s="1"/>
      <c r="MA160" s="1"/>
      <c r="MB160" s="1"/>
      <c r="MC160" s="1"/>
      <c r="MD160" s="1"/>
      <c r="ME160" s="1"/>
    </row>
    <row r="161" spans="1:343">
      <c r="A161" s="1">
        <v>1524</v>
      </c>
      <c r="B161" s="1">
        <v>11973333.139558919</v>
      </c>
      <c r="C161" s="1">
        <v>3308513.0948062805</v>
      </c>
      <c r="D161" s="1"/>
      <c r="E161" s="1"/>
      <c r="F161" s="1"/>
      <c r="G161" s="1"/>
      <c r="H161" s="1"/>
      <c r="I161" s="1"/>
      <c r="J161" s="1"/>
      <c r="K161" s="1">
        <v>1471257.4307677916</v>
      </c>
      <c r="L161" s="1"/>
      <c r="M161" s="1"/>
      <c r="N161" s="1"/>
      <c r="O161" s="1"/>
      <c r="P161" s="1"/>
      <c r="Q161" s="1"/>
      <c r="R161" s="1"/>
      <c r="S161" s="1"/>
      <c r="T161" s="1"/>
      <c r="U161" s="1">
        <v>1535348.9503105448</v>
      </c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>
        <v>3619891.6129697156</v>
      </c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>
        <v>1218252.8998323139</v>
      </c>
      <c r="AU161" s="1"/>
      <c r="AV161" s="1"/>
      <c r="AW161" s="1"/>
      <c r="AX161" s="1"/>
      <c r="AY161" s="1"/>
      <c r="AZ161" s="1"/>
      <c r="BA161" s="1"/>
      <c r="BB161" s="1"/>
      <c r="BC161" s="1">
        <v>820069.15087227104</v>
      </c>
      <c r="BD161" s="1"/>
      <c r="BE161" s="1"/>
      <c r="BF161" s="1"/>
      <c r="BG161" s="1"/>
      <c r="BH161" s="1"/>
      <c r="BI161" s="4">
        <v>7838794.4759945618</v>
      </c>
      <c r="BJ161" s="2">
        <v>770457.84813926846</v>
      </c>
      <c r="BK161" s="2"/>
      <c r="BL161" s="2"/>
      <c r="BM161" s="2"/>
      <c r="BN161" s="2"/>
      <c r="BO161" s="2"/>
      <c r="BP161" s="2"/>
      <c r="BQ161" s="2">
        <v>623365.20042599167</v>
      </c>
      <c r="BR161" s="2"/>
      <c r="BS161" s="2"/>
      <c r="BT161" s="2"/>
      <c r="BU161" s="2"/>
      <c r="BV161" s="2"/>
      <c r="BW161" s="2"/>
      <c r="BX161" s="2"/>
      <c r="BY161" s="2"/>
      <c r="BZ161" s="1">
        <v>1560844.2680477181</v>
      </c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1">
        <v>455703.66768023564</v>
      </c>
      <c r="CU161" s="2"/>
      <c r="CV161" s="2"/>
      <c r="CW161" s="2"/>
      <c r="CX161" s="1">
        <v>1452401.5846306833</v>
      </c>
      <c r="CY161" s="2"/>
      <c r="CZ161" s="2"/>
      <c r="DA161" s="2"/>
      <c r="DB161" s="2"/>
      <c r="DC161" s="2"/>
      <c r="DD161" s="2"/>
      <c r="DE161" s="1">
        <v>813120.35996620276</v>
      </c>
      <c r="DF161" s="2"/>
      <c r="DG161" s="2"/>
      <c r="DH161" s="2"/>
      <c r="DI161" s="2"/>
      <c r="DJ161" s="2"/>
      <c r="DK161" s="2"/>
      <c r="DL161" s="1">
        <v>957257.04214082519</v>
      </c>
      <c r="DM161" s="2"/>
      <c r="DN161" s="2"/>
      <c r="DO161" s="2"/>
      <c r="DP161" s="2"/>
      <c r="DQ161" s="2"/>
      <c r="DR161" s="2"/>
      <c r="DS161" s="1">
        <v>582885.13076038891</v>
      </c>
      <c r="DT161" s="2"/>
      <c r="DU161" s="2"/>
      <c r="DV161" s="2"/>
      <c r="DW161" s="2"/>
      <c r="DX161" s="2"/>
      <c r="DY161" s="2"/>
      <c r="DZ161" s="2"/>
      <c r="EA161" s="2"/>
      <c r="EB161" s="1">
        <v>68278.401926846898</v>
      </c>
      <c r="EC161" s="2"/>
      <c r="ED161" s="2"/>
      <c r="EE161" s="1">
        <v>120933.21123026009</v>
      </c>
      <c r="EF161" s="2"/>
      <c r="EG161" s="1">
        <v>433547.76104614156</v>
      </c>
      <c r="EH161" s="2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4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1">
        <v>2640017.5474309367</v>
      </c>
      <c r="LP161" s="1"/>
      <c r="LQ161" s="1"/>
      <c r="LR161" s="1"/>
      <c r="LS161" s="1"/>
      <c r="LT161" s="1"/>
      <c r="LU161" s="1">
        <v>1942982.0763174905</v>
      </c>
      <c r="LV161" s="1"/>
      <c r="LW161" s="1"/>
      <c r="LX161" s="1"/>
      <c r="LY161" s="1"/>
      <c r="LZ161" s="1"/>
      <c r="MA161" s="1"/>
      <c r="MB161" s="1"/>
      <c r="MC161" s="1"/>
      <c r="MD161" s="1"/>
      <c r="ME161" s="1"/>
    </row>
    <row r="162" spans="1:343">
      <c r="A162" s="1">
        <v>1525</v>
      </c>
      <c r="B162" s="1">
        <v>12017349.739252605</v>
      </c>
      <c r="C162" s="1">
        <v>3319762.0393286222</v>
      </c>
      <c r="D162" s="1"/>
      <c r="E162" s="1"/>
      <c r="F162" s="1"/>
      <c r="G162" s="1"/>
      <c r="H162" s="1"/>
      <c r="I162" s="1"/>
      <c r="J162" s="1"/>
      <c r="K162" s="1">
        <v>1477878.0892062467</v>
      </c>
      <c r="L162" s="1"/>
      <c r="M162" s="1"/>
      <c r="N162" s="1"/>
      <c r="O162" s="1"/>
      <c r="P162" s="1"/>
      <c r="Q162" s="1"/>
      <c r="R162" s="1"/>
      <c r="S162" s="1"/>
      <c r="T162" s="1"/>
      <c r="U162" s="1">
        <v>1542258.0205869421</v>
      </c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>
        <v>3632199.2444538129</v>
      </c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>
        <v>1222394.9596917438</v>
      </c>
      <c r="AU162" s="1"/>
      <c r="AV162" s="1"/>
      <c r="AW162" s="1"/>
      <c r="AX162" s="1"/>
      <c r="AY162" s="1"/>
      <c r="AZ162" s="1"/>
      <c r="BA162" s="1"/>
      <c r="BB162" s="1"/>
      <c r="BC162" s="1">
        <v>822857.38598523685</v>
      </c>
      <c r="BD162" s="1"/>
      <c r="BE162" s="1"/>
      <c r="BF162" s="1"/>
      <c r="BG162" s="1"/>
      <c r="BH162" s="1"/>
      <c r="BI162" s="4">
        <v>7873699.5797091173</v>
      </c>
      <c r="BJ162" s="2">
        <v>773616.72531663941</v>
      </c>
      <c r="BK162" s="2"/>
      <c r="BL162" s="2"/>
      <c r="BM162" s="2"/>
      <c r="BN162" s="2"/>
      <c r="BO162" s="2"/>
      <c r="BP162" s="2"/>
      <c r="BQ162" s="2">
        <v>625235.29602726956</v>
      </c>
      <c r="BR162" s="2"/>
      <c r="BS162" s="2"/>
      <c r="BT162" s="2"/>
      <c r="BU162" s="2"/>
      <c r="BV162" s="2"/>
      <c r="BW162" s="2"/>
      <c r="BX162" s="2"/>
      <c r="BY162" s="2"/>
      <c r="BZ162" s="1">
        <v>1571770.1779240519</v>
      </c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1">
        <v>457253.06015034846</v>
      </c>
      <c r="CU162" s="2"/>
      <c r="CV162" s="2"/>
      <c r="CW162" s="2"/>
      <c r="CX162" s="1">
        <v>1457339.7500184276</v>
      </c>
      <c r="CY162" s="2"/>
      <c r="CZ162" s="2"/>
      <c r="DA162" s="2"/>
      <c r="DB162" s="2"/>
      <c r="DC162" s="2"/>
      <c r="DD162" s="2"/>
      <c r="DE162" s="1">
        <v>815884.96919008787</v>
      </c>
      <c r="DF162" s="2"/>
      <c r="DG162" s="2"/>
      <c r="DH162" s="2"/>
      <c r="DI162" s="2"/>
      <c r="DJ162" s="2"/>
      <c r="DK162" s="2"/>
      <c r="DL162" s="1">
        <v>960511.71608410403</v>
      </c>
      <c r="DM162" s="2"/>
      <c r="DN162" s="2"/>
      <c r="DO162" s="2"/>
      <c r="DP162" s="2"/>
      <c r="DQ162" s="2"/>
      <c r="DR162" s="2"/>
      <c r="DS162" s="1">
        <v>586965.32667571155</v>
      </c>
      <c r="DT162" s="2"/>
      <c r="DU162" s="2"/>
      <c r="DV162" s="2"/>
      <c r="DW162" s="2"/>
      <c r="DX162" s="2"/>
      <c r="DY162" s="2"/>
      <c r="DZ162" s="2"/>
      <c r="EA162" s="2"/>
      <c r="EB162" s="1">
        <v>68756.350740334819</v>
      </c>
      <c r="EC162" s="2"/>
      <c r="ED162" s="2"/>
      <c r="EE162" s="1">
        <v>121344.38414844299</v>
      </c>
      <c r="EF162" s="2"/>
      <c r="EG162" s="1">
        <v>435021.82343369845</v>
      </c>
      <c r="EH162" s="2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4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1">
        <v>2648993.6070922022</v>
      </c>
      <c r="LP162" s="1"/>
      <c r="LQ162" s="1"/>
      <c r="LR162" s="1"/>
      <c r="LS162" s="1"/>
      <c r="LT162" s="1"/>
      <c r="LU162" s="1">
        <v>1949588.2153769701</v>
      </c>
      <c r="LV162" s="1"/>
      <c r="LW162" s="1"/>
      <c r="LX162" s="1"/>
      <c r="LY162" s="1"/>
      <c r="LZ162" s="1"/>
      <c r="MA162" s="1"/>
      <c r="MB162" s="1"/>
      <c r="MC162" s="1"/>
      <c r="MD162" s="1"/>
      <c r="ME162" s="1"/>
    </row>
    <row r="163" spans="1:343">
      <c r="A163" s="1">
        <v>1526</v>
      </c>
      <c r="B163" s="1">
        <v>12061530.878086837</v>
      </c>
      <c r="C163" s="1">
        <v>3331049.2302623396</v>
      </c>
      <c r="D163" s="1"/>
      <c r="E163" s="1"/>
      <c r="F163" s="1"/>
      <c r="G163" s="1"/>
      <c r="H163" s="1"/>
      <c r="I163" s="1"/>
      <c r="J163" s="1"/>
      <c r="K163" s="1">
        <v>1484528.5406076747</v>
      </c>
      <c r="L163" s="1"/>
      <c r="M163" s="1"/>
      <c r="N163" s="1"/>
      <c r="O163" s="1"/>
      <c r="P163" s="1"/>
      <c r="Q163" s="1"/>
      <c r="R163" s="1"/>
      <c r="S163" s="1"/>
      <c r="T163" s="1"/>
      <c r="U163" s="1">
        <v>1549198.1816795832</v>
      </c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>
        <v>3644548.7218849561</v>
      </c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>
        <v>1226551.1025546959</v>
      </c>
      <c r="AU163" s="1"/>
      <c r="AV163" s="1"/>
      <c r="AW163" s="1"/>
      <c r="AX163" s="1"/>
      <c r="AY163" s="1"/>
      <c r="AZ163" s="1"/>
      <c r="BA163" s="1"/>
      <c r="BB163" s="1"/>
      <c r="BC163" s="1">
        <v>825655.10109758668</v>
      </c>
      <c r="BD163" s="1"/>
      <c r="BE163" s="1"/>
      <c r="BF163" s="1"/>
      <c r="BG163" s="1"/>
      <c r="BH163" s="1"/>
      <c r="BI163" s="4">
        <v>7908780.5665486613</v>
      </c>
      <c r="BJ163" s="2">
        <v>776788.55389043759</v>
      </c>
      <c r="BK163" s="2"/>
      <c r="BL163" s="2"/>
      <c r="BM163" s="2"/>
      <c r="BN163" s="2"/>
      <c r="BO163" s="2"/>
      <c r="BP163" s="2"/>
      <c r="BQ163" s="2">
        <v>627111.00191535125</v>
      </c>
      <c r="BR163" s="2"/>
      <c r="BS163" s="2"/>
      <c r="BT163" s="2"/>
      <c r="BU163" s="2"/>
      <c r="BV163" s="2"/>
      <c r="BW163" s="2"/>
      <c r="BX163" s="2"/>
      <c r="BY163" s="2"/>
      <c r="BZ163" s="1">
        <v>1582772.5691695202</v>
      </c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1">
        <v>458807.72055485967</v>
      </c>
      <c r="CU163" s="2"/>
      <c r="CV163" s="2"/>
      <c r="CW163" s="2"/>
      <c r="CX163" s="1">
        <v>1462294.7051684903</v>
      </c>
      <c r="CY163" s="2"/>
      <c r="CZ163" s="2"/>
      <c r="DA163" s="2"/>
      <c r="DB163" s="2"/>
      <c r="DC163" s="2"/>
      <c r="DD163" s="2"/>
      <c r="DE163" s="1">
        <v>818658.97808533418</v>
      </c>
      <c r="DF163" s="2"/>
      <c r="DG163" s="2"/>
      <c r="DH163" s="2"/>
      <c r="DI163" s="2"/>
      <c r="DJ163" s="2"/>
      <c r="DK163" s="2"/>
      <c r="DL163" s="1">
        <v>963777.45591879007</v>
      </c>
      <c r="DM163" s="2"/>
      <c r="DN163" s="2"/>
      <c r="DO163" s="2"/>
      <c r="DP163" s="2"/>
      <c r="DQ163" s="2"/>
      <c r="DR163" s="2"/>
      <c r="DS163" s="1">
        <v>591074.08396244142</v>
      </c>
      <c r="DT163" s="2"/>
      <c r="DU163" s="2"/>
      <c r="DV163" s="2"/>
      <c r="DW163" s="2"/>
      <c r="DX163" s="2"/>
      <c r="DY163" s="2"/>
      <c r="DZ163" s="2"/>
      <c r="EA163" s="2"/>
      <c r="EB163" s="1">
        <v>69237.645195517151</v>
      </c>
      <c r="EC163" s="2"/>
      <c r="ED163" s="2"/>
      <c r="EE163" s="1">
        <v>121756.9550545477</v>
      </c>
      <c r="EF163" s="2"/>
      <c r="EG163" s="1">
        <v>436500.89763337304</v>
      </c>
      <c r="EH163" s="2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4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1">
        <v>2658000.1853563157</v>
      </c>
      <c r="LP163" s="1"/>
      <c r="LQ163" s="1"/>
      <c r="LR163" s="1"/>
      <c r="LS163" s="1"/>
      <c r="LT163" s="1"/>
      <c r="LU163" s="1">
        <v>1956216.8153092519</v>
      </c>
      <c r="LV163" s="1"/>
      <c r="LW163" s="1"/>
      <c r="LX163" s="1"/>
      <c r="LY163" s="1"/>
      <c r="LZ163" s="1"/>
      <c r="MA163" s="1"/>
      <c r="MB163" s="1"/>
      <c r="MC163" s="1"/>
      <c r="MD163" s="1"/>
      <c r="ME163" s="1"/>
    </row>
    <row r="164" spans="1:343">
      <c r="A164" s="1">
        <v>1527</v>
      </c>
      <c r="B164" s="1">
        <v>12105877.182466848</v>
      </c>
      <c r="C164" s="1">
        <v>3342374.7976452317</v>
      </c>
      <c r="D164" s="1"/>
      <c r="E164" s="1"/>
      <c r="F164" s="1"/>
      <c r="G164" s="1"/>
      <c r="H164" s="1"/>
      <c r="I164" s="1"/>
      <c r="J164" s="1"/>
      <c r="K164" s="1">
        <v>1491208.9190404091</v>
      </c>
      <c r="L164" s="1"/>
      <c r="M164" s="1"/>
      <c r="N164" s="1"/>
      <c r="O164" s="1"/>
      <c r="P164" s="1"/>
      <c r="Q164" s="1"/>
      <c r="R164" s="1"/>
      <c r="S164" s="1"/>
      <c r="T164" s="1"/>
      <c r="U164" s="1">
        <v>1556169.5734971412</v>
      </c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>
        <v>3656940.1875393651</v>
      </c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>
        <v>1230721.376303382</v>
      </c>
      <c r="AU164" s="1"/>
      <c r="AV164" s="1"/>
      <c r="AW164" s="1"/>
      <c r="AX164" s="1"/>
      <c r="AY164" s="1"/>
      <c r="AZ164" s="1"/>
      <c r="BA164" s="1"/>
      <c r="BB164" s="1"/>
      <c r="BC164" s="1">
        <v>828462.32844131859</v>
      </c>
      <c r="BD164" s="1"/>
      <c r="BE164" s="1"/>
      <c r="BF164" s="1"/>
      <c r="BG164" s="1"/>
      <c r="BH164" s="1"/>
      <c r="BI164" s="4">
        <v>7944038.4315358642</v>
      </c>
      <c r="BJ164" s="2">
        <v>779973.3869613884</v>
      </c>
      <c r="BK164" s="2"/>
      <c r="BL164" s="2"/>
      <c r="BM164" s="2"/>
      <c r="BN164" s="2"/>
      <c r="BO164" s="2"/>
      <c r="BP164" s="2"/>
      <c r="BQ164" s="2">
        <v>628992.33492109727</v>
      </c>
      <c r="BR164" s="2"/>
      <c r="BS164" s="2"/>
      <c r="BT164" s="2"/>
      <c r="BU164" s="2"/>
      <c r="BV164" s="2"/>
      <c r="BW164" s="2"/>
      <c r="BX164" s="2"/>
      <c r="BY164" s="2"/>
      <c r="BZ164" s="1">
        <v>1593851.9771537066</v>
      </c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1">
        <v>460367.6668047462</v>
      </c>
      <c r="CU164" s="2"/>
      <c r="CV164" s="2"/>
      <c r="CW164" s="2"/>
      <c r="CX164" s="1">
        <v>1467266.5071660632</v>
      </c>
      <c r="CY164" s="2"/>
      <c r="CZ164" s="2"/>
      <c r="DA164" s="2"/>
      <c r="DB164" s="2"/>
      <c r="DC164" s="2"/>
      <c r="DD164" s="2"/>
      <c r="DE164" s="1">
        <v>821442.41861082439</v>
      </c>
      <c r="DF164" s="2"/>
      <c r="DG164" s="2"/>
      <c r="DH164" s="2"/>
      <c r="DI164" s="2"/>
      <c r="DJ164" s="2"/>
      <c r="DK164" s="2"/>
      <c r="DL164" s="1">
        <v>967054.29926891404</v>
      </c>
      <c r="DM164" s="2"/>
      <c r="DN164" s="2"/>
      <c r="DO164" s="2"/>
      <c r="DP164" s="2"/>
      <c r="DQ164" s="2"/>
      <c r="DR164" s="2"/>
      <c r="DS164" s="1">
        <v>595211.60255017842</v>
      </c>
      <c r="DT164" s="2"/>
      <c r="DU164" s="2"/>
      <c r="DV164" s="2"/>
      <c r="DW164" s="2"/>
      <c r="DX164" s="2"/>
      <c r="DY164" s="2"/>
      <c r="DZ164" s="2"/>
      <c r="EA164" s="2"/>
      <c r="EB164" s="1">
        <v>69722.308711885766</v>
      </c>
      <c r="EC164" s="2"/>
      <c r="ED164" s="2"/>
      <c r="EE164" s="1">
        <v>122170.92870173317</v>
      </c>
      <c r="EF164" s="2"/>
      <c r="EG164" s="1">
        <v>437985.00068532652</v>
      </c>
      <c r="EH164" s="2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4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1">
        <v>2667037.3859865274</v>
      </c>
      <c r="LP164" s="1"/>
      <c r="LQ164" s="1"/>
      <c r="LR164" s="1"/>
      <c r="LS164" s="1"/>
      <c r="LT164" s="1"/>
      <c r="LU164" s="1">
        <v>1962867.9524813036</v>
      </c>
      <c r="LV164" s="1"/>
      <c r="LW164" s="1"/>
      <c r="LX164" s="1"/>
      <c r="LY164" s="1"/>
      <c r="LZ164" s="1"/>
      <c r="MA164" s="1"/>
      <c r="MB164" s="1"/>
      <c r="MC164" s="1"/>
      <c r="MD164" s="1"/>
      <c r="ME164" s="1"/>
    </row>
    <row r="165" spans="1:343">
      <c r="A165" s="1">
        <v>1528</v>
      </c>
      <c r="B165" s="1">
        <v>12150389.281229027</v>
      </c>
      <c r="C165" s="1">
        <v>3353738.8719572257</v>
      </c>
      <c r="D165" s="1"/>
      <c r="E165" s="1"/>
      <c r="F165" s="1"/>
      <c r="G165" s="1"/>
      <c r="H165" s="1"/>
      <c r="I165" s="1"/>
      <c r="J165" s="1"/>
      <c r="K165" s="1">
        <v>1497919.3591760909</v>
      </c>
      <c r="L165" s="1"/>
      <c r="M165" s="1"/>
      <c r="N165" s="1"/>
      <c r="O165" s="1"/>
      <c r="P165" s="1"/>
      <c r="Q165" s="1"/>
      <c r="R165" s="1"/>
      <c r="S165" s="1"/>
      <c r="T165" s="1"/>
      <c r="U165" s="1">
        <v>1563172.3365778783</v>
      </c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>
        <v>3669373.7841769992</v>
      </c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>
        <v>1234905.8289828135</v>
      </c>
      <c r="AU165" s="1"/>
      <c r="AV165" s="1"/>
      <c r="AW165" s="1"/>
      <c r="AX165" s="1"/>
      <c r="AY165" s="1"/>
      <c r="AZ165" s="1"/>
      <c r="BA165" s="1"/>
      <c r="BB165" s="1"/>
      <c r="BC165" s="1">
        <v>831279.10035801912</v>
      </c>
      <c r="BD165" s="1"/>
      <c r="BE165" s="1"/>
      <c r="BF165" s="1"/>
      <c r="BG165" s="1"/>
      <c r="BH165" s="1"/>
      <c r="BI165" s="4">
        <v>7979474.1758382861</v>
      </c>
      <c r="BJ165" s="2">
        <v>783171.27784793009</v>
      </c>
      <c r="BK165" s="2"/>
      <c r="BL165" s="2"/>
      <c r="BM165" s="2"/>
      <c r="BN165" s="2"/>
      <c r="BO165" s="2"/>
      <c r="BP165" s="2"/>
      <c r="BQ165" s="2">
        <v>630879.31192586047</v>
      </c>
      <c r="BR165" s="2"/>
      <c r="BS165" s="2"/>
      <c r="BT165" s="2"/>
      <c r="BU165" s="2"/>
      <c r="BV165" s="2"/>
      <c r="BW165" s="2"/>
      <c r="BX165" s="2"/>
      <c r="BY165" s="2"/>
      <c r="BZ165" s="1">
        <v>1605008.9409937824</v>
      </c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1">
        <v>461932.91687188239</v>
      </c>
      <c r="CU165" s="2"/>
      <c r="CV165" s="2"/>
      <c r="CW165" s="2"/>
      <c r="CX165" s="1">
        <v>1472255.2132904278</v>
      </c>
      <c r="CY165" s="2"/>
      <c r="CZ165" s="2"/>
      <c r="DA165" s="2"/>
      <c r="DB165" s="2"/>
      <c r="DC165" s="2"/>
      <c r="DD165" s="2"/>
      <c r="DE165" s="1">
        <v>824235.32283410127</v>
      </c>
      <c r="DF165" s="2"/>
      <c r="DG165" s="2"/>
      <c r="DH165" s="2"/>
      <c r="DI165" s="2"/>
      <c r="DJ165" s="2"/>
      <c r="DK165" s="2"/>
      <c r="DL165" s="1">
        <v>970342.28388642846</v>
      </c>
      <c r="DM165" s="2"/>
      <c r="DN165" s="2"/>
      <c r="DO165" s="2"/>
      <c r="DP165" s="2"/>
      <c r="DQ165" s="2"/>
      <c r="DR165" s="2"/>
      <c r="DS165" s="1">
        <v>599378.08376802958</v>
      </c>
      <c r="DT165" s="2"/>
      <c r="DU165" s="2"/>
      <c r="DV165" s="2"/>
      <c r="DW165" s="2"/>
      <c r="DX165" s="2"/>
      <c r="DY165" s="2"/>
      <c r="DZ165" s="2"/>
      <c r="EA165" s="2"/>
      <c r="EB165" s="1">
        <v>70210.364872868959</v>
      </c>
      <c r="EC165" s="2"/>
      <c r="ED165" s="2"/>
      <c r="EE165" s="1">
        <v>122586.30985931907</v>
      </c>
      <c r="EF165" s="2"/>
      <c r="EG165" s="1">
        <v>439474.14968765667</v>
      </c>
      <c r="EH165" s="2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4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1">
        <v>2676105.3130988819</v>
      </c>
      <c r="LP165" s="1"/>
      <c r="LQ165" s="1"/>
      <c r="LR165" s="1"/>
      <c r="LS165" s="1"/>
      <c r="LT165" s="1"/>
      <c r="LU165" s="1">
        <v>1969541.7035197401</v>
      </c>
      <c r="LV165" s="1"/>
      <c r="LW165" s="1"/>
      <c r="LX165" s="1"/>
      <c r="LY165" s="1"/>
      <c r="LZ165" s="1"/>
      <c r="MA165" s="1"/>
      <c r="MB165" s="1"/>
      <c r="MC165" s="1"/>
      <c r="MD165" s="1"/>
      <c r="ME165" s="1"/>
    </row>
    <row r="166" spans="1:343">
      <c r="A166" s="1">
        <v>1529</v>
      </c>
      <c r="B166" s="1">
        <v>12195067.805650536</v>
      </c>
      <c r="C166" s="1">
        <v>3365141.5841218806</v>
      </c>
      <c r="D166" s="1"/>
      <c r="E166" s="1"/>
      <c r="F166" s="1"/>
      <c r="G166" s="1"/>
      <c r="H166" s="1"/>
      <c r="I166" s="1"/>
      <c r="J166" s="1"/>
      <c r="K166" s="1">
        <v>1504659.9962923832</v>
      </c>
      <c r="L166" s="1"/>
      <c r="M166" s="1"/>
      <c r="N166" s="1"/>
      <c r="O166" s="1"/>
      <c r="P166" s="1"/>
      <c r="Q166" s="1"/>
      <c r="R166" s="1"/>
      <c r="S166" s="1"/>
      <c r="T166" s="1"/>
      <c r="U166" s="1">
        <v>1570206.6120924787</v>
      </c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>
        <v>3681849.6550432015</v>
      </c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>
        <v>1239104.5088013553</v>
      </c>
      <c r="AU166" s="1"/>
      <c r="AV166" s="1"/>
      <c r="AW166" s="1"/>
      <c r="AX166" s="1"/>
      <c r="AY166" s="1"/>
      <c r="AZ166" s="1"/>
      <c r="BA166" s="1"/>
      <c r="BB166" s="1"/>
      <c r="BC166" s="1">
        <v>834105.44929923641</v>
      </c>
      <c r="BD166" s="1"/>
      <c r="BE166" s="1"/>
      <c r="BF166" s="1"/>
      <c r="BG166" s="1"/>
      <c r="BH166" s="1"/>
      <c r="BI166" s="4">
        <v>8015088.8068085462</v>
      </c>
      <c r="BJ166" s="2">
        <v>786382.28008710663</v>
      </c>
      <c r="BK166" s="2"/>
      <c r="BL166" s="2"/>
      <c r="BM166" s="2"/>
      <c r="BN166" s="2"/>
      <c r="BO166" s="2"/>
      <c r="BP166" s="2"/>
      <c r="BQ166" s="2">
        <v>632771.94986163802</v>
      </c>
      <c r="BR166" s="2"/>
      <c r="BS166" s="2"/>
      <c r="BT166" s="2"/>
      <c r="BU166" s="2"/>
      <c r="BV166" s="2"/>
      <c r="BW166" s="2"/>
      <c r="BX166" s="2"/>
      <c r="BY166" s="2"/>
      <c r="BZ166" s="1">
        <v>1616244.0035807388</v>
      </c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1">
        <v>463503.48878924683</v>
      </c>
      <c r="CU166" s="2"/>
      <c r="CV166" s="2"/>
      <c r="CW166" s="2"/>
      <c r="CX166" s="1">
        <v>1477260.8810156153</v>
      </c>
      <c r="CY166" s="2"/>
      <c r="CZ166" s="2"/>
      <c r="DA166" s="2"/>
      <c r="DB166" s="2"/>
      <c r="DC166" s="2"/>
      <c r="DD166" s="2"/>
      <c r="DE166" s="1">
        <v>827037.72293173731</v>
      </c>
      <c r="DF166" s="2"/>
      <c r="DG166" s="2"/>
      <c r="DH166" s="2"/>
      <c r="DI166" s="2"/>
      <c r="DJ166" s="2"/>
      <c r="DK166" s="2"/>
      <c r="DL166" s="1">
        <v>973641.44765164237</v>
      </c>
      <c r="DM166" s="2"/>
      <c r="DN166" s="2"/>
      <c r="DO166" s="2"/>
      <c r="DP166" s="2"/>
      <c r="DQ166" s="2"/>
      <c r="DR166" s="2"/>
      <c r="DS166" s="1">
        <v>603573.73035440571</v>
      </c>
      <c r="DT166" s="2"/>
      <c r="DU166" s="2"/>
      <c r="DV166" s="2"/>
      <c r="DW166" s="2"/>
      <c r="DX166" s="2"/>
      <c r="DY166" s="2"/>
      <c r="DZ166" s="2"/>
      <c r="EA166" s="2"/>
      <c r="EB166" s="1">
        <v>70701.837426979037</v>
      </c>
      <c r="EC166" s="2"/>
      <c r="ED166" s="2"/>
      <c r="EE166" s="1">
        <v>123003.10331284076</v>
      </c>
      <c r="EF166" s="2"/>
      <c r="EG166" s="1">
        <v>440968.36179659475</v>
      </c>
      <c r="EH166" s="2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4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1">
        <v>2685204.0711634182</v>
      </c>
      <c r="LP166" s="1"/>
      <c r="LQ166" s="1"/>
      <c r="LR166" s="1"/>
      <c r="LS166" s="1"/>
      <c r="LT166" s="1"/>
      <c r="LU166" s="1">
        <v>1976238.1453117074</v>
      </c>
      <c r="LV166" s="1"/>
      <c r="LW166" s="1"/>
      <c r="LX166" s="1"/>
      <c r="LY166" s="1"/>
      <c r="LZ166" s="1"/>
      <c r="MA166" s="1"/>
      <c r="MB166" s="1"/>
      <c r="MC166" s="1"/>
      <c r="MD166" s="1"/>
      <c r="ME166" s="1"/>
    </row>
    <row r="167" spans="1:343">
      <c r="A167" s="1">
        <v>1530</v>
      </c>
      <c r="B167" s="1">
        <v>12239913.389458971</v>
      </c>
      <c r="C167" s="1">
        <v>3376583.0655078953</v>
      </c>
      <c r="D167" s="1"/>
      <c r="E167" s="1"/>
      <c r="F167" s="1"/>
      <c r="G167" s="1"/>
      <c r="H167" s="1"/>
      <c r="I167" s="1"/>
      <c r="J167" s="1"/>
      <c r="K167" s="1">
        <v>1511430.9662756987</v>
      </c>
      <c r="L167" s="1"/>
      <c r="M167" s="1"/>
      <c r="N167" s="1"/>
      <c r="O167" s="1"/>
      <c r="P167" s="1"/>
      <c r="Q167" s="1"/>
      <c r="R167" s="1"/>
      <c r="S167" s="1"/>
      <c r="T167" s="1"/>
      <c r="U167" s="1">
        <v>1577272.5418468947</v>
      </c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>
        <v>3694367.9438703489</v>
      </c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>
        <v>1243317.4641312798</v>
      </c>
      <c r="AU167" s="1"/>
      <c r="AV167" s="1"/>
      <c r="AW167" s="1"/>
      <c r="AX167" s="1"/>
      <c r="AY167" s="1"/>
      <c r="AZ167" s="1"/>
      <c r="BA167" s="1"/>
      <c r="BB167" s="1"/>
      <c r="BC167" s="1">
        <v>836941.40782685392</v>
      </c>
      <c r="BD167" s="1"/>
      <c r="BE167" s="1"/>
      <c r="BF167" s="1"/>
      <c r="BG167" s="1"/>
      <c r="BH167" s="1"/>
      <c r="BI167" s="4">
        <v>8050883.338024715</v>
      </c>
      <c r="BJ167" s="2">
        <v>789606.44743546378</v>
      </c>
      <c r="BK167" s="2"/>
      <c r="BL167" s="2"/>
      <c r="BM167" s="2"/>
      <c r="BN167" s="2"/>
      <c r="BO167" s="2"/>
      <c r="BP167" s="2"/>
      <c r="BQ167" s="2">
        <v>634670.26571122289</v>
      </c>
      <c r="BR167" s="2"/>
      <c r="BS167" s="2"/>
      <c r="BT167" s="2"/>
      <c r="BU167" s="2"/>
      <c r="BV167" s="2"/>
      <c r="BW167" s="2"/>
      <c r="BX167" s="2"/>
      <c r="BY167" s="2"/>
      <c r="BZ167" s="1">
        <v>1627557.7116058038</v>
      </c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1">
        <v>465079.4006511303</v>
      </c>
      <c r="CU167" s="2"/>
      <c r="CV167" s="2"/>
      <c r="CW167" s="2"/>
      <c r="CX167" s="1">
        <v>1482283.5680110685</v>
      </c>
      <c r="CY167" s="2"/>
      <c r="CZ167" s="2"/>
      <c r="DA167" s="2"/>
      <c r="DB167" s="2"/>
      <c r="DC167" s="2"/>
      <c r="DD167" s="2"/>
      <c r="DE167" s="1">
        <v>829849.65118970524</v>
      </c>
      <c r="DF167" s="2"/>
      <c r="DG167" s="2"/>
      <c r="DH167" s="2"/>
      <c r="DI167" s="2"/>
      <c r="DJ167" s="2"/>
      <c r="DK167" s="2"/>
      <c r="DL167" s="1">
        <v>976951.82857365801</v>
      </c>
      <c r="DM167" s="2"/>
      <c r="DN167" s="2"/>
      <c r="DO167" s="2"/>
      <c r="DP167" s="2"/>
      <c r="DQ167" s="2"/>
      <c r="DR167" s="2"/>
      <c r="DS167" s="1">
        <v>607798.74646688648</v>
      </c>
      <c r="DT167" s="2"/>
      <c r="DU167" s="2"/>
      <c r="DV167" s="2"/>
      <c r="DW167" s="2"/>
      <c r="DX167" s="2"/>
      <c r="DY167" s="2"/>
      <c r="DZ167" s="2"/>
      <c r="EA167" s="2"/>
      <c r="EB167" s="1">
        <v>71196.750288967887</v>
      </c>
      <c r="EC167" s="2"/>
      <c r="ED167" s="2"/>
      <c r="EE167" s="1">
        <v>123421.31386410442</v>
      </c>
      <c r="EF167" s="2"/>
      <c r="EG167" s="1">
        <v>442467.65422670322</v>
      </c>
      <c r="EH167" s="2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4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1">
        <v>2694333.7650053739</v>
      </c>
      <c r="LP167" s="1"/>
      <c r="LQ167" s="1"/>
      <c r="LR167" s="1"/>
      <c r="LS167" s="1"/>
      <c r="LT167" s="1"/>
      <c r="LU167" s="1">
        <v>1982957.3550057674</v>
      </c>
      <c r="LV167" s="1"/>
      <c r="LW167" s="1"/>
      <c r="LX167" s="1"/>
      <c r="LY167" s="1"/>
      <c r="LZ167" s="1"/>
      <c r="MA167" s="1"/>
      <c r="MB167" s="1"/>
      <c r="MC167" s="1"/>
      <c r="MD167" s="1"/>
      <c r="ME167" s="1"/>
    </row>
    <row r="168" spans="1:343">
      <c r="A168" s="1">
        <v>1531</v>
      </c>
      <c r="B168" s="1">
        <v>12284926.668842068</v>
      </c>
      <c r="C168" s="1">
        <v>3388063.4479306224</v>
      </c>
      <c r="D168" s="1"/>
      <c r="E168" s="1"/>
      <c r="F168" s="1"/>
      <c r="G168" s="1"/>
      <c r="H168" s="1"/>
      <c r="I168" s="1"/>
      <c r="J168" s="1"/>
      <c r="K168" s="1">
        <v>1518232.4056239394</v>
      </c>
      <c r="L168" s="1"/>
      <c r="M168" s="1"/>
      <c r="N168" s="1"/>
      <c r="O168" s="1"/>
      <c r="P168" s="1"/>
      <c r="Q168" s="1"/>
      <c r="R168" s="1"/>
      <c r="S168" s="1"/>
      <c r="T168" s="1"/>
      <c r="U168" s="1">
        <v>1584370.2682852056</v>
      </c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>
        <v>3706928.7948795082</v>
      </c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>
        <v>1247544.7435093264</v>
      </c>
      <c r="AU168" s="1"/>
      <c r="AV168" s="1"/>
      <c r="AW168" s="1"/>
      <c r="AX168" s="1"/>
      <c r="AY168" s="1"/>
      <c r="AZ168" s="1"/>
      <c r="BA168" s="1"/>
      <c r="BB168" s="1"/>
      <c r="BC168" s="1">
        <v>839787.00861346524</v>
      </c>
      <c r="BD168" s="1"/>
      <c r="BE168" s="1"/>
      <c r="BF168" s="1"/>
      <c r="BG168" s="1"/>
      <c r="BH168" s="1"/>
      <c r="BI168" s="4">
        <v>8086858.7893310199</v>
      </c>
      <c r="BJ168" s="2">
        <v>792843.83386994922</v>
      </c>
      <c r="BK168" s="2"/>
      <c r="BL168" s="2"/>
      <c r="BM168" s="2"/>
      <c r="BN168" s="2"/>
      <c r="BO168" s="2"/>
      <c r="BP168" s="2"/>
      <c r="BQ168" s="2">
        <v>636574.27650835644</v>
      </c>
      <c r="BR168" s="2"/>
      <c r="BS168" s="2"/>
      <c r="BT168" s="2"/>
      <c r="BU168" s="2"/>
      <c r="BV168" s="2"/>
      <c r="BW168" s="2"/>
      <c r="BX168" s="2"/>
      <c r="BY168" s="2"/>
      <c r="BZ168" s="1">
        <v>1638950.6155870443</v>
      </c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1">
        <v>466660.67061334418</v>
      </c>
      <c r="CU168" s="2"/>
      <c r="CV168" s="2"/>
      <c r="CW168" s="2"/>
      <c r="CX168" s="1">
        <v>1487323.3321423063</v>
      </c>
      <c r="CY168" s="2"/>
      <c r="CZ168" s="2"/>
      <c r="DA168" s="2"/>
      <c r="DB168" s="2"/>
      <c r="DC168" s="2"/>
      <c r="DD168" s="2"/>
      <c r="DE168" s="1">
        <v>832671.14000375033</v>
      </c>
      <c r="DF168" s="2"/>
      <c r="DG168" s="2"/>
      <c r="DH168" s="2"/>
      <c r="DI168" s="2"/>
      <c r="DJ168" s="2"/>
      <c r="DK168" s="2"/>
      <c r="DL168" s="1">
        <v>980273.4647908085</v>
      </c>
      <c r="DM168" s="2"/>
      <c r="DN168" s="2"/>
      <c r="DO168" s="2"/>
      <c r="DP168" s="2"/>
      <c r="DQ168" s="2"/>
      <c r="DR168" s="2"/>
      <c r="DS168" s="1">
        <v>612053.33769215457</v>
      </c>
      <c r="DT168" s="2"/>
      <c r="DU168" s="2"/>
      <c r="DV168" s="2"/>
      <c r="DW168" s="2"/>
      <c r="DX168" s="2"/>
      <c r="DY168" s="2"/>
      <c r="DZ168" s="2"/>
      <c r="EA168" s="2"/>
      <c r="EB168" s="1">
        <v>71695.127540990652</v>
      </c>
      <c r="EC168" s="2"/>
      <c r="ED168" s="2"/>
      <c r="EE168" s="1">
        <v>123840.94633124239</v>
      </c>
      <c r="EF168" s="2"/>
      <c r="EG168" s="1">
        <v>443972.04425107402</v>
      </c>
      <c r="EH168" s="2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4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1">
        <v>2703494.4998063925</v>
      </c>
      <c r="LP168" s="1"/>
      <c r="LQ168" s="1"/>
      <c r="LR168" s="1"/>
      <c r="LS168" s="1"/>
      <c r="LT168" s="1"/>
      <c r="LU168" s="1">
        <v>1989699.4100127872</v>
      </c>
      <c r="LV168" s="1"/>
      <c r="LW168" s="1"/>
      <c r="LX168" s="1"/>
      <c r="LY168" s="1"/>
      <c r="LZ168" s="1"/>
      <c r="MA168" s="1"/>
      <c r="MB168" s="1"/>
      <c r="MC168" s="1"/>
      <c r="MD168" s="1"/>
      <c r="ME168" s="1"/>
    </row>
    <row r="169" spans="1:343">
      <c r="A169" s="1">
        <v>1532</v>
      </c>
      <c r="B169" s="1">
        <v>12330108.282457432</v>
      </c>
      <c r="C169" s="1">
        <v>3399582.8636535867</v>
      </c>
      <c r="D169" s="1"/>
      <c r="E169" s="1"/>
      <c r="F169" s="1"/>
      <c r="G169" s="1"/>
      <c r="H169" s="1"/>
      <c r="I169" s="1"/>
      <c r="J169" s="1"/>
      <c r="K169" s="1">
        <v>1525064.4514492471</v>
      </c>
      <c r="L169" s="1"/>
      <c r="M169" s="1"/>
      <c r="N169" s="1"/>
      <c r="O169" s="1"/>
      <c r="P169" s="1"/>
      <c r="Q169" s="1"/>
      <c r="R169" s="1"/>
      <c r="S169" s="1"/>
      <c r="T169" s="1"/>
      <c r="U169" s="1">
        <v>1591499.9344924889</v>
      </c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>
        <v>3719532.3527820986</v>
      </c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>
        <v>1251786.3956372582</v>
      </c>
      <c r="AU169" s="1"/>
      <c r="AV169" s="1"/>
      <c r="AW169" s="1"/>
      <c r="AX169" s="1"/>
      <c r="AY169" s="1"/>
      <c r="AZ169" s="1"/>
      <c r="BA169" s="1"/>
      <c r="BB169" s="1"/>
      <c r="BC169" s="1">
        <v>842642.28444275109</v>
      </c>
      <c r="BD169" s="1"/>
      <c r="BE169" s="1"/>
      <c r="BF169" s="1"/>
      <c r="BG169" s="1"/>
      <c r="BH169" s="1"/>
      <c r="BI169" s="4">
        <v>8123016.186878805</v>
      </c>
      <c r="BJ169" s="2">
        <v>796094.49358881603</v>
      </c>
      <c r="BK169" s="2"/>
      <c r="BL169" s="2"/>
      <c r="BM169" s="2"/>
      <c r="BN169" s="2"/>
      <c r="BO169" s="2"/>
      <c r="BP169" s="2"/>
      <c r="BQ169" s="2">
        <v>638483.99933788145</v>
      </c>
      <c r="BR169" s="2"/>
      <c r="BS169" s="2"/>
      <c r="BT169" s="2"/>
      <c r="BU169" s="2"/>
      <c r="BV169" s="2"/>
      <c r="BW169" s="2"/>
      <c r="BX169" s="2"/>
      <c r="BY169" s="2"/>
      <c r="BZ169" s="1">
        <v>1650423.2698961534</v>
      </c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1">
        <v>468247.31689342955</v>
      </c>
      <c r="CU169" s="2"/>
      <c r="CV169" s="2"/>
      <c r="CW169" s="2"/>
      <c r="CX169" s="1">
        <v>1492380.2314715902</v>
      </c>
      <c r="CY169" s="2"/>
      <c r="CZ169" s="2"/>
      <c r="DA169" s="2"/>
      <c r="DB169" s="2"/>
      <c r="DC169" s="2"/>
      <c r="DD169" s="2"/>
      <c r="DE169" s="1">
        <v>835502.22187976318</v>
      </c>
      <c r="DF169" s="2"/>
      <c r="DG169" s="2"/>
      <c r="DH169" s="2"/>
      <c r="DI169" s="2"/>
      <c r="DJ169" s="2"/>
      <c r="DK169" s="2"/>
      <c r="DL169" s="1">
        <v>983606.39457109733</v>
      </c>
      <c r="DM169" s="2"/>
      <c r="DN169" s="2"/>
      <c r="DO169" s="2"/>
      <c r="DP169" s="2"/>
      <c r="DQ169" s="2"/>
      <c r="DR169" s="2"/>
      <c r="DS169" s="1">
        <v>616337.71105599962</v>
      </c>
      <c r="DT169" s="2"/>
      <c r="DU169" s="2"/>
      <c r="DV169" s="2"/>
      <c r="DW169" s="2"/>
      <c r="DX169" s="2"/>
      <c r="DY169" s="2"/>
      <c r="DZ169" s="2"/>
      <c r="EA169" s="2"/>
      <c r="EB169" s="1">
        <v>72196.993433777578</v>
      </c>
      <c r="EC169" s="2"/>
      <c r="ED169" s="2"/>
      <c r="EE169" s="1">
        <v>124262.00554876862</v>
      </c>
      <c r="EF169" s="2"/>
      <c r="EG169" s="1">
        <v>445481.54920152773</v>
      </c>
      <c r="EH169" s="2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4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1">
        <v>2712686.3811057345</v>
      </c>
      <c r="LP169" s="1"/>
      <c r="LQ169" s="1"/>
      <c r="LR169" s="1"/>
      <c r="LS169" s="1"/>
      <c r="LT169" s="1"/>
      <c r="LU169" s="1">
        <v>1996464.3880068308</v>
      </c>
      <c r="LV169" s="1"/>
      <c r="LW169" s="1"/>
      <c r="LX169" s="1"/>
      <c r="LY169" s="1"/>
      <c r="LZ169" s="1"/>
      <c r="MA169" s="1"/>
      <c r="MB169" s="1"/>
      <c r="MC169" s="1"/>
      <c r="MD169" s="1"/>
      <c r="ME169" s="1"/>
    </row>
    <row r="170" spans="1:343">
      <c r="A170" s="1">
        <v>1533</v>
      </c>
      <c r="B170" s="1">
        <v>12375458.871442322</v>
      </c>
      <c r="C170" s="1">
        <v>3411141.4453900093</v>
      </c>
      <c r="D170" s="1"/>
      <c r="E170" s="1"/>
      <c r="F170" s="1"/>
      <c r="G170" s="1"/>
      <c r="H170" s="1"/>
      <c r="I170" s="1"/>
      <c r="J170" s="1"/>
      <c r="K170" s="1">
        <v>1531927.2414807687</v>
      </c>
      <c r="L170" s="1"/>
      <c r="M170" s="1"/>
      <c r="N170" s="1"/>
      <c r="O170" s="1"/>
      <c r="P170" s="1"/>
      <c r="Q170" s="1"/>
      <c r="R170" s="1"/>
      <c r="S170" s="1"/>
      <c r="T170" s="1"/>
      <c r="U170" s="1">
        <v>1598661.684197705</v>
      </c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>
        <v>3732178.7627815581</v>
      </c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>
        <v>1256042.4693824248</v>
      </c>
      <c r="AU170" s="1"/>
      <c r="AV170" s="1"/>
      <c r="AW170" s="1"/>
      <c r="AX170" s="1"/>
      <c r="AY170" s="1"/>
      <c r="AZ170" s="1"/>
      <c r="BA170" s="1"/>
      <c r="BB170" s="1"/>
      <c r="BC170" s="1">
        <v>845507.26820985647</v>
      </c>
      <c r="BD170" s="1"/>
      <c r="BE170" s="1"/>
      <c r="BF170" s="1"/>
      <c r="BG170" s="1"/>
      <c r="BH170" s="1"/>
      <c r="BI170" s="4">
        <v>8159356.5631677583</v>
      </c>
      <c r="BJ170" s="2">
        <v>799358.48101253016</v>
      </c>
      <c r="BK170" s="2"/>
      <c r="BL170" s="2"/>
      <c r="BM170" s="2"/>
      <c r="BN170" s="2"/>
      <c r="BO170" s="2"/>
      <c r="BP170" s="2"/>
      <c r="BQ170" s="2">
        <v>640399.45133589499</v>
      </c>
      <c r="BR170" s="2"/>
      <c r="BS170" s="2"/>
      <c r="BT170" s="2"/>
      <c r="BU170" s="2"/>
      <c r="BV170" s="2"/>
      <c r="BW170" s="2"/>
      <c r="BX170" s="2"/>
      <c r="BY170" s="2"/>
      <c r="BZ170" s="1">
        <v>1661976.2327854263</v>
      </c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1">
        <v>469839.35777086724</v>
      </c>
      <c r="CU170" s="2"/>
      <c r="CV170" s="2"/>
      <c r="CW170" s="2"/>
      <c r="CX170" s="1">
        <v>1497454.3242585938</v>
      </c>
      <c r="CY170" s="2"/>
      <c r="CZ170" s="2"/>
      <c r="DA170" s="2"/>
      <c r="DB170" s="2"/>
      <c r="DC170" s="2"/>
      <c r="DD170" s="2"/>
      <c r="DE170" s="1">
        <v>838342.92943415442</v>
      </c>
      <c r="DF170" s="2"/>
      <c r="DG170" s="2"/>
      <c r="DH170" s="2"/>
      <c r="DI170" s="2"/>
      <c r="DJ170" s="2"/>
      <c r="DK170" s="2"/>
      <c r="DL170" s="1">
        <v>986950.65631263913</v>
      </c>
      <c r="DM170" s="2"/>
      <c r="DN170" s="2"/>
      <c r="DO170" s="2"/>
      <c r="DP170" s="2"/>
      <c r="DQ170" s="2"/>
      <c r="DR170" s="2"/>
      <c r="DS170" s="1">
        <v>620652.07503339159</v>
      </c>
      <c r="DT170" s="2"/>
      <c r="DU170" s="2"/>
      <c r="DV170" s="2"/>
      <c r="DW170" s="2"/>
      <c r="DX170" s="2"/>
      <c r="DY170" s="2"/>
      <c r="DZ170" s="2"/>
      <c r="EA170" s="2"/>
      <c r="EB170" s="1">
        <v>72702.372387814015</v>
      </c>
      <c r="EC170" s="2"/>
      <c r="ED170" s="2"/>
      <c r="EE170" s="1">
        <v>124684.49636763443</v>
      </c>
      <c r="EF170" s="2"/>
      <c r="EG170" s="1">
        <v>446996.18646881293</v>
      </c>
      <c r="EH170" s="2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4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1">
        <v>2721909.5148014943</v>
      </c>
      <c r="LP170" s="1"/>
      <c r="LQ170" s="1"/>
      <c r="LR170" s="1"/>
      <c r="LS170" s="1"/>
      <c r="LT170" s="1"/>
      <c r="LU170" s="1">
        <v>2003252.3669260542</v>
      </c>
      <c r="LV170" s="1"/>
      <c r="LW170" s="1"/>
      <c r="LX170" s="1"/>
      <c r="LY170" s="1"/>
      <c r="LZ170" s="1"/>
      <c r="MA170" s="1"/>
      <c r="MB170" s="1"/>
      <c r="MC170" s="1"/>
      <c r="MD170" s="1"/>
      <c r="ME170" s="1"/>
    </row>
    <row r="171" spans="1:343">
      <c r="A171" s="1">
        <v>1534</v>
      </c>
      <c r="B171" s="1">
        <v>12420979.079423472</v>
      </c>
      <c r="C171" s="1">
        <v>3422739.3263043356</v>
      </c>
      <c r="D171" s="1"/>
      <c r="E171" s="1"/>
      <c r="F171" s="1"/>
      <c r="G171" s="1"/>
      <c r="H171" s="1"/>
      <c r="I171" s="1"/>
      <c r="J171" s="1"/>
      <c r="K171" s="1">
        <v>1538820.9140674321</v>
      </c>
      <c r="L171" s="1"/>
      <c r="M171" s="1"/>
      <c r="N171" s="1"/>
      <c r="O171" s="1"/>
      <c r="P171" s="1"/>
      <c r="Q171" s="1"/>
      <c r="R171" s="1"/>
      <c r="S171" s="1"/>
      <c r="T171" s="1"/>
      <c r="U171" s="1">
        <v>1605855.6617765946</v>
      </c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>
        <v>3744868.1705750157</v>
      </c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>
        <v>1260313.0137783252</v>
      </c>
      <c r="AU171" s="1"/>
      <c r="AV171" s="1"/>
      <c r="AW171" s="1"/>
      <c r="AX171" s="1"/>
      <c r="AY171" s="1"/>
      <c r="AZ171" s="1"/>
      <c r="BA171" s="1"/>
      <c r="BB171" s="1"/>
      <c r="BC171" s="1">
        <v>848381.99292177008</v>
      </c>
      <c r="BD171" s="1"/>
      <c r="BE171" s="1"/>
      <c r="BF171" s="1"/>
      <c r="BG171" s="1"/>
      <c r="BH171" s="1"/>
      <c r="BI171" s="4">
        <v>8195880.9570874479</v>
      </c>
      <c r="BJ171" s="2">
        <v>802635.8507846815</v>
      </c>
      <c r="BK171" s="2"/>
      <c r="BL171" s="2"/>
      <c r="BM171" s="2"/>
      <c r="BN171" s="2"/>
      <c r="BO171" s="2"/>
      <c r="BP171" s="2"/>
      <c r="BQ171" s="2">
        <v>642320.64968990255</v>
      </c>
      <c r="BR171" s="2"/>
      <c r="BS171" s="2"/>
      <c r="BT171" s="2"/>
      <c r="BU171" s="2"/>
      <c r="BV171" s="2"/>
      <c r="BW171" s="2"/>
      <c r="BX171" s="2"/>
      <c r="BY171" s="2"/>
      <c r="BZ171" s="1">
        <v>1673610.0664149241</v>
      </c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1">
        <v>471436.81158728822</v>
      </c>
      <c r="CU171" s="2"/>
      <c r="CV171" s="2"/>
      <c r="CW171" s="2"/>
      <c r="CX171" s="1">
        <v>1502545.6689610733</v>
      </c>
      <c r="CY171" s="2"/>
      <c r="CZ171" s="2"/>
      <c r="DA171" s="2"/>
      <c r="DB171" s="2"/>
      <c r="DC171" s="2"/>
      <c r="DD171" s="2"/>
      <c r="DE171" s="1">
        <v>841193.29539423063</v>
      </c>
      <c r="DF171" s="2"/>
      <c r="DG171" s="2"/>
      <c r="DH171" s="2"/>
      <c r="DI171" s="2"/>
      <c r="DJ171" s="2"/>
      <c r="DK171" s="2"/>
      <c r="DL171" s="1">
        <v>990306.28854410222</v>
      </c>
      <c r="DM171" s="2"/>
      <c r="DN171" s="2"/>
      <c r="DO171" s="2"/>
      <c r="DP171" s="2"/>
      <c r="DQ171" s="2"/>
      <c r="DR171" s="2"/>
      <c r="DS171" s="1">
        <v>624996.63955862529</v>
      </c>
      <c r="DT171" s="2"/>
      <c r="DU171" s="2"/>
      <c r="DV171" s="2"/>
      <c r="DW171" s="2"/>
      <c r="DX171" s="2"/>
      <c r="DY171" s="2"/>
      <c r="DZ171" s="2"/>
      <c r="EA171" s="2"/>
      <c r="EB171" s="1">
        <v>73211.288994528702</v>
      </c>
      <c r="EC171" s="2"/>
      <c r="ED171" s="2"/>
      <c r="EE171" s="1">
        <v>125108.42365528439</v>
      </c>
      <c r="EF171" s="2"/>
      <c r="EG171" s="1">
        <v>448515.97350280691</v>
      </c>
      <c r="EH171" s="2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4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1">
        <v>2731164.0071518198</v>
      </c>
      <c r="LP171" s="1"/>
      <c r="LQ171" s="1"/>
      <c r="LR171" s="1"/>
      <c r="LS171" s="1"/>
      <c r="LT171" s="1"/>
      <c r="LU171" s="1">
        <v>2010063.4249736029</v>
      </c>
      <c r="LV171" s="1"/>
      <c r="LW171" s="1"/>
      <c r="LX171" s="1"/>
      <c r="LY171" s="1"/>
      <c r="LZ171" s="1"/>
      <c r="MA171" s="1"/>
      <c r="MB171" s="1"/>
      <c r="MC171" s="1"/>
      <c r="MD171" s="1"/>
      <c r="ME171" s="1"/>
    </row>
    <row r="172" spans="1:343">
      <c r="A172" s="1">
        <v>1535</v>
      </c>
      <c r="B172" s="1">
        <v>12466669.552526943</v>
      </c>
      <c r="C172" s="1">
        <v>3434376.6400137707</v>
      </c>
      <c r="D172" s="1"/>
      <c r="E172" s="1"/>
      <c r="F172" s="1"/>
      <c r="G172" s="1"/>
      <c r="H172" s="1"/>
      <c r="I172" s="1"/>
      <c r="J172" s="1"/>
      <c r="K172" s="1">
        <v>1545745.6081807355</v>
      </c>
      <c r="L172" s="1"/>
      <c r="M172" s="1"/>
      <c r="N172" s="1"/>
      <c r="O172" s="1"/>
      <c r="P172" s="1"/>
      <c r="Q172" s="1"/>
      <c r="R172" s="1"/>
      <c r="S172" s="1"/>
      <c r="T172" s="1"/>
      <c r="U172" s="1">
        <v>1613082.0122545892</v>
      </c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>
        <v>3757600.7223549709</v>
      </c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>
        <v>1264598.0780251715</v>
      </c>
      <c r="AU172" s="1"/>
      <c r="AV172" s="1"/>
      <c r="AW172" s="1"/>
      <c r="AX172" s="1"/>
      <c r="AY172" s="1"/>
      <c r="AZ172" s="1"/>
      <c r="BA172" s="1"/>
      <c r="BB172" s="1"/>
      <c r="BC172" s="1">
        <v>851266.49169770419</v>
      </c>
      <c r="BD172" s="1"/>
      <c r="BE172" s="1"/>
      <c r="BF172" s="1"/>
      <c r="BG172" s="1"/>
      <c r="BH172" s="1"/>
      <c r="BI172" s="4">
        <v>8232590.4139591046</v>
      </c>
      <c r="BJ172" s="2">
        <v>805926.65777289867</v>
      </c>
      <c r="BK172" s="2"/>
      <c r="BL172" s="2"/>
      <c r="BM172" s="2"/>
      <c r="BN172" s="2"/>
      <c r="BO172" s="2"/>
      <c r="BP172" s="2"/>
      <c r="BQ172" s="2">
        <v>644247.61163897219</v>
      </c>
      <c r="BR172" s="2"/>
      <c r="BS172" s="2"/>
      <c r="BT172" s="2"/>
      <c r="BU172" s="2"/>
      <c r="BV172" s="2"/>
      <c r="BW172" s="2"/>
      <c r="BX172" s="2"/>
      <c r="BY172" s="2"/>
      <c r="BZ172" s="1">
        <v>1685325.3368798285</v>
      </c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1">
        <v>473039.69674668502</v>
      </c>
      <c r="CU172" s="2"/>
      <c r="CV172" s="2"/>
      <c r="CW172" s="2"/>
      <c r="CX172" s="1">
        <v>1507654.324235541</v>
      </c>
      <c r="CY172" s="2"/>
      <c r="CZ172" s="2"/>
      <c r="DA172" s="2"/>
      <c r="DB172" s="2"/>
      <c r="DC172" s="2"/>
      <c r="DD172" s="2"/>
      <c r="DE172" s="1">
        <v>844053.3525985711</v>
      </c>
      <c r="DF172" s="2"/>
      <c r="DG172" s="2"/>
      <c r="DH172" s="2"/>
      <c r="DI172" s="2"/>
      <c r="DJ172" s="2"/>
      <c r="DK172" s="2"/>
      <c r="DL172" s="1">
        <v>993673.32992515224</v>
      </c>
      <c r="DM172" s="2"/>
      <c r="DN172" s="2"/>
      <c r="DO172" s="2"/>
      <c r="DP172" s="2"/>
      <c r="DQ172" s="2"/>
      <c r="DR172" s="2"/>
      <c r="DS172" s="1">
        <v>629371.61603553558</v>
      </c>
      <c r="DT172" s="2"/>
      <c r="DU172" s="2"/>
      <c r="DV172" s="2"/>
      <c r="DW172" s="2"/>
      <c r="DX172" s="2"/>
      <c r="DY172" s="2"/>
      <c r="DZ172" s="2"/>
      <c r="EA172" s="2"/>
      <c r="EB172" s="1">
        <v>73723.768017490394</v>
      </c>
      <c r="EC172" s="2"/>
      <c r="ED172" s="2"/>
      <c r="EE172" s="1">
        <v>125533.79229571237</v>
      </c>
      <c r="EF172" s="2"/>
      <c r="EG172" s="1">
        <v>450040.92781271646</v>
      </c>
      <c r="EH172" s="2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4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1">
        <v>2740449.964776136</v>
      </c>
      <c r="LP172" s="1"/>
      <c r="LQ172" s="1"/>
      <c r="LR172" s="1"/>
      <c r="LS172" s="1"/>
      <c r="LT172" s="1"/>
      <c r="LU172" s="1">
        <v>2016897.6406185133</v>
      </c>
      <c r="LV172" s="1"/>
      <c r="LW172" s="1"/>
      <c r="LX172" s="1"/>
      <c r="LY172" s="1"/>
      <c r="LZ172" s="1"/>
      <c r="MA172" s="1"/>
      <c r="MB172" s="1"/>
      <c r="MC172" s="1"/>
      <c r="MD172" s="1"/>
      <c r="ME172" s="1"/>
    </row>
    <row r="173" spans="1:343">
      <c r="A173" s="1">
        <v>1536</v>
      </c>
      <c r="B173" s="1">
        <v>12512530.939388013</v>
      </c>
      <c r="C173" s="1">
        <v>3446053.5205898178</v>
      </c>
      <c r="D173" s="1"/>
      <c r="E173" s="1"/>
      <c r="F173" s="1"/>
      <c r="G173" s="1"/>
      <c r="H173" s="1"/>
      <c r="I173" s="1"/>
      <c r="J173" s="1"/>
      <c r="K173" s="1">
        <v>1552701.4634175487</v>
      </c>
      <c r="L173" s="1"/>
      <c r="M173" s="1"/>
      <c r="N173" s="1"/>
      <c r="O173" s="1"/>
      <c r="P173" s="1"/>
      <c r="Q173" s="1"/>
      <c r="R173" s="1"/>
      <c r="S173" s="1"/>
      <c r="T173" s="1"/>
      <c r="U173" s="1">
        <v>1620340.8813097349</v>
      </c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>
        <v>3770376.5648109782</v>
      </c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>
        <v>1268897.7114904572</v>
      </c>
      <c r="AU173" s="1"/>
      <c r="AV173" s="1"/>
      <c r="AW173" s="1"/>
      <c r="AX173" s="1"/>
      <c r="AY173" s="1"/>
      <c r="AZ173" s="1"/>
      <c r="BA173" s="1"/>
      <c r="BB173" s="1"/>
      <c r="BC173" s="1">
        <v>854160.79776947643</v>
      </c>
      <c r="BD173" s="1"/>
      <c r="BE173" s="1"/>
      <c r="BF173" s="1"/>
      <c r="BG173" s="1"/>
      <c r="BH173" s="1"/>
      <c r="BI173" s="4">
        <v>8269485.9855777072</v>
      </c>
      <c r="BJ173" s="2">
        <v>809230.95706976752</v>
      </c>
      <c r="BK173" s="2"/>
      <c r="BL173" s="2"/>
      <c r="BM173" s="2"/>
      <c r="BN173" s="2"/>
      <c r="BO173" s="2"/>
      <c r="BP173" s="2"/>
      <c r="BQ173" s="2">
        <v>646180.35447388899</v>
      </c>
      <c r="BR173" s="2"/>
      <c r="BS173" s="2"/>
      <c r="BT173" s="2"/>
      <c r="BU173" s="2"/>
      <c r="BV173" s="2"/>
      <c r="BW173" s="2"/>
      <c r="BX173" s="2"/>
      <c r="BY173" s="2"/>
      <c r="BZ173" s="1">
        <v>1697122.6142379872</v>
      </c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1">
        <v>474648.0317156238</v>
      </c>
      <c r="CU173" s="2"/>
      <c r="CV173" s="2"/>
      <c r="CW173" s="2"/>
      <c r="CX173" s="1">
        <v>1512780.3489379419</v>
      </c>
      <c r="CY173" s="2"/>
      <c r="CZ173" s="2"/>
      <c r="DA173" s="2"/>
      <c r="DB173" s="2"/>
      <c r="DC173" s="2"/>
      <c r="DD173" s="2"/>
      <c r="DE173" s="1">
        <v>846923.13399740634</v>
      </c>
      <c r="DF173" s="2"/>
      <c r="DG173" s="2"/>
      <c r="DH173" s="2"/>
      <c r="DI173" s="2"/>
      <c r="DJ173" s="2"/>
      <c r="DK173" s="2"/>
      <c r="DL173" s="1">
        <v>997051.81924689782</v>
      </c>
      <c r="DM173" s="2"/>
      <c r="DN173" s="2"/>
      <c r="DO173" s="2"/>
      <c r="DP173" s="2"/>
      <c r="DQ173" s="2"/>
      <c r="DR173" s="2"/>
      <c r="DS173" s="1">
        <v>633777.21734778432</v>
      </c>
      <c r="DT173" s="2"/>
      <c r="DU173" s="2"/>
      <c r="DV173" s="2"/>
      <c r="DW173" s="2"/>
      <c r="DX173" s="2"/>
      <c r="DY173" s="2"/>
      <c r="DZ173" s="2"/>
      <c r="EA173" s="2"/>
      <c r="EB173" s="1">
        <v>74239.834393612822</v>
      </c>
      <c r="EC173" s="2"/>
      <c r="ED173" s="2"/>
      <c r="EE173" s="1">
        <v>125960.6071895178</v>
      </c>
      <c r="EF173" s="2"/>
      <c r="EG173" s="1">
        <v>451571.06696727971</v>
      </c>
      <c r="EH173" s="2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4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1">
        <v>2749767.4946563751</v>
      </c>
      <c r="LP173" s="1"/>
      <c r="LQ173" s="1"/>
      <c r="LR173" s="1"/>
      <c r="LS173" s="1"/>
      <c r="LT173" s="1"/>
      <c r="LU173" s="1">
        <v>2023755.0925966164</v>
      </c>
      <c r="LV173" s="1"/>
      <c r="LW173" s="1"/>
      <c r="LX173" s="1"/>
      <c r="LY173" s="1"/>
      <c r="LZ173" s="1"/>
      <c r="MA173" s="1"/>
      <c r="MB173" s="1"/>
      <c r="MC173" s="1"/>
      <c r="MD173" s="1"/>
      <c r="ME173" s="1"/>
    </row>
    <row r="174" spans="1:343">
      <c r="A174" s="1">
        <v>1537</v>
      </c>
      <c r="B174" s="1">
        <v>12558563.891161134</v>
      </c>
      <c r="C174" s="1">
        <v>3457770.1025598235</v>
      </c>
      <c r="D174" s="1"/>
      <c r="E174" s="1"/>
      <c r="F174" s="1"/>
      <c r="G174" s="1"/>
      <c r="H174" s="1"/>
      <c r="I174" s="1"/>
      <c r="J174" s="1"/>
      <c r="K174" s="1">
        <v>1559688.6200029275</v>
      </c>
      <c r="L174" s="1"/>
      <c r="M174" s="1"/>
      <c r="N174" s="1"/>
      <c r="O174" s="1"/>
      <c r="P174" s="1"/>
      <c r="Q174" s="1"/>
      <c r="R174" s="1"/>
      <c r="S174" s="1"/>
      <c r="T174" s="1"/>
      <c r="U174" s="1">
        <v>1627632.4152756287</v>
      </c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>
        <v>3783195.8451313358</v>
      </c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>
        <v>1273211.9637095248</v>
      </c>
      <c r="AU174" s="1"/>
      <c r="AV174" s="1"/>
      <c r="AW174" s="1"/>
      <c r="AX174" s="1"/>
      <c r="AY174" s="1"/>
      <c r="AZ174" s="1"/>
      <c r="BA174" s="1"/>
      <c r="BB174" s="1"/>
      <c r="BC174" s="1">
        <v>857064.94448189274</v>
      </c>
      <c r="BD174" s="1"/>
      <c r="BE174" s="1"/>
      <c r="BF174" s="1"/>
      <c r="BG174" s="1"/>
      <c r="BH174" s="1"/>
      <c r="BI174" s="4">
        <v>8306568.7302543577</v>
      </c>
      <c r="BJ174" s="2">
        <v>812548.80399375351</v>
      </c>
      <c r="BK174" s="2"/>
      <c r="BL174" s="2"/>
      <c r="BM174" s="2"/>
      <c r="BN174" s="2"/>
      <c r="BO174" s="2"/>
      <c r="BP174" s="2"/>
      <c r="BQ174" s="2">
        <v>648118.89553731063</v>
      </c>
      <c r="BR174" s="2"/>
      <c r="BS174" s="2"/>
      <c r="BT174" s="2"/>
      <c r="BU174" s="2"/>
      <c r="BV174" s="2"/>
      <c r="BW174" s="2"/>
      <c r="BX174" s="2"/>
      <c r="BY174" s="2"/>
      <c r="BZ174" s="1">
        <v>1709002.4725376528</v>
      </c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1">
        <v>476261.83502345695</v>
      </c>
      <c r="CU174" s="2"/>
      <c r="CV174" s="2"/>
      <c r="CW174" s="2"/>
      <c r="CX174" s="1">
        <v>1517923.802124331</v>
      </c>
      <c r="CY174" s="2"/>
      <c r="CZ174" s="2"/>
      <c r="DA174" s="2"/>
      <c r="DB174" s="2"/>
      <c r="DC174" s="2"/>
      <c r="DD174" s="2"/>
      <c r="DE174" s="1">
        <v>849802.67265299754</v>
      </c>
      <c r="DF174" s="2"/>
      <c r="DG174" s="2"/>
      <c r="DH174" s="2"/>
      <c r="DI174" s="2"/>
      <c r="DJ174" s="2"/>
      <c r="DK174" s="2"/>
      <c r="DL174" s="1">
        <v>1000441.7954323373</v>
      </c>
      <c r="DM174" s="2"/>
      <c r="DN174" s="2"/>
      <c r="DO174" s="2"/>
      <c r="DP174" s="2"/>
      <c r="DQ174" s="2"/>
      <c r="DR174" s="2"/>
      <c r="DS174" s="1">
        <v>638213.65786921873</v>
      </c>
      <c r="DT174" s="2"/>
      <c r="DU174" s="2"/>
      <c r="DV174" s="2"/>
      <c r="DW174" s="2"/>
      <c r="DX174" s="2"/>
      <c r="DY174" s="2"/>
      <c r="DZ174" s="2"/>
      <c r="EA174" s="2"/>
      <c r="EB174" s="1">
        <v>74759.513234368103</v>
      </c>
      <c r="EC174" s="2"/>
      <c r="ED174" s="2"/>
      <c r="EE174" s="1">
        <v>126388.87325396217</v>
      </c>
      <c r="EF174" s="2"/>
      <c r="EG174" s="1">
        <v>453106.4085949685</v>
      </c>
      <c r="EH174" s="2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4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1">
        <v>2759116.7041382068</v>
      </c>
      <c r="LP174" s="1"/>
      <c r="LQ174" s="1"/>
      <c r="LR174" s="1"/>
      <c r="LS174" s="1"/>
      <c r="LT174" s="1"/>
      <c r="LU174" s="1">
        <v>2030635.8599114451</v>
      </c>
      <c r="LV174" s="1"/>
      <c r="LW174" s="1"/>
      <c r="LX174" s="1"/>
      <c r="LY174" s="1"/>
      <c r="LZ174" s="1"/>
      <c r="MA174" s="1"/>
      <c r="MB174" s="1"/>
      <c r="MC174" s="1"/>
      <c r="MD174" s="1"/>
      <c r="ME174" s="1"/>
    </row>
    <row r="175" spans="1:343">
      <c r="A175" s="1">
        <v>1538</v>
      </c>
      <c r="B175" s="1">
        <v>12604769.061529888</v>
      </c>
      <c r="C175" s="1">
        <v>3469526.5209085271</v>
      </c>
      <c r="D175" s="1"/>
      <c r="E175" s="1"/>
      <c r="F175" s="1"/>
      <c r="G175" s="1"/>
      <c r="H175" s="1"/>
      <c r="I175" s="1"/>
      <c r="J175" s="1"/>
      <c r="K175" s="1">
        <v>1566707.2187929405</v>
      </c>
      <c r="L175" s="1"/>
      <c r="M175" s="1"/>
      <c r="N175" s="1"/>
      <c r="O175" s="1"/>
      <c r="P175" s="1"/>
      <c r="Q175" s="1"/>
      <c r="R175" s="1"/>
      <c r="S175" s="1"/>
      <c r="T175" s="1"/>
      <c r="U175" s="1">
        <v>1634956.7611443689</v>
      </c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>
        <v>3796058.7110047825</v>
      </c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>
        <v>1277540.8843861374</v>
      </c>
      <c r="AU175" s="1"/>
      <c r="AV175" s="1"/>
      <c r="AW175" s="1"/>
      <c r="AX175" s="1"/>
      <c r="AY175" s="1"/>
      <c r="AZ175" s="1"/>
      <c r="BA175" s="1"/>
      <c r="BB175" s="1"/>
      <c r="BC175" s="1">
        <v>859978.96529313119</v>
      </c>
      <c r="BD175" s="1"/>
      <c r="BE175" s="1"/>
      <c r="BF175" s="1"/>
      <c r="BG175" s="1"/>
      <c r="BH175" s="1"/>
      <c r="BI175" s="4">
        <v>8343839.7128589116</v>
      </c>
      <c r="BJ175" s="2">
        <v>815880.25409012788</v>
      </c>
      <c r="BK175" s="2"/>
      <c r="BL175" s="2"/>
      <c r="BM175" s="2"/>
      <c r="BN175" s="2"/>
      <c r="BO175" s="2"/>
      <c r="BP175" s="2"/>
      <c r="BQ175" s="2">
        <v>650063.25222392252</v>
      </c>
      <c r="BR175" s="2"/>
      <c r="BS175" s="2"/>
      <c r="BT175" s="2"/>
      <c r="BU175" s="2"/>
      <c r="BV175" s="2"/>
      <c r="BW175" s="2"/>
      <c r="BX175" s="2"/>
      <c r="BY175" s="2"/>
      <c r="BZ175" s="1">
        <v>1720965.4898454163</v>
      </c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1">
        <v>477881.12526253675</v>
      </c>
      <c r="CU175" s="2"/>
      <c r="CV175" s="2"/>
      <c r="CW175" s="2"/>
      <c r="CX175" s="1">
        <v>1523084.7430515538</v>
      </c>
      <c r="CY175" s="2"/>
      <c r="CZ175" s="2"/>
      <c r="DA175" s="2"/>
      <c r="DB175" s="2"/>
      <c r="DC175" s="2"/>
      <c r="DD175" s="2"/>
      <c r="DE175" s="1">
        <v>852692.00174001779</v>
      </c>
      <c r="DF175" s="2"/>
      <c r="DG175" s="2"/>
      <c r="DH175" s="2"/>
      <c r="DI175" s="2"/>
      <c r="DJ175" s="2"/>
      <c r="DK175" s="2"/>
      <c r="DL175" s="1">
        <v>1003843.2975368074</v>
      </c>
      <c r="DM175" s="2"/>
      <c r="DN175" s="2"/>
      <c r="DO175" s="2"/>
      <c r="DP175" s="2"/>
      <c r="DQ175" s="2"/>
      <c r="DR175" s="2"/>
      <c r="DS175" s="1">
        <v>642681.1534743032</v>
      </c>
      <c r="DT175" s="2"/>
      <c r="DU175" s="2"/>
      <c r="DV175" s="2"/>
      <c r="DW175" s="2"/>
      <c r="DX175" s="2"/>
      <c r="DY175" s="2"/>
      <c r="DZ175" s="2"/>
      <c r="EA175" s="2"/>
      <c r="EB175" s="1">
        <v>75282.829827008667</v>
      </c>
      <c r="EC175" s="2"/>
      <c r="ED175" s="2"/>
      <c r="EE175" s="1">
        <v>126818.59542302565</v>
      </c>
      <c r="EF175" s="2"/>
      <c r="EG175" s="1">
        <v>454646.97038419143</v>
      </c>
      <c r="EH175" s="2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4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1">
        <v>2768497.7009322769</v>
      </c>
      <c r="LP175" s="1"/>
      <c r="LQ175" s="1"/>
      <c r="LR175" s="1"/>
      <c r="LS175" s="1"/>
      <c r="LT175" s="1"/>
      <c r="LU175" s="1">
        <v>2037540.0218351441</v>
      </c>
      <c r="LV175" s="1"/>
      <c r="LW175" s="1"/>
      <c r="LX175" s="1"/>
      <c r="LY175" s="1"/>
      <c r="LZ175" s="1"/>
      <c r="MA175" s="1"/>
      <c r="MB175" s="1"/>
      <c r="MC175" s="1"/>
      <c r="MD175" s="1"/>
      <c r="ME175" s="1"/>
    </row>
    <row r="176" spans="1:343">
      <c r="A176" s="1">
        <v>1539</v>
      </c>
      <c r="B176" s="1">
        <v>12651147.10671702</v>
      </c>
      <c r="C176" s="1">
        <v>3481322.9110796163</v>
      </c>
      <c r="D176" s="1"/>
      <c r="E176" s="1"/>
      <c r="F176" s="1"/>
      <c r="G176" s="1"/>
      <c r="H176" s="1"/>
      <c r="I176" s="1"/>
      <c r="J176" s="1"/>
      <c r="K176" s="1">
        <v>1573757.4012775086</v>
      </c>
      <c r="L176" s="1"/>
      <c r="M176" s="1"/>
      <c r="N176" s="1"/>
      <c r="O176" s="1"/>
      <c r="P176" s="1"/>
      <c r="Q176" s="1"/>
      <c r="R176" s="1"/>
      <c r="S176" s="1"/>
      <c r="T176" s="1"/>
      <c r="U176" s="1">
        <v>1642314.0665695185</v>
      </c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>
        <v>3808965.310622199</v>
      </c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>
        <v>1281884.5233930503</v>
      </c>
      <c r="AU176" s="1"/>
      <c r="AV176" s="1"/>
      <c r="AW176" s="1"/>
      <c r="AX176" s="1"/>
      <c r="AY176" s="1"/>
      <c r="AZ176" s="1"/>
      <c r="BA176" s="1"/>
      <c r="BB176" s="1"/>
      <c r="BC176" s="1">
        <v>862902.89377512794</v>
      </c>
      <c r="BD176" s="1"/>
      <c r="BE176" s="1"/>
      <c r="BF176" s="1"/>
      <c r="BG176" s="1"/>
      <c r="BH176" s="1"/>
      <c r="BI176" s="4">
        <v>8381300.0048629334</v>
      </c>
      <c r="BJ176" s="2">
        <v>819225.36313189741</v>
      </c>
      <c r="BK176" s="2"/>
      <c r="BL176" s="2"/>
      <c r="BM176" s="2"/>
      <c r="BN176" s="2"/>
      <c r="BO176" s="2"/>
      <c r="BP176" s="2"/>
      <c r="BQ176" s="2">
        <v>652013.44198059419</v>
      </c>
      <c r="BR176" s="2"/>
      <c r="BS176" s="2"/>
      <c r="BT176" s="2"/>
      <c r="BU176" s="2"/>
      <c r="BV176" s="2"/>
      <c r="BW176" s="2"/>
      <c r="BX176" s="2"/>
      <c r="BY176" s="2"/>
      <c r="BZ176" s="1">
        <v>1733012.248274334</v>
      </c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1">
        <v>479505.9210884294</v>
      </c>
      <c r="CU176" s="2"/>
      <c r="CV176" s="2"/>
      <c r="CW176" s="2"/>
      <c r="CX176" s="1">
        <v>1528263.2311779293</v>
      </c>
      <c r="CY176" s="2"/>
      <c r="CZ176" s="2"/>
      <c r="DA176" s="2"/>
      <c r="DB176" s="2"/>
      <c r="DC176" s="2"/>
      <c r="DD176" s="2"/>
      <c r="DE176" s="1">
        <v>855591.15454593394</v>
      </c>
      <c r="DF176" s="2"/>
      <c r="DG176" s="2"/>
      <c r="DH176" s="2"/>
      <c r="DI176" s="2"/>
      <c r="DJ176" s="2"/>
      <c r="DK176" s="2"/>
      <c r="DL176" s="1">
        <v>1007256.3647484325</v>
      </c>
      <c r="DM176" s="2"/>
      <c r="DN176" s="2"/>
      <c r="DO176" s="2"/>
      <c r="DP176" s="2"/>
      <c r="DQ176" s="2"/>
      <c r="DR176" s="2"/>
      <c r="DS176" s="1">
        <v>647179.92154862324</v>
      </c>
      <c r="DT176" s="2"/>
      <c r="DU176" s="2"/>
      <c r="DV176" s="2"/>
      <c r="DW176" s="2"/>
      <c r="DX176" s="2"/>
      <c r="DY176" s="2"/>
      <c r="DZ176" s="2"/>
      <c r="EA176" s="2"/>
      <c r="EB176" s="1">
        <v>75809.809635797719</v>
      </c>
      <c r="EC176" s="2"/>
      <c r="ED176" s="2"/>
      <c r="EE176" s="1">
        <v>127249.77864746394</v>
      </c>
      <c r="EF176" s="2"/>
      <c r="EG176" s="1">
        <v>456192.77008349769</v>
      </c>
      <c r="EH176" s="2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4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1">
        <v>2777910.5931154466</v>
      </c>
      <c r="LP176" s="1"/>
      <c r="LQ176" s="1"/>
      <c r="LR176" s="1"/>
      <c r="LS176" s="1"/>
      <c r="LT176" s="1"/>
      <c r="LU176" s="1">
        <v>2044467.6579093838</v>
      </c>
      <c r="LV176" s="1"/>
      <c r="LW176" s="1"/>
      <c r="LX176" s="1"/>
      <c r="LY176" s="1"/>
      <c r="LZ176" s="1"/>
      <c r="MA176" s="1"/>
      <c r="MB176" s="1"/>
      <c r="MC176" s="1"/>
      <c r="MD176" s="1"/>
      <c r="ME176" s="1"/>
    </row>
    <row r="177" spans="1:343">
      <c r="A177" s="1">
        <v>1540</v>
      </c>
      <c r="B177" s="1">
        <v>12697698.685494492</v>
      </c>
      <c r="C177" s="1">
        <v>3493159.4089772874</v>
      </c>
      <c r="D177" s="1"/>
      <c r="E177" s="1"/>
      <c r="F177" s="1"/>
      <c r="G177" s="1"/>
      <c r="H177" s="1"/>
      <c r="I177" s="1"/>
      <c r="J177" s="1"/>
      <c r="K177" s="1">
        <v>1580839.3095832572</v>
      </c>
      <c r="L177" s="1"/>
      <c r="M177" s="1"/>
      <c r="N177" s="1"/>
      <c r="O177" s="1"/>
      <c r="P177" s="1"/>
      <c r="Q177" s="1"/>
      <c r="R177" s="1"/>
      <c r="S177" s="1"/>
      <c r="T177" s="1"/>
      <c r="U177" s="1">
        <v>1649704.4798690812</v>
      </c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>
        <v>3821915.7926783147</v>
      </c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>
        <v>1286242.9307725867</v>
      </c>
      <c r="AU177" s="1"/>
      <c r="AV177" s="1"/>
      <c r="AW177" s="1"/>
      <c r="AX177" s="1"/>
      <c r="AY177" s="1"/>
      <c r="AZ177" s="1"/>
      <c r="BA177" s="1"/>
      <c r="BB177" s="1"/>
      <c r="BC177" s="1">
        <v>865836.76361396338</v>
      </c>
      <c r="BD177" s="1"/>
      <c r="BE177" s="1"/>
      <c r="BF177" s="1"/>
      <c r="BG177" s="1"/>
      <c r="BH177" s="1"/>
      <c r="BI177" s="4">
        <v>8418950.6843829174</v>
      </c>
      <c r="BJ177" s="2">
        <v>822584.18712073821</v>
      </c>
      <c r="BK177" s="2"/>
      <c r="BL177" s="2"/>
      <c r="BM177" s="2"/>
      <c r="BN177" s="2"/>
      <c r="BO177" s="2"/>
      <c r="BP177" s="2"/>
      <c r="BQ177" s="2">
        <v>653969.48230653594</v>
      </c>
      <c r="BR177" s="2"/>
      <c r="BS177" s="2"/>
      <c r="BT177" s="2"/>
      <c r="BU177" s="2"/>
      <c r="BV177" s="2"/>
      <c r="BW177" s="2"/>
      <c r="BX177" s="2"/>
      <c r="BY177" s="2"/>
      <c r="BZ177" s="1">
        <v>1745143.3340122541</v>
      </c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1">
        <v>481136.24122013012</v>
      </c>
      <c r="CU177" s="2"/>
      <c r="CV177" s="2"/>
      <c r="CW177" s="2"/>
      <c r="CX177" s="1">
        <v>1533459.3261639343</v>
      </c>
      <c r="CY177" s="2"/>
      <c r="CZ177" s="2"/>
      <c r="DA177" s="2"/>
      <c r="DB177" s="2"/>
      <c r="DC177" s="2"/>
      <c r="DD177" s="2"/>
      <c r="DE177" s="1">
        <v>858500.16447139019</v>
      </c>
      <c r="DF177" s="2"/>
      <c r="DG177" s="2"/>
      <c r="DH177" s="2"/>
      <c r="DI177" s="2"/>
      <c r="DJ177" s="2"/>
      <c r="DK177" s="2"/>
      <c r="DL177" s="1">
        <v>1010681.0363885773</v>
      </c>
      <c r="DM177" s="2"/>
      <c r="DN177" s="2"/>
      <c r="DO177" s="2"/>
      <c r="DP177" s="2"/>
      <c r="DQ177" s="2"/>
      <c r="DR177" s="2"/>
      <c r="DS177" s="1">
        <v>651710.18099946354</v>
      </c>
      <c r="DT177" s="2"/>
      <c r="DU177" s="2"/>
      <c r="DV177" s="2"/>
      <c r="DW177" s="2"/>
      <c r="DX177" s="2"/>
      <c r="DY177" s="2"/>
      <c r="DZ177" s="2"/>
      <c r="EA177" s="2"/>
      <c r="EB177" s="1">
        <v>76340.478303248296</v>
      </c>
      <c r="EC177" s="2"/>
      <c r="ED177" s="2"/>
      <c r="EE177" s="1">
        <v>127682.42789486532</v>
      </c>
      <c r="EF177" s="2"/>
      <c r="EG177" s="1">
        <v>457743.8255017816</v>
      </c>
      <c r="EH177" s="2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4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1">
        <v>2787355.4891320392</v>
      </c>
      <c r="LP177" s="1"/>
      <c r="LQ177" s="1"/>
      <c r="LR177" s="1"/>
      <c r="LS177" s="1"/>
      <c r="LT177" s="1"/>
      <c r="LU177" s="1">
        <v>2051418.8479462757</v>
      </c>
      <c r="LV177" s="1"/>
      <c r="LW177" s="1"/>
      <c r="LX177" s="1"/>
      <c r="LY177" s="1"/>
      <c r="LZ177" s="1"/>
      <c r="MA177" s="1"/>
      <c r="MB177" s="1"/>
      <c r="MC177" s="1"/>
      <c r="MD177" s="1"/>
      <c r="ME177" s="1"/>
    </row>
    <row r="178" spans="1:343">
      <c r="A178" s="1">
        <v>1541</v>
      </c>
      <c r="B178" s="1">
        <v>12744424.459193569</v>
      </c>
      <c r="C178" s="1">
        <v>3505036.1509678103</v>
      </c>
      <c r="D178" s="1"/>
      <c r="E178" s="1"/>
      <c r="F178" s="1"/>
      <c r="G178" s="1"/>
      <c r="H178" s="1"/>
      <c r="I178" s="1"/>
      <c r="J178" s="1"/>
      <c r="K178" s="1">
        <v>1587953.0864763819</v>
      </c>
      <c r="L178" s="1"/>
      <c r="M178" s="1"/>
      <c r="N178" s="1"/>
      <c r="O178" s="1"/>
      <c r="P178" s="1"/>
      <c r="Q178" s="1"/>
      <c r="R178" s="1"/>
      <c r="S178" s="1"/>
      <c r="T178" s="1"/>
      <c r="U178" s="1">
        <v>1657128.1500284919</v>
      </c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>
        <v>3834910.3063734211</v>
      </c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>
        <v>1290616.1567372137</v>
      </c>
      <c r="AU178" s="1"/>
      <c r="AV178" s="1"/>
      <c r="AW178" s="1"/>
      <c r="AX178" s="1"/>
      <c r="AY178" s="1"/>
      <c r="AZ178" s="1"/>
      <c r="BA178" s="1"/>
      <c r="BB178" s="1"/>
      <c r="BC178" s="1">
        <v>868780.60861025087</v>
      </c>
      <c r="BD178" s="1"/>
      <c r="BE178" s="1"/>
      <c r="BF178" s="1"/>
      <c r="BG178" s="1"/>
      <c r="BH178" s="1"/>
      <c r="BI178" s="4">
        <v>8456792.8362238165</v>
      </c>
      <c r="BJ178" s="2">
        <v>825956.78228793328</v>
      </c>
      <c r="BK178" s="2"/>
      <c r="BL178" s="2"/>
      <c r="BM178" s="2"/>
      <c r="BN178" s="2"/>
      <c r="BO178" s="2"/>
      <c r="BP178" s="2"/>
      <c r="BQ178" s="2">
        <v>655931.39075345546</v>
      </c>
      <c r="BR178" s="2"/>
      <c r="BS178" s="2"/>
      <c r="BT178" s="2"/>
      <c r="BU178" s="2"/>
      <c r="BV178" s="2"/>
      <c r="BW178" s="2"/>
      <c r="BX178" s="2"/>
      <c r="BY178" s="2"/>
      <c r="BZ178" s="1">
        <v>1757359.3373503396</v>
      </c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1">
        <v>482772.10444027861</v>
      </c>
      <c r="CU178" s="2"/>
      <c r="CV178" s="2"/>
      <c r="CW178" s="2"/>
      <c r="CX178" s="1">
        <v>1538673.0878728917</v>
      </c>
      <c r="CY178" s="2"/>
      <c r="CZ178" s="2"/>
      <c r="DA178" s="2"/>
      <c r="DB178" s="2"/>
      <c r="DC178" s="2"/>
      <c r="DD178" s="2"/>
      <c r="DE178" s="1">
        <v>861419.06503059296</v>
      </c>
      <c r="DF178" s="2"/>
      <c r="DG178" s="2"/>
      <c r="DH178" s="2"/>
      <c r="DI178" s="2"/>
      <c r="DJ178" s="2"/>
      <c r="DK178" s="2"/>
      <c r="DL178" s="1">
        <v>1014117.3519122986</v>
      </c>
      <c r="DM178" s="2"/>
      <c r="DN178" s="2"/>
      <c r="DO178" s="2"/>
      <c r="DP178" s="2"/>
      <c r="DQ178" s="2"/>
      <c r="DR178" s="2"/>
      <c r="DS178" s="1">
        <v>656272.15226645977</v>
      </c>
      <c r="DT178" s="2"/>
      <c r="DU178" s="2"/>
      <c r="DV178" s="2"/>
      <c r="DW178" s="2"/>
      <c r="DX178" s="2"/>
      <c r="DY178" s="2"/>
      <c r="DZ178" s="2"/>
      <c r="EA178" s="2"/>
      <c r="EB178" s="1">
        <v>76874.861651371029</v>
      </c>
      <c r="EC178" s="2"/>
      <c r="ED178" s="2"/>
      <c r="EE178" s="1">
        <v>128116.54814970787</v>
      </c>
      <c r="EF178" s="2"/>
      <c r="EG178" s="1">
        <v>459300.15450848767</v>
      </c>
      <c r="EH178" s="2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4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1">
        <v>2796832.4977950882</v>
      </c>
      <c r="LP178" s="1"/>
      <c r="LQ178" s="1"/>
      <c r="LR178" s="1"/>
      <c r="LS178" s="1"/>
      <c r="LT178" s="1"/>
      <c r="LU178" s="1">
        <v>2058393.6720292931</v>
      </c>
      <c r="LV178" s="1"/>
      <c r="LW178" s="1"/>
      <c r="LX178" s="1"/>
      <c r="LY178" s="1"/>
      <c r="LZ178" s="1"/>
      <c r="MA178" s="1"/>
      <c r="MB178" s="1"/>
      <c r="MC178" s="1"/>
      <c r="MD178" s="1"/>
      <c r="ME178" s="1"/>
    </row>
    <row r="179" spans="1:343">
      <c r="A179" s="1">
        <v>1542</v>
      </c>
      <c r="B179" s="1">
        <v>12791325.091714984</v>
      </c>
      <c r="C179" s="1">
        <v>3516953.273881101</v>
      </c>
      <c r="D179" s="1"/>
      <c r="E179" s="1"/>
      <c r="F179" s="1"/>
      <c r="G179" s="1"/>
      <c r="H179" s="1"/>
      <c r="I179" s="1"/>
      <c r="J179" s="1"/>
      <c r="K179" s="1">
        <v>1595098.8753655255</v>
      </c>
      <c r="L179" s="1"/>
      <c r="M179" s="1"/>
      <c r="N179" s="1"/>
      <c r="O179" s="1"/>
      <c r="P179" s="1"/>
      <c r="Q179" s="1"/>
      <c r="R179" s="1"/>
      <c r="S179" s="1"/>
      <c r="T179" s="1"/>
      <c r="U179" s="1">
        <v>1664585.2267036201</v>
      </c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>
        <v>3847949.0014150911</v>
      </c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>
        <v>1295004.2516701203</v>
      </c>
      <c r="AU179" s="1"/>
      <c r="AV179" s="1"/>
      <c r="AW179" s="1"/>
      <c r="AX179" s="1"/>
      <c r="AY179" s="1"/>
      <c r="AZ179" s="1"/>
      <c r="BA179" s="1"/>
      <c r="BB179" s="1"/>
      <c r="BC179" s="1">
        <v>871734.46267952584</v>
      </c>
      <c r="BD179" s="1"/>
      <c r="BE179" s="1"/>
      <c r="BF179" s="1"/>
      <c r="BG179" s="1"/>
      <c r="BH179" s="1"/>
      <c r="BI179" s="4">
        <v>8494827.5519228429</v>
      </c>
      <c r="BJ179" s="2">
        <v>829343.20509531384</v>
      </c>
      <c r="BK179" s="2"/>
      <c r="BL179" s="2"/>
      <c r="BM179" s="2"/>
      <c r="BN179" s="2"/>
      <c r="BO179" s="2"/>
      <c r="BP179" s="2"/>
      <c r="BQ179" s="2">
        <v>657899.18492571579</v>
      </c>
      <c r="BR179" s="2"/>
      <c r="BS179" s="2"/>
      <c r="BT179" s="2"/>
      <c r="BU179" s="2"/>
      <c r="BV179" s="2"/>
      <c r="BW179" s="2"/>
      <c r="BX179" s="2"/>
      <c r="BY179" s="2"/>
      <c r="BZ179" s="1">
        <v>1769660.8527117919</v>
      </c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1">
        <v>484413.52959537558</v>
      </c>
      <c r="CU179" s="2"/>
      <c r="CV179" s="2"/>
      <c r="CW179" s="2"/>
      <c r="CX179" s="1">
        <v>1543904.5763716595</v>
      </c>
      <c r="CY179" s="2"/>
      <c r="CZ179" s="2"/>
      <c r="DA179" s="2"/>
      <c r="DB179" s="2"/>
      <c r="DC179" s="2"/>
      <c r="DD179" s="2"/>
      <c r="DE179" s="1">
        <v>864347.88985169702</v>
      </c>
      <c r="DF179" s="2"/>
      <c r="DG179" s="2"/>
      <c r="DH179" s="2"/>
      <c r="DI179" s="2"/>
      <c r="DJ179" s="2"/>
      <c r="DK179" s="2"/>
      <c r="DL179" s="1">
        <v>1017565.3509088005</v>
      </c>
      <c r="DM179" s="2"/>
      <c r="DN179" s="2"/>
      <c r="DO179" s="2"/>
      <c r="DP179" s="2"/>
      <c r="DQ179" s="2"/>
      <c r="DR179" s="2"/>
      <c r="DS179" s="1">
        <v>660866.05733232491</v>
      </c>
      <c r="DT179" s="2"/>
      <c r="DU179" s="2"/>
      <c r="DV179" s="2"/>
      <c r="DW179" s="2"/>
      <c r="DX179" s="2"/>
      <c r="DY179" s="2"/>
      <c r="DZ179" s="2"/>
      <c r="EA179" s="2"/>
      <c r="EB179" s="1">
        <v>77412.985682930623</v>
      </c>
      <c r="EC179" s="2"/>
      <c r="ED179" s="2"/>
      <c r="EE179" s="1">
        <v>128552.14441341689</v>
      </c>
      <c r="EF179" s="2"/>
      <c r="EG179" s="1">
        <v>460861.77503381658</v>
      </c>
      <c r="EH179" s="2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4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1">
        <v>2806341.7282875916</v>
      </c>
      <c r="LP179" s="1"/>
      <c r="LQ179" s="1"/>
      <c r="LR179" s="1"/>
      <c r="LS179" s="1"/>
      <c r="LT179" s="1"/>
      <c r="LU179" s="1">
        <v>2065392.2105141929</v>
      </c>
      <c r="LV179" s="1"/>
      <c r="LW179" s="1"/>
      <c r="LX179" s="1"/>
      <c r="LY179" s="1"/>
      <c r="LZ179" s="1"/>
      <c r="MA179" s="1"/>
      <c r="MB179" s="1"/>
      <c r="MC179" s="1"/>
      <c r="MD179" s="1"/>
      <c r="ME179" s="1"/>
    </row>
    <row r="180" spans="1:343">
      <c r="A180" s="1">
        <v>1543</v>
      </c>
      <c r="B180" s="1">
        <v>12838401.24953909</v>
      </c>
      <c r="C180" s="1">
        <v>3528910.9150122972</v>
      </c>
      <c r="D180" s="1"/>
      <c r="E180" s="1"/>
      <c r="F180" s="1"/>
      <c r="G180" s="1"/>
      <c r="H180" s="1"/>
      <c r="I180" s="1"/>
      <c r="J180" s="1"/>
      <c r="K180" s="1">
        <v>1602276.8203046704</v>
      </c>
      <c r="L180" s="1"/>
      <c r="M180" s="1"/>
      <c r="N180" s="1"/>
      <c r="O180" s="1"/>
      <c r="P180" s="1"/>
      <c r="Q180" s="1"/>
      <c r="R180" s="1"/>
      <c r="S180" s="1"/>
      <c r="T180" s="1"/>
      <c r="U180" s="1">
        <v>1672075.8602237862</v>
      </c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>
        <v>3861032.0280199028</v>
      </c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>
        <v>1299407.2661257987</v>
      </c>
      <c r="AU180" s="1"/>
      <c r="AV180" s="1"/>
      <c r="AW180" s="1"/>
      <c r="AX180" s="1"/>
      <c r="AY180" s="1"/>
      <c r="AZ180" s="1"/>
      <c r="BA180" s="1"/>
      <c r="BB180" s="1"/>
      <c r="BC180" s="1">
        <v>874698.35985263623</v>
      </c>
      <c r="BD180" s="1"/>
      <c r="BE180" s="1"/>
      <c r="BF180" s="1"/>
      <c r="BG180" s="1"/>
      <c r="BH180" s="1"/>
      <c r="BI180" s="4">
        <v>8533055.9297935944</v>
      </c>
      <c r="BJ180" s="2">
        <v>832743.51223620458</v>
      </c>
      <c r="BK180" s="2"/>
      <c r="BL180" s="2"/>
      <c r="BM180" s="2"/>
      <c r="BN180" s="2"/>
      <c r="BO180" s="2"/>
      <c r="BP180" s="2"/>
      <c r="BQ180" s="2">
        <v>659872.88248049282</v>
      </c>
      <c r="BR180" s="2"/>
      <c r="BS180" s="2"/>
      <c r="BT180" s="2"/>
      <c r="BU180" s="2"/>
      <c r="BV180" s="2"/>
      <c r="BW180" s="2"/>
      <c r="BX180" s="2"/>
      <c r="BY180" s="2"/>
      <c r="BZ180" s="1">
        <v>1782048.4786807743</v>
      </c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1">
        <v>486060.53559599991</v>
      </c>
      <c r="CU180" s="2"/>
      <c r="CV180" s="2"/>
      <c r="CW180" s="2"/>
      <c r="CX180" s="1">
        <v>1549153.8519313233</v>
      </c>
      <c r="CY180" s="2"/>
      <c r="CZ180" s="2"/>
      <c r="DA180" s="2"/>
      <c r="DB180" s="2"/>
      <c r="DC180" s="2"/>
      <c r="DD180" s="2"/>
      <c r="DE180" s="1">
        <v>867286.67267719284</v>
      </c>
      <c r="DF180" s="2"/>
      <c r="DG180" s="2"/>
      <c r="DH180" s="2"/>
      <c r="DI180" s="2"/>
      <c r="DJ180" s="2"/>
      <c r="DK180" s="2"/>
      <c r="DL180" s="1">
        <v>1021025.0731018905</v>
      </c>
      <c r="DM180" s="2"/>
      <c r="DN180" s="2"/>
      <c r="DO180" s="2"/>
      <c r="DP180" s="2"/>
      <c r="DQ180" s="2"/>
      <c r="DR180" s="2"/>
      <c r="DS180" s="1">
        <v>665492.11973365117</v>
      </c>
      <c r="DT180" s="2"/>
      <c r="DU180" s="2"/>
      <c r="DV180" s="2"/>
      <c r="DW180" s="2"/>
      <c r="DX180" s="2"/>
      <c r="DY180" s="2"/>
      <c r="DZ180" s="2"/>
      <c r="EA180" s="2"/>
      <c r="EB180" s="1">
        <v>77954.876582711135</v>
      </c>
      <c r="EC180" s="2"/>
      <c r="ED180" s="2"/>
      <c r="EE180" s="1">
        <v>128989.22170442251</v>
      </c>
      <c r="EF180" s="2"/>
      <c r="EG180" s="1">
        <v>462428.70506893157</v>
      </c>
      <c r="EH180" s="2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4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1">
        <v>2815883.2901637694</v>
      </c>
      <c r="LP180" s="1"/>
      <c r="LQ180" s="1"/>
      <c r="LR180" s="1"/>
      <c r="LS180" s="1"/>
      <c r="LT180" s="1"/>
      <c r="LU180" s="1">
        <v>2072414.5440299413</v>
      </c>
      <c r="LV180" s="1"/>
      <c r="LW180" s="1"/>
      <c r="LX180" s="1"/>
      <c r="LY180" s="1"/>
      <c r="LZ180" s="1"/>
      <c r="MA180" s="1"/>
      <c r="MB180" s="1"/>
      <c r="MC180" s="1"/>
      <c r="MD180" s="1"/>
      <c r="ME180" s="1"/>
    </row>
    <row r="181" spans="1:343">
      <c r="A181" s="1">
        <v>1544</v>
      </c>
      <c r="B181" s="1">
        <v>12885653.601736106</v>
      </c>
      <c r="C181" s="1">
        <v>3540909.2121233391</v>
      </c>
      <c r="D181" s="1"/>
      <c r="E181" s="1"/>
      <c r="F181" s="1"/>
      <c r="G181" s="1"/>
      <c r="H181" s="1"/>
      <c r="I181" s="1"/>
      <c r="J181" s="1"/>
      <c r="K181" s="1">
        <v>1609487.0659960413</v>
      </c>
      <c r="L181" s="1"/>
      <c r="M181" s="1"/>
      <c r="N181" s="1"/>
      <c r="O181" s="1"/>
      <c r="P181" s="1"/>
      <c r="Q181" s="1"/>
      <c r="R181" s="1"/>
      <c r="S181" s="1"/>
      <c r="T181" s="1"/>
      <c r="U181" s="1">
        <v>1679600.2015947932</v>
      </c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>
        <v>3874159.5369151705</v>
      </c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>
        <v>1303825.2508306266</v>
      </c>
      <c r="AU181" s="1"/>
      <c r="AV181" s="1"/>
      <c r="AW181" s="1"/>
      <c r="AX181" s="1"/>
      <c r="AY181" s="1"/>
      <c r="AZ181" s="1"/>
      <c r="BA181" s="1"/>
      <c r="BB181" s="1"/>
      <c r="BC181" s="1">
        <v>877672.33427613531</v>
      </c>
      <c r="BD181" s="1"/>
      <c r="BE181" s="1"/>
      <c r="BF181" s="1"/>
      <c r="BG181" s="1"/>
      <c r="BH181" s="1"/>
      <c r="BI181" s="4">
        <v>8571479.0749704558</v>
      </c>
      <c r="BJ181" s="2">
        <v>836157.76063637296</v>
      </c>
      <c r="BK181" s="2"/>
      <c r="BL181" s="2"/>
      <c r="BM181" s="2"/>
      <c r="BN181" s="2"/>
      <c r="BO181" s="2"/>
      <c r="BP181" s="2"/>
      <c r="BQ181" s="2">
        <v>661852.5011279342</v>
      </c>
      <c r="BR181" s="2"/>
      <c r="BS181" s="2"/>
      <c r="BT181" s="2"/>
      <c r="BU181" s="2"/>
      <c r="BV181" s="2"/>
      <c r="BW181" s="2"/>
      <c r="BX181" s="2"/>
      <c r="BY181" s="2"/>
      <c r="BZ181" s="1">
        <v>1794522.8180315397</v>
      </c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1">
        <v>487713.14141702635</v>
      </c>
      <c r="CU181" s="2"/>
      <c r="CV181" s="2"/>
      <c r="CW181" s="2"/>
      <c r="CX181" s="1">
        <v>1554420.9750278899</v>
      </c>
      <c r="CY181" s="2"/>
      <c r="CZ181" s="2"/>
      <c r="DA181" s="2"/>
      <c r="DB181" s="2"/>
      <c r="DC181" s="2"/>
      <c r="DD181" s="2"/>
      <c r="DE181" s="1">
        <v>870235.44736429537</v>
      </c>
      <c r="DF181" s="2"/>
      <c r="DG181" s="2"/>
      <c r="DH181" s="2"/>
      <c r="DI181" s="2"/>
      <c r="DJ181" s="2"/>
      <c r="DK181" s="2"/>
      <c r="DL181" s="1">
        <v>1024496.558350437</v>
      </c>
      <c r="DM181" s="2"/>
      <c r="DN181" s="2"/>
      <c r="DO181" s="2"/>
      <c r="DP181" s="2"/>
      <c r="DQ181" s="2"/>
      <c r="DR181" s="2"/>
      <c r="DS181" s="1">
        <v>670150.56457178667</v>
      </c>
      <c r="DT181" s="2"/>
      <c r="DU181" s="2"/>
      <c r="DV181" s="2"/>
      <c r="DW181" s="2"/>
      <c r="DX181" s="2"/>
      <c r="DY181" s="2"/>
      <c r="DZ181" s="2"/>
      <c r="EA181" s="2"/>
      <c r="EB181" s="1">
        <v>78500.560718790104</v>
      </c>
      <c r="EC181" s="2"/>
      <c r="ED181" s="2"/>
      <c r="EE181" s="1">
        <v>129427.78505821756</v>
      </c>
      <c r="EF181" s="2"/>
      <c r="EG181" s="1">
        <v>464000.96266616596</v>
      </c>
      <c r="EH181" s="2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4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1">
        <v>2825457.2933503264</v>
      </c>
      <c r="LP181" s="1"/>
      <c r="LQ181" s="1"/>
      <c r="LR181" s="1"/>
      <c r="LS181" s="1"/>
      <c r="LT181" s="1"/>
      <c r="LU181" s="1">
        <v>2079460.7534796433</v>
      </c>
      <c r="LV181" s="1"/>
      <c r="LW181" s="1"/>
      <c r="LX181" s="1"/>
      <c r="LY181" s="1"/>
      <c r="LZ181" s="1"/>
      <c r="MA181" s="1"/>
      <c r="MB181" s="1"/>
      <c r="MC181" s="1"/>
      <c r="MD181" s="1"/>
      <c r="ME181" s="1"/>
    </row>
    <row r="182" spans="1:343">
      <c r="A182" s="1">
        <v>1545</v>
      </c>
      <c r="B182" s="1">
        <v>12933082.81997636</v>
      </c>
      <c r="C182" s="1">
        <v>3552948.3034445588</v>
      </c>
      <c r="D182" s="1"/>
      <c r="E182" s="1"/>
      <c r="F182" s="1"/>
      <c r="G182" s="1"/>
      <c r="H182" s="1"/>
      <c r="I182" s="1"/>
      <c r="J182" s="1"/>
      <c r="K182" s="1">
        <v>1616729.7577930235</v>
      </c>
      <c r="L182" s="1"/>
      <c r="M182" s="1"/>
      <c r="N182" s="1"/>
      <c r="O182" s="1"/>
      <c r="P182" s="1"/>
      <c r="Q182" s="1"/>
      <c r="R182" s="1"/>
      <c r="S182" s="1"/>
      <c r="T182" s="1"/>
      <c r="U182" s="1">
        <v>1687158.4025019698</v>
      </c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>
        <v>3887331.6793406825</v>
      </c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>
        <v>1308258.2566834509</v>
      </c>
      <c r="AU182" s="1"/>
      <c r="AV182" s="1"/>
      <c r="AW182" s="1"/>
      <c r="AX182" s="1"/>
      <c r="AY182" s="1"/>
      <c r="AZ182" s="1"/>
      <c r="BA182" s="1"/>
      <c r="BB182" s="1"/>
      <c r="BC182" s="1">
        <v>880656.42021267419</v>
      </c>
      <c r="BD182" s="1"/>
      <c r="BE182" s="1"/>
      <c r="BF182" s="1"/>
      <c r="BG182" s="1"/>
      <c r="BH182" s="1"/>
      <c r="BI182" s="4">
        <v>8610098.0994533096</v>
      </c>
      <c r="BJ182" s="2">
        <v>839586.00745498203</v>
      </c>
      <c r="BK182" s="2"/>
      <c r="BL182" s="2"/>
      <c r="BM182" s="2"/>
      <c r="BN182" s="2"/>
      <c r="BO182" s="2"/>
      <c r="BP182" s="2"/>
      <c r="BQ182" s="2">
        <v>663838.05863131792</v>
      </c>
      <c r="BR182" s="2"/>
      <c r="BS182" s="2"/>
      <c r="BT182" s="2"/>
      <c r="BU182" s="2"/>
      <c r="BV182" s="2"/>
      <c r="BW182" s="2"/>
      <c r="BX182" s="2"/>
      <c r="BY182" s="2"/>
      <c r="BZ182" s="1">
        <v>1807084.4777577603</v>
      </c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1">
        <v>489371.36609784426</v>
      </c>
      <c r="CU182" s="2"/>
      <c r="CV182" s="2"/>
      <c r="CW182" s="2"/>
      <c r="CX182" s="1">
        <v>1559706.006342985</v>
      </c>
      <c r="CY182" s="2"/>
      <c r="CZ182" s="2"/>
      <c r="DA182" s="2"/>
      <c r="DB182" s="2"/>
      <c r="DC182" s="2"/>
      <c r="DD182" s="2"/>
      <c r="DE182" s="1">
        <v>873194.24788533407</v>
      </c>
      <c r="DF182" s="2"/>
      <c r="DG182" s="2"/>
      <c r="DH182" s="2"/>
      <c r="DI182" s="2"/>
      <c r="DJ182" s="2"/>
      <c r="DK182" s="2"/>
      <c r="DL182" s="1">
        <v>1027979.8466488285</v>
      </c>
      <c r="DM182" s="2"/>
      <c r="DN182" s="2"/>
      <c r="DO182" s="2"/>
      <c r="DP182" s="2"/>
      <c r="DQ182" s="2"/>
      <c r="DR182" s="2"/>
      <c r="DS182" s="1">
        <v>674841.6185237891</v>
      </c>
      <c r="DT182" s="2"/>
      <c r="DU182" s="2"/>
      <c r="DV182" s="2"/>
      <c r="DW182" s="2"/>
      <c r="DX182" s="2"/>
      <c r="DY182" s="2"/>
      <c r="DZ182" s="2"/>
      <c r="EA182" s="2"/>
      <c r="EB182" s="1">
        <v>79050.064643821621</v>
      </c>
      <c r="EC182" s="2"/>
      <c r="ED182" s="2"/>
      <c r="EE182" s="1">
        <v>129867.8395274155</v>
      </c>
      <c r="EF182" s="2"/>
      <c r="EG182" s="1">
        <v>465578.56593923096</v>
      </c>
      <c r="EH182" s="2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4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1">
        <v>2835063.8481477178</v>
      </c>
      <c r="LP182" s="1"/>
      <c r="LQ182" s="1"/>
      <c r="LR182" s="1"/>
      <c r="LS182" s="1"/>
      <c r="LT182" s="1"/>
      <c r="LU182" s="1">
        <v>2086530.9200414743</v>
      </c>
      <c r="LV182" s="1"/>
      <c r="LW182" s="1"/>
      <c r="LX182" s="1"/>
      <c r="LY182" s="1"/>
      <c r="LZ182" s="1"/>
      <c r="MA182" s="1"/>
      <c r="MB182" s="1"/>
      <c r="MC182" s="1"/>
      <c r="MD182" s="1"/>
      <c r="ME182" s="1"/>
    </row>
    <row r="183" spans="1:343">
      <c r="A183" s="1">
        <v>1546</v>
      </c>
      <c r="B183" s="1">
        <v>12980689.578540605</v>
      </c>
      <c r="C183" s="1">
        <v>3565028.3276762706</v>
      </c>
      <c r="D183" s="1"/>
      <c r="E183" s="1"/>
      <c r="F183" s="1"/>
      <c r="G183" s="1"/>
      <c r="H183" s="1"/>
      <c r="I183" s="1"/>
      <c r="J183" s="1"/>
      <c r="K183" s="1">
        <v>1624005.0417030919</v>
      </c>
      <c r="L183" s="1"/>
      <c r="M183" s="1"/>
      <c r="N183" s="1"/>
      <c r="O183" s="1"/>
      <c r="P183" s="1"/>
      <c r="Q183" s="1"/>
      <c r="R183" s="1"/>
      <c r="S183" s="1"/>
      <c r="T183" s="1"/>
      <c r="U183" s="1">
        <v>1694750.6153132287</v>
      </c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>
        <v>3900548.6070504412</v>
      </c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>
        <v>1312706.3347561748</v>
      </c>
      <c r="AU183" s="1"/>
      <c r="AV183" s="1"/>
      <c r="AW183" s="1"/>
      <c r="AX183" s="1"/>
      <c r="AY183" s="1"/>
      <c r="AZ183" s="1"/>
      <c r="BA183" s="1"/>
      <c r="BB183" s="1"/>
      <c r="BC183" s="1">
        <v>883650.65204139729</v>
      </c>
      <c r="BD183" s="1"/>
      <c r="BE183" s="1"/>
      <c r="BF183" s="1"/>
      <c r="BG183" s="1"/>
      <c r="BH183" s="1"/>
      <c r="BI183" s="4">
        <v>8648914.1221525483</v>
      </c>
      <c r="BJ183" s="2">
        <v>843028.31008554739</v>
      </c>
      <c r="BK183" s="2"/>
      <c r="BL183" s="2"/>
      <c r="BM183" s="2"/>
      <c r="BN183" s="2"/>
      <c r="BO183" s="2"/>
      <c r="BP183" s="2"/>
      <c r="BQ183" s="2">
        <v>665829.57280721178</v>
      </c>
      <c r="BR183" s="2"/>
      <c r="BS183" s="2"/>
      <c r="BT183" s="2"/>
      <c r="BU183" s="2"/>
      <c r="BV183" s="2"/>
      <c r="BW183" s="2"/>
      <c r="BX183" s="2"/>
      <c r="BY183" s="2"/>
      <c r="BZ183" s="1">
        <v>1819734.0691020645</v>
      </c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1">
        <v>491035.22874257696</v>
      </c>
      <c r="CU183" s="2"/>
      <c r="CV183" s="2"/>
      <c r="CW183" s="2"/>
      <c r="CX183" s="1">
        <v>1565009.0067645512</v>
      </c>
      <c r="CY183" s="2"/>
      <c r="CZ183" s="2"/>
      <c r="DA183" s="2"/>
      <c r="DB183" s="2"/>
      <c r="DC183" s="2"/>
      <c r="DD183" s="2"/>
      <c r="DE183" s="1">
        <v>876163.1083281443</v>
      </c>
      <c r="DF183" s="2"/>
      <c r="DG183" s="2"/>
      <c r="DH183" s="2"/>
      <c r="DI183" s="2"/>
      <c r="DJ183" s="2"/>
      <c r="DK183" s="2"/>
      <c r="DL183" s="1">
        <v>1031474.9781274346</v>
      </c>
      <c r="DM183" s="2"/>
      <c r="DN183" s="2"/>
      <c r="DO183" s="2"/>
      <c r="DP183" s="2"/>
      <c r="DQ183" s="2"/>
      <c r="DR183" s="2"/>
      <c r="DS183" s="1">
        <v>679565.50985345559</v>
      </c>
      <c r="DT183" s="2"/>
      <c r="DU183" s="2"/>
      <c r="DV183" s="2"/>
      <c r="DW183" s="2"/>
      <c r="DX183" s="2"/>
      <c r="DY183" s="2"/>
      <c r="DZ183" s="2"/>
      <c r="EA183" s="2"/>
      <c r="EB183" s="1">
        <v>79603.415096328361</v>
      </c>
      <c r="EC183" s="2"/>
      <c r="ED183" s="2"/>
      <c r="EE183" s="1">
        <v>130309.39018180873</v>
      </c>
      <c r="EF183" s="2"/>
      <c r="EG183" s="1">
        <v>467161.5330634244</v>
      </c>
      <c r="EH183" s="2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4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1">
        <v>2844703.0652314201</v>
      </c>
      <c r="LP183" s="1"/>
      <c r="LQ183" s="1"/>
      <c r="LR183" s="1"/>
      <c r="LS183" s="1"/>
      <c r="LT183" s="1"/>
      <c r="LU183" s="1">
        <v>2093625.1251696155</v>
      </c>
      <c r="LV183" s="1"/>
      <c r="LW183" s="1"/>
      <c r="LX183" s="1"/>
      <c r="LY183" s="1"/>
      <c r="LZ183" s="1"/>
      <c r="MA183" s="1"/>
      <c r="MB183" s="1"/>
      <c r="MC183" s="1"/>
      <c r="MD183" s="1"/>
      <c r="ME183" s="1"/>
    </row>
    <row r="184" spans="1:343">
      <c r="A184" s="1">
        <v>1547</v>
      </c>
      <c r="B184" s="1">
        <v>13028474.554330362</v>
      </c>
      <c r="C184" s="1">
        <v>3577149.4239903702</v>
      </c>
      <c r="D184" s="1"/>
      <c r="E184" s="1"/>
      <c r="F184" s="1"/>
      <c r="G184" s="1"/>
      <c r="H184" s="1"/>
      <c r="I184" s="1"/>
      <c r="J184" s="1"/>
      <c r="K184" s="1">
        <v>1631313.0643907557</v>
      </c>
      <c r="L184" s="1"/>
      <c r="M184" s="1"/>
      <c r="N184" s="1"/>
      <c r="O184" s="1"/>
      <c r="P184" s="1"/>
      <c r="Q184" s="1"/>
      <c r="R184" s="1"/>
      <c r="S184" s="1"/>
      <c r="T184" s="1"/>
      <c r="U184" s="1">
        <v>1702376.993082138</v>
      </c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>
        <v>3913810.4723144132</v>
      </c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>
        <v>1317169.536294346</v>
      </c>
      <c r="AU184" s="1"/>
      <c r="AV184" s="1"/>
      <c r="AW184" s="1"/>
      <c r="AX184" s="1"/>
      <c r="AY184" s="1"/>
      <c r="AZ184" s="1"/>
      <c r="BA184" s="1"/>
      <c r="BB184" s="1"/>
      <c r="BC184" s="1">
        <v>886655.06425833807</v>
      </c>
      <c r="BD184" s="1"/>
      <c r="BE184" s="1"/>
      <c r="BF184" s="1"/>
      <c r="BG184" s="1"/>
      <c r="BH184" s="1"/>
      <c r="BI184" s="4">
        <v>8687928.2689343896</v>
      </c>
      <c r="BJ184" s="2">
        <v>846484.72615689808</v>
      </c>
      <c r="BK184" s="2"/>
      <c r="BL184" s="2"/>
      <c r="BM184" s="2"/>
      <c r="BN184" s="2"/>
      <c r="BO184" s="2"/>
      <c r="BP184" s="2"/>
      <c r="BQ184" s="2">
        <v>667827.06152563333</v>
      </c>
      <c r="BR184" s="2"/>
      <c r="BS184" s="2"/>
      <c r="BT184" s="2"/>
      <c r="BU184" s="2"/>
      <c r="BV184" s="2"/>
      <c r="BW184" s="2"/>
      <c r="BX184" s="2"/>
      <c r="BY184" s="2"/>
      <c r="BZ184" s="1">
        <v>1832472.2075857788</v>
      </c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1">
        <v>492704.74852030177</v>
      </c>
      <c r="CU184" s="2"/>
      <c r="CV184" s="2"/>
      <c r="CW184" s="2"/>
      <c r="CX184" s="1">
        <v>1570330.0373875508</v>
      </c>
      <c r="CY184" s="2"/>
      <c r="CZ184" s="2"/>
      <c r="DA184" s="2"/>
      <c r="DB184" s="2"/>
      <c r="DC184" s="2"/>
      <c r="DD184" s="2"/>
      <c r="DE184" s="1">
        <v>879142.06289646006</v>
      </c>
      <c r="DF184" s="2"/>
      <c r="DG184" s="2"/>
      <c r="DH184" s="2"/>
      <c r="DI184" s="2"/>
      <c r="DJ184" s="2"/>
      <c r="DK184" s="2"/>
      <c r="DL184" s="1">
        <v>1034981.9930530679</v>
      </c>
      <c r="DM184" s="2"/>
      <c r="DN184" s="2"/>
      <c r="DO184" s="2"/>
      <c r="DP184" s="2"/>
      <c r="DQ184" s="2"/>
      <c r="DR184" s="2"/>
      <c r="DS184" s="1">
        <v>684322.46842242975</v>
      </c>
      <c r="DT184" s="2"/>
      <c r="DU184" s="2"/>
      <c r="DV184" s="2"/>
      <c r="DW184" s="2"/>
      <c r="DX184" s="2"/>
      <c r="DY184" s="2"/>
      <c r="DZ184" s="2"/>
      <c r="EA184" s="2"/>
      <c r="EB184" s="1">
        <v>80160.639002002645</v>
      </c>
      <c r="EC184" s="2"/>
      <c r="ED184" s="2"/>
      <c r="EE184" s="1">
        <v>130752.4421084269</v>
      </c>
      <c r="EF184" s="2"/>
      <c r="EG184" s="1">
        <v>468749.88227584009</v>
      </c>
      <c r="EH184" s="2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4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1">
        <v>2854375.055653207</v>
      </c>
      <c r="LP184" s="1"/>
      <c r="LQ184" s="1"/>
      <c r="LR184" s="1"/>
      <c r="LS184" s="1"/>
      <c r="LT184" s="1"/>
      <c r="LU184" s="1">
        <v>2100743.4505951921</v>
      </c>
      <c r="LV184" s="1"/>
      <c r="LW184" s="1"/>
      <c r="LX184" s="1"/>
      <c r="LY184" s="1"/>
      <c r="LZ184" s="1"/>
      <c r="MA184" s="1"/>
      <c r="MB184" s="1"/>
      <c r="MC184" s="1"/>
      <c r="MD184" s="1"/>
      <c r="ME184" s="1"/>
    </row>
    <row r="185" spans="1:343">
      <c r="A185" s="1">
        <v>1548</v>
      </c>
      <c r="B185" s="1">
        <v>13076438.426878303</v>
      </c>
      <c r="C185" s="1">
        <v>3589311.7320319377</v>
      </c>
      <c r="D185" s="1"/>
      <c r="E185" s="1"/>
      <c r="F185" s="1"/>
      <c r="G185" s="1"/>
      <c r="H185" s="1"/>
      <c r="I185" s="1"/>
      <c r="J185" s="1"/>
      <c r="K185" s="1">
        <v>1638653.9731805141</v>
      </c>
      <c r="L185" s="1"/>
      <c r="M185" s="1"/>
      <c r="N185" s="1"/>
      <c r="O185" s="1"/>
      <c r="P185" s="1"/>
      <c r="Q185" s="1"/>
      <c r="R185" s="1"/>
      <c r="S185" s="1"/>
      <c r="T185" s="1"/>
      <c r="U185" s="1">
        <v>1710037.6895510075</v>
      </c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>
        <v>3927117.4279202824</v>
      </c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>
        <v>1321647.9127177468</v>
      </c>
      <c r="AU185" s="1"/>
      <c r="AV185" s="1"/>
      <c r="AW185" s="1"/>
      <c r="AX185" s="1"/>
      <c r="AY185" s="1"/>
      <c r="AZ185" s="1"/>
      <c r="BA185" s="1"/>
      <c r="BB185" s="1"/>
      <c r="BC185" s="1">
        <v>889669.69147681643</v>
      </c>
      <c r="BD185" s="1"/>
      <c r="BE185" s="1"/>
      <c r="BF185" s="1"/>
      <c r="BG185" s="1"/>
      <c r="BH185" s="1"/>
      <c r="BI185" s="4">
        <v>8727141.6726665031</v>
      </c>
      <c r="BJ185" s="2">
        <v>849955.3135341414</v>
      </c>
      <c r="BK185" s="2"/>
      <c r="BL185" s="2"/>
      <c r="BM185" s="2"/>
      <c r="BN185" s="2"/>
      <c r="BO185" s="2"/>
      <c r="BP185" s="2"/>
      <c r="BQ185" s="2">
        <v>669830.5427102102</v>
      </c>
      <c r="BR185" s="2"/>
      <c r="BS185" s="2"/>
      <c r="BT185" s="2"/>
      <c r="BU185" s="2"/>
      <c r="BV185" s="2"/>
      <c r="BW185" s="2"/>
      <c r="BX185" s="2"/>
      <c r="BY185" s="2"/>
      <c r="BZ185" s="1">
        <v>1845299.513038879</v>
      </c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1">
        <v>494379.94466527086</v>
      </c>
      <c r="CU185" s="2"/>
      <c r="CV185" s="2"/>
      <c r="CW185" s="2"/>
      <c r="CX185" s="1">
        <v>1575669.1595146686</v>
      </c>
      <c r="CY185" s="2"/>
      <c r="CZ185" s="2"/>
      <c r="DA185" s="2"/>
      <c r="DB185" s="2"/>
      <c r="DC185" s="2"/>
      <c r="DD185" s="2"/>
      <c r="DE185" s="1">
        <v>882131.14591030811</v>
      </c>
      <c r="DF185" s="2"/>
      <c r="DG185" s="2"/>
      <c r="DH185" s="2"/>
      <c r="DI185" s="2"/>
      <c r="DJ185" s="2"/>
      <c r="DK185" s="2"/>
      <c r="DL185" s="1">
        <v>1038500.9318294484</v>
      </c>
      <c r="DM185" s="2"/>
      <c r="DN185" s="2"/>
      <c r="DO185" s="2"/>
      <c r="DP185" s="2"/>
      <c r="DQ185" s="2"/>
      <c r="DR185" s="2"/>
      <c r="DS185" s="1">
        <v>689112.72570138669</v>
      </c>
      <c r="DT185" s="2"/>
      <c r="DU185" s="2"/>
      <c r="DV185" s="2"/>
      <c r="DW185" s="2"/>
      <c r="DX185" s="2"/>
      <c r="DY185" s="2"/>
      <c r="DZ185" s="2"/>
      <c r="EA185" s="2"/>
      <c r="EB185" s="1">
        <v>80721.763475016662</v>
      </c>
      <c r="EC185" s="2"/>
      <c r="ED185" s="2"/>
      <c r="EE185" s="1">
        <v>131197.00041159557</v>
      </c>
      <c r="EF185" s="2"/>
      <c r="EG185" s="1">
        <v>470343.63187557796</v>
      </c>
      <c r="EH185" s="2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4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1">
        <v>2864079.930842428</v>
      </c>
      <c r="LP185" s="1"/>
      <c r="LQ185" s="1"/>
      <c r="LR185" s="1"/>
      <c r="LS185" s="1"/>
      <c r="LT185" s="1"/>
      <c r="LU185" s="1">
        <v>2107885.9783272161</v>
      </c>
      <c r="LV185" s="1"/>
      <c r="LW185" s="1"/>
      <c r="LX185" s="1"/>
      <c r="LY185" s="1"/>
      <c r="LZ185" s="1"/>
      <c r="MA185" s="1"/>
      <c r="MB185" s="1"/>
      <c r="MC185" s="1"/>
      <c r="MD185" s="1"/>
      <c r="ME185" s="1"/>
    </row>
    <row r="186" spans="1:343">
      <c r="A186" s="1">
        <v>1549</v>
      </c>
      <c r="B186" s="1">
        <v>13124581.878358698</v>
      </c>
      <c r="C186" s="1">
        <v>3601515.3919208464</v>
      </c>
      <c r="D186" s="1"/>
      <c r="E186" s="1"/>
      <c r="F186" s="1"/>
      <c r="G186" s="1"/>
      <c r="H186" s="1"/>
      <c r="I186" s="1"/>
      <c r="J186" s="1"/>
      <c r="K186" s="1">
        <v>1646027.9160598263</v>
      </c>
      <c r="L186" s="1"/>
      <c r="M186" s="1"/>
      <c r="N186" s="1"/>
      <c r="O186" s="1"/>
      <c r="P186" s="1"/>
      <c r="Q186" s="1"/>
      <c r="R186" s="1"/>
      <c r="S186" s="1"/>
      <c r="T186" s="1"/>
      <c r="U186" s="1">
        <v>1717732.8591539869</v>
      </c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>
        <v>3940469.6271752114</v>
      </c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>
        <v>1326141.5156209872</v>
      </c>
      <c r="AU186" s="1"/>
      <c r="AV186" s="1"/>
      <c r="AW186" s="1"/>
      <c r="AX186" s="1"/>
      <c r="AY186" s="1"/>
      <c r="AZ186" s="1"/>
      <c r="BA186" s="1"/>
      <c r="BB186" s="1"/>
      <c r="BC186" s="1">
        <v>892694.56842783769</v>
      </c>
      <c r="BD186" s="1"/>
      <c r="BE186" s="1"/>
      <c r="BF186" s="1"/>
      <c r="BG186" s="1"/>
      <c r="BH186" s="1"/>
      <c r="BI186" s="4">
        <v>8766555.4732639343</v>
      </c>
      <c r="BJ186" s="2">
        <v>853440.13031963143</v>
      </c>
      <c r="BK186" s="2"/>
      <c r="BL186" s="2"/>
      <c r="BM186" s="2"/>
      <c r="BN186" s="2"/>
      <c r="BO186" s="2"/>
      <c r="BP186" s="2"/>
      <c r="BQ186" s="2">
        <v>671840.03433834075</v>
      </c>
      <c r="BR186" s="2"/>
      <c r="BS186" s="2"/>
      <c r="BT186" s="2"/>
      <c r="BU186" s="2"/>
      <c r="BV186" s="2"/>
      <c r="BW186" s="2"/>
      <c r="BX186" s="2"/>
      <c r="BY186" s="2"/>
      <c r="BZ186" s="1">
        <v>1858216.609630151</v>
      </c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1">
        <v>496060.83647713281</v>
      </c>
      <c r="CU186" s="2"/>
      <c r="CV186" s="2"/>
      <c r="CW186" s="2"/>
      <c r="CX186" s="1">
        <v>1581026.4346570186</v>
      </c>
      <c r="CY186" s="2"/>
      <c r="CZ186" s="2"/>
      <c r="DA186" s="2"/>
      <c r="DB186" s="2"/>
      <c r="DC186" s="2"/>
      <c r="DD186" s="2"/>
      <c r="DE186" s="1">
        <v>885130.39180640317</v>
      </c>
      <c r="DF186" s="2"/>
      <c r="DG186" s="2"/>
      <c r="DH186" s="2"/>
      <c r="DI186" s="2"/>
      <c r="DJ186" s="2"/>
      <c r="DK186" s="2"/>
      <c r="DL186" s="1">
        <v>1042031.8349976686</v>
      </c>
      <c r="DM186" s="2"/>
      <c r="DN186" s="2"/>
      <c r="DO186" s="2"/>
      <c r="DP186" s="2"/>
      <c r="DQ186" s="2"/>
      <c r="DR186" s="2"/>
      <c r="DS186" s="1">
        <v>693936.51478129637</v>
      </c>
      <c r="DT186" s="2"/>
      <c r="DU186" s="2"/>
      <c r="DV186" s="2"/>
      <c r="DW186" s="2"/>
      <c r="DX186" s="2"/>
      <c r="DY186" s="2"/>
      <c r="DZ186" s="2"/>
      <c r="EA186" s="2"/>
      <c r="EB186" s="1">
        <v>81286.815819341777</v>
      </c>
      <c r="EC186" s="2"/>
      <c r="ED186" s="2"/>
      <c r="EE186" s="1">
        <v>131643.07021299499</v>
      </c>
      <c r="EF186" s="2"/>
      <c r="EG186" s="1">
        <v>471942.80022395495</v>
      </c>
      <c r="EH186" s="2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4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1">
        <v>2873817.8026072923</v>
      </c>
      <c r="LP186" s="1"/>
      <c r="LQ186" s="1"/>
      <c r="LR186" s="1"/>
      <c r="LS186" s="1"/>
      <c r="LT186" s="1"/>
      <c r="LU186" s="1">
        <v>2115052.7906535286</v>
      </c>
      <c r="LV186" s="1"/>
      <c r="LW186" s="1"/>
      <c r="LX186" s="1"/>
      <c r="LY186" s="1"/>
      <c r="LZ186" s="1"/>
      <c r="MA186" s="1"/>
      <c r="MB186" s="1"/>
      <c r="MC186" s="1"/>
      <c r="MD186" s="1"/>
      <c r="ME186" s="1"/>
    </row>
    <row r="187" spans="1:343">
      <c r="A187" s="1">
        <v>1550</v>
      </c>
      <c r="B187" s="1">
        <v>13172905.59359785</v>
      </c>
      <c r="C187" s="1">
        <v>3613760.5442533777</v>
      </c>
      <c r="D187" s="1"/>
      <c r="E187" s="1"/>
      <c r="F187" s="1"/>
      <c r="G187" s="1"/>
      <c r="H187" s="1"/>
      <c r="I187" s="1"/>
      <c r="J187" s="1"/>
      <c r="K187" s="1">
        <v>1653435.0416820955</v>
      </c>
      <c r="L187" s="1"/>
      <c r="M187" s="1"/>
      <c r="N187" s="1"/>
      <c r="O187" s="1"/>
      <c r="P187" s="1"/>
      <c r="Q187" s="1"/>
      <c r="R187" s="1"/>
      <c r="S187" s="1"/>
      <c r="T187" s="1"/>
      <c r="U187" s="1">
        <v>1725462.6570201798</v>
      </c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>
        <v>3953867.2239076076</v>
      </c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>
        <v>1330650.3967740985</v>
      </c>
      <c r="AU187" s="1"/>
      <c r="AV187" s="1"/>
      <c r="AW187" s="1"/>
      <c r="AX187" s="1"/>
      <c r="AY187" s="1"/>
      <c r="AZ187" s="1"/>
      <c r="BA187" s="1"/>
      <c r="BB187" s="1"/>
      <c r="BC187" s="1">
        <v>895729.72996049235</v>
      </c>
      <c r="BD187" s="1"/>
      <c r="BE187" s="1"/>
      <c r="BF187" s="1"/>
      <c r="BG187" s="1"/>
      <c r="BH187" s="1"/>
      <c r="BI187" s="4">
        <v>8806170.8177353498</v>
      </c>
      <c r="BJ187" s="2">
        <v>856939.23485394195</v>
      </c>
      <c r="BK187" s="2"/>
      <c r="BL187" s="2"/>
      <c r="BM187" s="2"/>
      <c r="BN187" s="2"/>
      <c r="BO187" s="2"/>
      <c r="BP187" s="2"/>
      <c r="BQ187" s="2">
        <v>673855.55444135575</v>
      </c>
      <c r="BR187" s="2"/>
      <c r="BS187" s="2"/>
      <c r="BT187" s="2"/>
      <c r="BU187" s="2"/>
      <c r="BV187" s="2"/>
      <c r="BW187" s="2"/>
      <c r="BX187" s="2"/>
      <c r="BY187" s="2"/>
      <c r="BZ187" s="1">
        <v>1871224.1258975619</v>
      </c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1">
        <v>497747.44332115509</v>
      </c>
      <c r="CU187" s="2"/>
      <c r="CV187" s="2"/>
      <c r="CW187" s="2"/>
      <c r="CX187" s="1">
        <v>1586401.9245348526</v>
      </c>
      <c r="CY187" s="2"/>
      <c r="CZ187" s="2"/>
      <c r="DA187" s="2"/>
      <c r="DB187" s="2"/>
      <c r="DC187" s="2"/>
      <c r="DD187" s="2"/>
      <c r="DE187" s="1">
        <v>888139.83513854502</v>
      </c>
      <c r="DF187" s="2"/>
      <c r="DG187" s="2"/>
      <c r="DH187" s="2"/>
      <c r="DI187" s="2"/>
      <c r="DJ187" s="2"/>
      <c r="DK187" s="2"/>
      <c r="DL187" s="1">
        <v>1045574.7432366607</v>
      </c>
      <c r="DM187" s="2"/>
      <c r="DN187" s="2"/>
      <c r="DO187" s="2"/>
      <c r="DP187" s="2"/>
      <c r="DQ187" s="2"/>
      <c r="DR187" s="2"/>
      <c r="DS187" s="1">
        <v>698794.07038476539</v>
      </c>
      <c r="DT187" s="2"/>
      <c r="DU187" s="2"/>
      <c r="DV187" s="2"/>
      <c r="DW187" s="2"/>
      <c r="DX187" s="2"/>
      <c r="DY187" s="2"/>
      <c r="DZ187" s="2"/>
      <c r="EA187" s="2"/>
      <c r="EB187" s="1">
        <v>81855.823530077163</v>
      </c>
      <c r="EC187" s="2"/>
      <c r="ED187" s="2"/>
      <c r="EE187" s="1">
        <v>132090.65665171918</v>
      </c>
      <c r="EF187" s="2"/>
      <c r="EG187" s="1">
        <v>473547.40574471641</v>
      </c>
      <c r="EH187" s="2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4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1">
        <v>2883588.7831361573</v>
      </c>
      <c r="LP187" s="1"/>
      <c r="LQ187" s="1"/>
      <c r="LR187" s="1"/>
      <c r="LS187" s="1"/>
      <c r="LT187" s="1"/>
      <c r="LU187" s="1">
        <v>2122243.9701417508</v>
      </c>
      <c r="LV187" s="1"/>
      <c r="LW187" s="1"/>
      <c r="LX187" s="1"/>
      <c r="LY187" s="1"/>
      <c r="LZ187" s="1"/>
      <c r="MA187" s="1"/>
      <c r="MB187" s="1"/>
      <c r="MC187" s="1"/>
      <c r="MD187" s="1"/>
      <c r="ME187" s="1"/>
    </row>
    <row r="188" spans="1:343">
      <c r="A188" s="1">
        <v>1551</v>
      </c>
      <c r="B188" s="1">
        <v>13221410.260084657</v>
      </c>
      <c r="C188" s="1">
        <v>3626047.3301038393</v>
      </c>
      <c r="D188" s="1"/>
      <c r="E188" s="1"/>
      <c r="F188" s="1"/>
      <c r="G188" s="1"/>
      <c r="H188" s="1"/>
      <c r="I188" s="1"/>
      <c r="J188" s="1"/>
      <c r="K188" s="1">
        <v>1660875.4993696648</v>
      </c>
      <c r="L188" s="1"/>
      <c r="M188" s="1"/>
      <c r="N188" s="1"/>
      <c r="O188" s="1"/>
      <c r="P188" s="1"/>
      <c r="Q188" s="1"/>
      <c r="R188" s="1"/>
      <c r="S188" s="1"/>
      <c r="T188" s="1"/>
      <c r="U188" s="1">
        <v>1733227.2389767705</v>
      </c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>
        <v>3967310.3724688939</v>
      </c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>
        <v>1335174.6081231306</v>
      </c>
      <c r="AU188" s="1"/>
      <c r="AV188" s="1"/>
      <c r="AW188" s="1"/>
      <c r="AX188" s="1"/>
      <c r="AY188" s="1"/>
      <c r="AZ188" s="1"/>
      <c r="BA188" s="1"/>
      <c r="BB188" s="1"/>
      <c r="BC188" s="1">
        <v>898775.21104235807</v>
      </c>
      <c r="BD188" s="1"/>
      <c r="BE188" s="1"/>
      <c r="BF188" s="1"/>
      <c r="BG188" s="1"/>
      <c r="BH188" s="1"/>
      <c r="BI188" s="4">
        <v>8845988.8602295965</v>
      </c>
      <c r="BJ188" s="2">
        <v>860452.68571684312</v>
      </c>
      <c r="BK188" s="2"/>
      <c r="BL188" s="2"/>
      <c r="BM188" s="2"/>
      <c r="BN188" s="2"/>
      <c r="BO188" s="2"/>
      <c r="BP188" s="2"/>
      <c r="BQ188" s="2">
        <v>675877.12110467977</v>
      </c>
      <c r="BR188" s="2"/>
      <c r="BS188" s="2"/>
      <c r="BT188" s="2"/>
      <c r="BU188" s="2"/>
      <c r="BV188" s="2"/>
      <c r="BW188" s="2"/>
      <c r="BX188" s="2"/>
      <c r="BY188" s="2"/>
      <c r="BZ188" s="1">
        <v>1884322.6947788447</v>
      </c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1">
        <v>499439.78462844703</v>
      </c>
      <c r="CU188" s="2"/>
      <c r="CV188" s="2"/>
      <c r="CW188" s="2"/>
      <c r="CX188" s="1">
        <v>1591795.6910782713</v>
      </c>
      <c r="CY188" s="2"/>
      <c r="CZ188" s="2"/>
      <c r="DA188" s="2"/>
      <c r="DB188" s="2"/>
      <c r="DC188" s="2"/>
      <c r="DD188" s="2"/>
      <c r="DE188" s="1">
        <v>891159.51057801617</v>
      </c>
      <c r="DF188" s="2"/>
      <c r="DG188" s="2"/>
      <c r="DH188" s="2"/>
      <c r="DI188" s="2"/>
      <c r="DJ188" s="2"/>
      <c r="DK188" s="2"/>
      <c r="DL188" s="1">
        <v>1049129.6973636653</v>
      </c>
      <c r="DM188" s="2"/>
      <c r="DN188" s="2"/>
      <c r="DO188" s="2"/>
      <c r="DP188" s="2"/>
      <c r="DQ188" s="2"/>
      <c r="DR188" s="2"/>
      <c r="DS188" s="1">
        <v>703685.62887745863</v>
      </c>
      <c r="DT188" s="2"/>
      <c r="DU188" s="2"/>
      <c r="DV188" s="2"/>
      <c r="DW188" s="2"/>
      <c r="DX188" s="2"/>
      <c r="DY188" s="2"/>
      <c r="DZ188" s="2"/>
      <c r="EA188" s="2"/>
      <c r="EB188" s="1">
        <v>82428.814294787691</v>
      </c>
      <c r="EC188" s="2"/>
      <c r="ED188" s="2"/>
      <c r="EE188" s="1">
        <v>132539.76488433505</v>
      </c>
      <c r="EF188" s="2"/>
      <c r="EG188" s="1">
        <v>475157.4669242485</v>
      </c>
      <c r="EH188" s="2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4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1">
        <v>2893392.9849988203</v>
      </c>
      <c r="LP188" s="1"/>
      <c r="LQ188" s="1"/>
      <c r="LR188" s="1"/>
      <c r="LS188" s="1"/>
      <c r="LT188" s="1"/>
      <c r="LU188" s="1">
        <v>2129459.599640233</v>
      </c>
      <c r="LV188" s="1"/>
      <c r="LW188" s="1"/>
      <c r="LX188" s="1"/>
      <c r="LY188" s="1"/>
      <c r="LZ188" s="1"/>
      <c r="MA188" s="1"/>
      <c r="MB188" s="1"/>
      <c r="MC188" s="1"/>
      <c r="MD188" s="1"/>
      <c r="ME188" s="1"/>
    </row>
    <row r="189" spans="1:343">
      <c r="A189" s="1">
        <v>1552</v>
      </c>
      <c r="B189" s="1">
        <v>13270096.567981128</v>
      </c>
      <c r="C189" s="1">
        <v>3638375.8910261928</v>
      </c>
      <c r="D189" s="1"/>
      <c r="E189" s="1"/>
      <c r="F189" s="1"/>
      <c r="G189" s="1"/>
      <c r="H189" s="1"/>
      <c r="I189" s="1"/>
      <c r="J189" s="1"/>
      <c r="K189" s="1">
        <v>1668349.4391168281</v>
      </c>
      <c r="L189" s="1"/>
      <c r="M189" s="1"/>
      <c r="N189" s="1"/>
      <c r="O189" s="1"/>
      <c r="P189" s="1"/>
      <c r="Q189" s="1"/>
      <c r="R189" s="1"/>
      <c r="S189" s="1"/>
      <c r="T189" s="1"/>
      <c r="U189" s="1">
        <v>1741026.761552166</v>
      </c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>
        <v>3980799.2277352884</v>
      </c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>
        <v>1339714.2017907493</v>
      </c>
      <c r="AU189" s="1"/>
      <c r="AV189" s="1"/>
      <c r="AW189" s="1"/>
      <c r="AX189" s="1"/>
      <c r="AY189" s="1"/>
      <c r="AZ189" s="1"/>
      <c r="BA189" s="1"/>
      <c r="BB189" s="1"/>
      <c r="BC189" s="1">
        <v>901831.04675990215</v>
      </c>
      <c r="BD189" s="1"/>
      <c r="BE189" s="1"/>
      <c r="BF189" s="1"/>
      <c r="BG189" s="1"/>
      <c r="BH189" s="1"/>
      <c r="BI189" s="4">
        <v>8886010.7620825637</v>
      </c>
      <c r="BJ189" s="2">
        <v>863980.54172828211</v>
      </c>
      <c r="BK189" s="2"/>
      <c r="BL189" s="2"/>
      <c r="BM189" s="2"/>
      <c r="BN189" s="2"/>
      <c r="BO189" s="2"/>
      <c r="BP189" s="2"/>
      <c r="BQ189" s="2">
        <v>677904.75246799376</v>
      </c>
      <c r="BR189" s="2"/>
      <c r="BS189" s="2"/>
      <c r="BT189" s="2"/>
      <c r="BU189" s="2"/>
      <c r="BV189" s="2"/>
      <c r="BW189" s="2"/>
      <c r="BX189" s="2"/>
      <c r="BY189" s="2"/>
      <c r="BZ189" s="1">
        <v>1897512.9536422964</v>
      </c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1">
        <v>501137.87989618379</v>
      </c>
      <c r="CU189" s="2"/>
      <c r="CV189" s="2"/>
      <c r="CW189" s="2"/>
      <c r="CX189" s="1">
        <v>1597207.7964279375</v>
      </c>
      <c r="CY189" s="2"/>
      <c r="CZ189" s="2"/>
      <c r="DA189" s="2"/>
      <c r="DB189" s="2"/>
      <c r="DC189" s="2"/>
      <c r="DD189" s="2"/>
      <c r="DE189" s="1">
        <v>894189.45291398151</v>
      </c>
      <c r="DF189" s="2"/>
      <c r="DG189" s="2"/>
      <c r="DH189" s="2"/>
      <c r="DI189" s="2"/>
      <c r="DJ189" s="2"/>
      <c r="DK189" s="2"/>
      <c r="DL189" s="1">
        <v>1052696.7383347019</v>
      </c>
      <c r="DM189" s="2"/>
      <c r="DN189" s="2"/>
      <c r="DO189" s="2"/>
      <c r="DP189" s="2"/>
      <c r="DQ189" s="2"/>
      <c r="DR189" s="2"/>
      <c r="DS189" s="1">
        <v>708611.4282796008</v>
      </c>
      <c r="DT189" s="2"/>
      <c r="DU189" s="2"/>
      <c r="DV189" s="2"/>
      <c r="DW189" s="2"/>
      <c r="DX189" s="2"/>
      <c r="DY189" s="2"/>
      <c r="DZ189" s="2"/>
      <c r="EA189" s="2"/>
      <c r="EB189" s="1">
        <v>83005.815994851189</v>
      </c>
      <c r="EC189" s="2"/>
      <c r="ED189" s="2"/>
      <c r="EE189" s="1">
        <v>132990.40008494179</v>
      </c>
      <c r="EF189" s="2"/>
      <c r="EG189" s="1">
        <v>476773.002311791</v>
      </c>
      <c r="EH189" s="2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4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1">
        <v>2903230.5211478164</v>
      </c>
      <c r="LP189" s="1"/>
      <c r="LQ189" s="1"/>
      <c r="LR189" s="1"/>
      <c r="LS189" s="1"/>
      <c r="LT189" s="1"/>
      <c r="LU189" s="1">
        <v>2136699.7622790099</v>
      </c>
      <c r="LV189" s="1"/>
      <c r="LW189" s="1"/>
      <c r="LX189" s="1"/>
      <c r="LY189" s="1"/>
      <c r="LZ189" s="1"/>
      <c r="MA189" s="1"/>
      <c r="MB189" s="1"/>
      <c r="MC189" s="1"/>
      <c r="MD189" s="1"/>
      <c r="ME189" s="1"/>
    </row>
    <row r="190" spans="1:343">
      <c r="A190" s="1">
        <v>1553</v>
      </c>
      <c r="B190" s="1">
        <v>13318965.210133001</v>
      </c>
      <c r="C190" s="1">
        <v>3650746.3690556823</v>
      </c>
      <c r="D190" s="1"/>
      <c r="E190" s="1"/>
      <c r="F190" s="1"/>
      <c r="G190" s="1"/>
      <c r="H190" s="1"/>
      <c r="I190" s="1"/>
      <c r="J190" s="1"/>
      <c r="K190" s="1">
        <v>1675857.0115928538</v>
      </c>
      <c r="L190" s="1"/>
      <c r="M190" s="1"/>
      <c r="N190" s="1"/>
      <c r="O190" s="1"/>
      <c r="P190" s="1"/>
      <c r="Q190" s="1"/>
      <c r="R190" s="1"/>
      <c r="S190" s="1"/>
      <c r="T190" s="1"/>
      <c r="U190" s="1">
        <v>1748861.3819791507</v>
      </c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>
        <v>3994333.9451095886</v>
      </c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>
        <v>1344269.2300768381</v>
      </c>
      <c r="AU190" s="1"/>
      <c r="AV190" s="1"/>
      <c r="AW190" s="1"/>
      <c r="AX190" s="1"/>
      <c r="AY190" s="1"/>
      <c r="AZ190" s="1"/>
      <c r="BA190" s="1"/>
      <c r="BB190" s="1"/>
      <c r="BC190" s="1">
        <v>904897.27231888589</v>
      </c>
      <c r="BD190" s="1"/>
      <c r="BE190" s="1"/>
      <c r="BF190" s="1"/>
      <c r="BG190" s="1"/>
      <c r="BH190" s="1"/>
      <c r="BI190" s="4">
        <v>8926237.6918643638</v>
      </c>
      <c r="BJ190" s="2">
        <v>867522.86194936803</v>
      </c>
      <c r="BK190" s="2"/>
      <c r="BL190" s="2"/>
      <c r="BM190" s="2"/>
      <c r="BN190" s="2"/>
      <c r="BO190" s="2"/>
      <c r="BP190" s="2"/>
      <c r="BQ190" s="2">
        <v>679938.46672539762</v>
      </c>
      <c r="BR190" s="2"/>
      <c r="BS190" s="2"/>
      <c r="BT190" s="2"/>
      <c r="BU190" s="2"/>
      <c r="BV190" s="2"/>
      <c r="BW190" s="2"/>
      <c r="BX190" s="2"/>
      <c r="BY190" s="2"/>
      <c r="BZ190" s="1">
        <v>1910795.5443177922</v>
      </c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1">
        <v>502841.74868783087</v>
      </c>
      <c r="CU190" s="2"/>
      <c r="CV190" s="2"/>
      <c r="CW190" s="2"/>
      <c r="CX190" s="1">
        <v>1602638.3029357926</v>
      </c>
      <c r="CY190" s="2"/>
      <c r="CZ190" s="2"/>
      <c r="DA190" s="2"/>
      <c r="DB190" s="2"/>
      <c r="DC190" s="2"/>
      <c r="DD190" s="2"/>
      <c r="DE190" s="1">
        <v>897229.69705388916</v>
      </c>
      <c r="DF190" s="2"/>
      <c r="DG190" s="2"/>
      <c r="DH190" s="2"/>
      <c r="DI190" s="2"/>
      <c r="DJ190" s="2"/>
      <c r="DK190" s="2"/>
      <c r="DL190" s="1">
        <v>1056275.9072450399</v>
      </c>
      <c r="DM190" s="2"/>
      <c r="DN190" s="2"/>
      <c r="DO190" s="2"/>
      <c r="DP190" s="2"/>
      <c r="DQ190" s="2"/>
      <c r="DR190" s="2"/>
      <c r="DS190" s="1">
        <v>713571.70827755798</v>
      </c>
      <c r="DT190" s="2"/>
      <c r="DU190" s="2"/>
      <c r="DV190" s="2"/>
      <c r="DW190" s="2"/>
      <c r="DX190" s="2"/>
      <c r="DY190" s="2"/>
      <c r="DZ190" s="2"/>
      <c r="EA190" s="2"/>
      <c r="EB190" s="1">
        <v>83586.856706815146</v>
      </c>
      <c r="EC190" s="2"/>
      <c r="ED190" s="2"/>
      <c r="EE190" s="1">
        <v>133442.56744523061</v>
      </c>
      <c r="EF190" s="2"/>
      <c r="EG190" s="1">
        <v>478394.03051965113</v>
      </c>
      <c r="EH190" s="2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4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1">
        <v>2913101.5049197194</v>
      </c>
      <c r="LP190" s="1"/>
      <c r="LQ190" s="1"/>
      <c r="LR190" s="1"/>
      <c r="LS190" s="1"/>
      <c r="LT190" s="1"/>
      <c r="LU190" s="1">
        <v>2143964.5414707586</v>
      </c>
      <c r="LV190" s="1"/>
      <c r="LW190" s="1"/>
      <c r="LX190" s="1"/>
      <c r="LY190" s="1"/>
      <c r="LZ190" s="1"/>
      <c r="MA190" s="1"/>
      <c r="MB190" s="1"/>
      <c r="MC190" s="1"/>
      <c r="MD190" s="1"/>
      <c r="ME190" s="1"/>
    </row>
    <row r="191" spans="1:343">
      <c r="A191" s="1">
        <v>1554</v>
      </c>
      <c r="B191" s="1">
        <v>13368016.882080384</v>
      </c>
      <c r="C191" s="1">
        <v>3663158.906710472</v>
      </c>
      <c r="D191" s="1"/>
      <c r="E191" s="1"/>
      <c r="F191" s="1"/>
      <c r="G191" s="1"/>
      <c r="H191" s="1"/>
      <c r="I191" s="1"/>
      <c r="J191" s="1"/>
      <c r="K191" s="1">
        <v>1683398.3681450216</v>
      </c>
      <c r="L191" s="1"/>
      <c r="M191" s="1"/>
      <c r="N191" s="1"/>
      <c r="O191" s="1"/>
      <c r="P191" s="1"/>
      <c r="Q191" s="1"/>
      <c r="R191" s="1"/>
      <c r="S191" s="1"/>
      <c r="T191" s="1"/>
      <c r="U191" s="1">
        <v>1756731.2581980568</v>
      </c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>
        <v>4007914.6805229615</v>
      </c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>
        <v>1348839.7454590993</v>
      </c>
      <c r="AU191" s="1"/>
      <c r="AV191" s="1"/>
      <c r="AW191" s="1"/>
      <c r="AX191" s="1"/>
      <c r="AY191" s="1"/>
      <c r="AZ191" s="1"/>
      <c r="BA191" s="1"/>
      <c r="BB191" s="1"/>
      <c r="BC191" s="1">
        <v>907973.92304477014</v>
      </c>
      <c r="BD191" s="1"/>
      <c r="BE191" s="1"/>
      <c r="BF191" s="1"/>
      <c r="BG191" s="1"/>
      <c r="BH191" s="1"/>
      <c r="BI191" s="4">
        <v>8966670.8254268654</v>
      </c>
      <c r="BJ191" s="2">
        <v>871079.70568336046</v>
      </c>
      <c r="BK191" s="2"/>
      <c r="BL191" s="2"/>
      <c r="BM191" s="2"/>
      <c r="BN191" s="2"/>
      <c r="BO191" s="2"/>
      <c r="BP191" s="2"/>
      <c r="BQ191" s="2">
        <v>681978.28212557372</v>
      </c>
      <c r="BR191" s="2"/>
      <c r="BS191" s="2"/>
      <c r="BT191" s="2"/>
      <c r="BU191" s="2"/>
      <c r="BV191" s="2"/>
      <c r="BW191" s="2"/>
      <c r="BX191" s="2"/>
      <c r="BY191" s="2"/>
      <c r="BZ191" s="1">
        <v>1924171.1131280165</v>
      </c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1">
        <v>504551.41063336952</v>
      </c>
      <c r="CU191" s="2"/>
      <c r="CV191" s="2"/>
      <c r="CW191" s="2"/>
      <c r="CX191" s="1">
        <v>1608087.2731657743</v>
      </c>
      <c r="CY191" s="2"/>
      <c r="CZ191" s="2"/>
      <c r="DA191" s="2"/>
      <c r="DB191" s="2"/>
      <c r="DC191" s="2"/>
      <c r="DD191" s="2"/>
      <c r="DE191" s="1">
        <v>900280.27802387241</v>
      </c>
      <c r="DF191" s="2"/>
      <c r="DG191" s="2"/>
      <c r="DH191" s="2"/>
      <c r="DI191" s="2"/>
      <c r="DJ191" s="2"/>
      <c r="DK191" s="2"/>
      <c r="DL191" s="1">
        <v>1059867.2453296732</v>
      </c>
      <c r="DM191" s="2"/>
      <c r="DN191" s="2"/>
      <c r="DO191" s="2"/>
      <c r="DP191" s="2"/>
      <c r="DQ191" s="2"/>
      <c r="DR191" s="2"/>
      <c r="DS191" s="1">
        <v>718566.71023550082</v>
      </c>
      <c r="DT191" s="2"/>
      <c r="DU191" s="2"/>
      <c r="DV191" s="2"/>
      <c r="DW191" s="2"/>
      <c r="DX191" s="2"/>
      <c r="DY191" s="2"/>
      <c r="DZ191" s="2"/>
      <c r="EA191" s="2"/>
      <c r="EB191" s="1">
        <v>84171.964703762846</v>
      </c>
      <c r="EC191" s="2"/>
      <c r="ED191" s="2"/>
      <c r="EE191" s="1">
        <v>133896.2721745444</v>
      </c>
      <c r="EF191" s="2"/>
      <c r="EG191" s="1">
        <v>480020.57022341801</v>
      </c>
      <c r="EH191" s="2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4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1">
        <v>2923006.0500364467</v>
      </c>
      <c r="LP191" s="1"/>
      <c r="LQ191" s="1"/>
      <c r="LR191" s="1"/>
      <c r="LS191" s="1"/>
      <c r="LT191" s="1"/>
      <c r="LU191" s="1">
        <v>2151254.0209117592</v>
      </c>
      <c r="LV191" s="1"/>
      <c r="LW191" s="1"/>
      <c r="LX191" s="1"/>
      <c r="LY191" s="1"/>
      <c r="LZ191" s="1"/>
      <c r="MA191" s="1"/>
      <c r="MB191" s="1"/>
      <c r="MC191" s="1"/>
      <c r="MD191" s="1"/>
      <c r="ME191" s="1"/>
    </row>
    <row r="192" spans="1:343">
      <c r="A192" s="1">
        <v>1555</v>
      </c>
      <c r="B192" s="1">
        <v>13417252.282068433</v>
      </c>
      <c r="C192" s="1">
        <v>3675613.6469932878</v>
      </c>
      <c r="D192" s="1"/>
      <c r="E192" s="1"/>
      <c r="F192" s="1"/>
      <c r="G192" s="1"/>
      <c r="H192" s="1"/>
      <c r="I192" s="1"/>
      <c r="J192" s="1"/>
      <c r="K192" s="1">
        <v>1690973.660801674</v>
      </c>
      <c r="L192" s="1"/>
      <c r="M192" s="1"/>
      <c r="N192" s="1"/>
      <c r="O192" s="1"/>
      <c r="P192" s="1"/>
      <c r="Q192" s="1"/>
      <c r="R192" s="1"/>
      <c r="S192" s="1"/>
      <c r="T192" s="1"/>
      <c r="U192" s="1">
        <v>1764636.5488599481</v>
      </c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>
        <v>4021541.5904367398</v>
      </c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>
        <v>1353425.8005936604</v>
      </c>
      <c r="AU192" s="1"/>
      <c r="AV192" s="1"/>
      <c r="AW192" s="1"/>
      <c r="AX192" s="1"/>
      <c r="AY192" s="1"/>
      <c r="AZ192" s="1"/>
      <c r="BA192" s="1"/>
      <c r="BB192" s="1"/>
      <c r="BC192" s="1">
        <v>911061.03438312246</v>
      </c>
      <c r="BD192" s="1"/>
      <c r="BE192" s="1"/>
      <c r="BF192" s="1"/>
      <c r="BG192" s="1"/>
      <c r="BH192" s="1"/>
      <c r="BI192" s="4">
        <v>9007311.3459514864</v>
      </c>
      <c r="BJ192" s="2">
        <v>874651.13247666229</v>
      </c>
      <c r="BK192" s="2"/>
      <c r="BL192" s="2"/>
      <c r="BM192" s="2"/>
      <c r="BN192" s="2"/>
      <c r="BO192" s="2"/>
      <c r="BP192" s="2"/>
      <c r="BQ192" s="2">
        <v>684024.21697195037</v>
      </c>
      <c r="BR192" s="2"/>
      <c r="BS192" s="2"/>
      <c r="BT192" s="2"/>
      <c r="BU192" s="2"/>
      <c r="BV192" s="2"/>
      <c r="BW192" s="2"/>
      <c r="BX192" s="2"/>
      <c r="BY192" s="2"/>
      <c r="BZ192" s="1">
        <v>1937640.3109199123</v>
      </c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1">
        <v>506266.88542952301</v>
      </c>
      <c r="CU192" s="2"/>
      <c r="CV192" s="2"/>
      <c r="CW192" s="2"/>
      <c r="CX192" s="1">
        <v>1613554.769894538</v>
      </c>
      <c r="CY192" s="2"/>
      <c r="CZ192" s="2"/>
      <c r="DA192" s="2"/>
      <c r="DB192" s="2"/>
      <c r="DC192" s="2"/>
      <c r="DD192" s="2"/>
      <c r="DE192" s="1">
        <v>903341.23096915369</v>
      </c>
      <c r="DF192" s="2"/>
      <c r="DG192" s="2"/>
      <c r="DH192" s="2"/>
      <c r="DI192" s="2"/>
      <c r="DJ192" s="2"/>
      <c r="DK192" s="2"/>
      <c r="DL192" s="1">
        <v>1063470.7939637941</v>
      </c>
      <c r="DM192" s="2"/>
      <c r="DN192" s="2"/>
      <c r="DO192" s="2"/>
      <c r="DP192" s="2"/>
      <c r="DQ192" s="2"/>
      <c r="DR192" s="2"/>
      <c r="DS192" s="1">
        <v>723596.67720714922</v>
      </c>
      <c r="DT192" s="2"/>
      <c r="DU192" s="2"/>
      <c r="DV192" s="2"/>
      <c r="DW192" s="2"/>
      <c r="DX192" s="2"/>
      <c r="DY192" s="2"/>
      <c r="DZ192" s="2"/>
      <c r="EA192" s="2"/>
      <c r="EB192" s="1">
        <v>84761.168456689178</v>
      </c>
      <c r="EC192" s="2"/>
      <c r="ED192" s="2"/>
      <c r="EE192" s="1">
        <v>134351.51949993786</v>
      </c>
      <c r="EF192" s="2"/>
      <c r="EG192" s="1">
        <v>481652.64016217767</v>
      </c>
      <c r="EH192" s="2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4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1">
        <v>2932944.2706065709</v>
      </c>
      <c r="LP192" s="1"/>
      <c r="LQ192" s="1"/>
      <c r="LR192" s="1"/>
      <c r="LS192" s="1"/>
      <c r="LT192" s="1"/>
      <c r="LU192" s="1">
        <v>2158568.2845828594</v>
      </c>
      <c r="LV192" s="1"/>
      <c r="LW192" s="1"/>
      <c r="LX192" s="1"/>
      <c r="LY192" s="1"/>
      <c r="LZ192" s="1"/>
      <c r="MA192" s="1"/>
      <c r="MB192" s="1"/>
      <c r="MC192" s="1"/>
      <c r="MD192" s="1"/>
      <c r="ME192" s="1"/>
    </row>
    <row r="193" spans="1:343">
      <c r="A193" s="1">
        <v>1556</v>
      </c>
      <c r="B193" s="1">
        <v>13466672.111058094</v>
      </c>
      <c r="C193" s="1">
        <v>3688110.7333930652</v>
      </c>
      <c r="D193" s="1"/>
      <c r="E193" s="1"/>
      <c r="F193" s="1"/>
      <c r="G193" s="1"/>
      <c r="H193" s="1"/>
      <c r="I193" s="1"/>
      <c r="J193" s="1"/>
      <c r="K193" s="1">
        <v>1698583.0422752814</v>
      </c>
      <c r="L193" s="1"/>
      <c r="M193" s="1"/>
      <c r="N193" s="1"/>
      <c r="O193" s="1"/>
      <c r="P193" s="1"/>
      <c r="Q193" s="1"/>
      <c r="R193" s="1"/>
      <c r="S193" s="1"/>
      <c r="T193" s="1"/>
      <c r="U193" s="1">
        <v>1772577.4133298178</v>
      </c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>
        <v>4035214.8318442251</v>
      </c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>
        <v>1358027.4483156791</v>
      </c>
      <c r="AU193" s="1"/>
      <c r="AV193" s="1"/>
      <c r="AW193" s="1"/>
      <c r="AX193" s="1"/>
      <c r="AY193" s="1"/>
      <c r="AZ193" s="1"/>
      <c r="BA193" s="1"/>
      <c r="BB193" s="1"/>
      <c r="BC193" s="1">
        <v>914158.64190002519</v>
      </c>
      <c r="BD193" s="1"/>
      <c r="BE193" s="1"/>
      <c r="BF193" s="1"/>
      <c r="BG193" s="1"/>
      <c r="BH193" s="1"/>
      <c r="BI193" s="4">
        <v>9048160.4439973701</v>
      </c>
      <c r="BJ193" s="2">
        <v>878237.20211981656</v>
      </c>
      <c r="BK193" s="2"/>
      <c r="BL193" s="2"/>
      <c r="BM193" s="2"/>
      <c r="BN193" s="2"/>
      <c r="BO193" s="2"/>
      <c r="BP193" s="2"/>
      <c r="BQ193" s="2">
        <v>686076.2896228662</v>
      </c>
      <c r="BR193" s="2"/>
      <c r="BS193" s="2"/>
      <c r="BT193" s="2"/>
      <c r="BU193" s="2"/>
      <c r="BV193" s="2"/>
      <c r="BW193" s="2"/>
      <c r="BX193" s="2"/>
      <c r="BY193" s="2"/>
      <c r="BZ193" s="1">
        <v>1951203.7930963514</v>
      </c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1">
        <v>507988.19283998344</v>
      </c>
      <c r="CU193" s="2"/>
      <c r="CV193" s="2"/>
      <c r="CW193" s="2"/>
      <c r="CX193" s="1">
        <v>1619040.8561121796</v>
      </c>
      <c r="CY193" s="2"/>
      <c r="CZ193" s="2"/>
      <c r="DA193" s="2"/>
      <c r="DB193" s="2"/>
      <c r="DC193" s="2"/>
      <c r="DD193" s="2"/>
      <c r="DE193" s="1">
        <v>906412.59115444892</v>
      </c>
      <c r="DF193" s="2"/>
      <c r="DG193" s="2"/>
      <c r="DH193" s="2"/>
      <c r="DI193" s="2"/>
      <c r="DJ193" s="2"/>
      <c r="DK193" s="2"/>
      <c r="DL193" s="1">
        <v>1067086.5946632712</v>
      </c>
      <c r="DM193" s="2"/>
      <c r="DN193" s="2"/>
      <c r="DO193" s="2"/>
      <c r="DP193" s="2"/>
      <c r="DQ193" s="2"/>
      <c r="DR193" s="2"/>
      <c r="DS193" s="1">
        <v>728661.85394759919</v>
      </c>
      <c r="DT193" s="2"/>
      <c r="DU193" s="2"/>
      <c r="DV193" s="2"/>
      <c r="DW193" s="2"/>
      <c r="DX193" s="2"/>
      <c r="DY193" s="2"/>
      <c r="DZ193" s="2"/>
      <c r="EA193" s="2"/>
      <c r="EB193" s="1">
        <v>85354.496635885997</v>
      </c>
      <c r="EC193" s="2"/>
      <c r="ED193" s="2"/>
      <c r="EE193" s="1">
        <v>134808.31466623765</v>
      </c>
      <c r="EF193" s="2"/>
      <c r="EG193" s="1">
        <v>483290.25913872913</v>
      </c>
      <c r="EH193" s="2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4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1">
        <v>2942916.2811266333</v>
      </c>
      <c r="LP193" s="1"/>
      <c r="LQ193" s="1"/>
      <c r="LR193" s="1"/>
      <c r="LS193" s="1"/>
      <c r="LT193" s="1"/>
      <c r="LU193" s="1">
        <v>2165907.4167504413</v>
      </c>
      <c r="LV193" s="1"/>
      <c r="LW193" s="1"/>
      <c r="LX193" s="1"/>
      <c r="LY193" s="1"/>
      <c r="LZ193" s="1"/>
      <c r="MA193" s="1"/>
      <c r="MB193" s="1"/>
      <c r="MC193" s="1"/>
      <c r="MD193" s="1"/>
      <c r="ME193" s="1"/>
    </row>
    <row r="194" spans="1:343">
      <c r="A194" s="1">
        <v>1557</v>
      </c>
      <c r="B194" s="1">
        <v>13516277.072736856</v>
      </c>
      <c r="C194" s="1">
        <v>3700650.3098866018</v>
      </c>
      <c r="D194" s="1"/>
      <c r="E194" s="1"/>
      <c r="F194" s="1"/>
      <c r="G194" s="1"/>
      <c r="H194" s="1"/>
      <c r="I194" s="1"/>
      <c r="J194" s="1"/>
      <c r="K194" s="1">
        <v>1706226.6659655201</v>
      </c>
      <c r="L194" s="1"/>
      <c r="M194" s="1"/>
      <c r="N194" s="1"/>
      <c r="O194" s="1"/>
      <c r="P194" s="1"/>
      <c r="Q194" s="1"/>
      <c r="R194" s="1"/>
      <c r="S194" s="1"/>
      <c r="T194" s="1"/>
      <c r="U194" s="1">
        <v>1780554.0116898019</v>
      </c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>
        <v>4048934.5622724956</v>
      </c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>
        <v>1362644.7416399524</v>
      </c>
      <c r="AU194" s="1"/>
      <c r="AV194" s="1"/>
      <c r="AW194" s="1"/>
      <c r="AX194" s="1"/>
      <c r="AY194" s="1"/>
      <c r="AZ194" s="1"/>
      <c r="BA194" s="1"/>
      <c r="BB194" s="1"/>
      <c r="BC194" s="1">
        <v>917266.78128248535</v>
      </c>
      <c r="BD194" s="1"/>
      <c r="BE194" s="1"/>
      <c r="BF194" s="1"/>
      <c r="BG194" s="1"/>
      <c r="BH194" s="1"/>
      <c r="BI194" s="4">
        <v>9089219.3175498415</v>
      </c>
      <c r="BJ194" s="2">
        <v>881837.97464850778</v>
      </c>
      <c r="BK194" s="2"/>
      <c r="BL194" s="2"/>
      <c r="BM194" s="2"/>
      <c r="BN194" s="2"/>
      <c r="BO194" s="2"/>
      <c r="BP194" s="2"/>
      <c r="BQ194" s="2">
        <v>688134.51849173475</v>
      </c>
      <c r="BR194" s="2"/>
      <c r="BS194" s="2"/>
      <c r="BT194" s="2"/>
      <c r="BU194" s="2"/>
      <c r="BV194" s="2"/>
      <c r="BW194" s="2"/>
      <c r="BX194" s="2"/>
      <c r="BY194" s="2"/>
      <c r="BZ194" s="1">
        <v>1964862.2196480257</v>
      </c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1">
        <v>509715.35269563942</v>
      </c>
      <c r="CU194" s="2"/>
      <c r="CV194" s="2"/>
      <c r="CW194" s="2"/>
      <c r="CX194" s="1">
        <v>1624545.595022961</v>
      </c>
      <c r="CY194" s="2"/>
      <c r="CZ194" s="2"/>
      <c r="DA194" s="2"/>
      <c r="DB194" s="2"/>
      <c r="DC194" s="2"/>
      <c r="DD194" s="2"/>
      <c r="DE194" s="1">
        <v>909494.39396437409</v>
      </c>
      <c r="DF194" s="2"/>
      <c r="DG194" s="2"/>
      <c r="DH194" s="2"/>
      <c r="DI194" s="2"/>
      <c r="DJ194" s="2"/>
      <c r="DK194" s="2"/>
      <c r="DL194" s="1">
        <v>1070714.6890851264</v>
      </c>
      <c r="DM194" s="2"/>
      <c r="DN194" s="2"/>
      <c r="DO194" s="2"/>
      <c r="DP194" s="2"/>
      <c r="DQ194" s="2"/>
      <c r="DR194" s="2"/>
      <c r="DS194" s="1">
        <v>733762.48692523234</v>
      </c>
      <c r="DT194" s="2"/>
      <c r="DU194" s="2"/>
      <c r="DV194" s="2"/>
      <c r="DW194" s="2"/>
      <c r="DX194" s="2"/>
      <c r="DY194" s="2"/>
      <c r="DZ194" s="2"/>
      <c r="EA194" s="2"/>
      <c r="EB194" s="1">
        <v>85951.978112337194</v>
      </c>
      <c r="EC194" s="2"/>
      <c r="ED194" s="2"/>
      <c r="EE194" s="1">
        <v>135266.66293610286</v>
      </c>
      <c r="EF194" s="2"/>
      <c r="EG194" s="1">
        <v>484933.44601980085</v>
      </c>
      <c r="EH194" s="2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4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1">
        <v>2952922.1964824642</v>
      </c>
      <c r="LP194" s="1"/>
      <c r="LQ194" s="1"/>
      <c r="LR194" s="1"/>
      <c r="LS194" s="1"/>
      <c r="LT194" s="1"/>
      <c r="LU194" s="1">
        <v>2173271.5019673929</v>
      </c>
      <c r="LV194" s="1"/>
      <c r="LW194" s="1"/>
      <c r="LX194" s="1"/>
      <c r="LY194" s="1"/>
      <c r="LZ194" s="1"/>
      <c r="MA194" s="1"/>
      <c r="MB194" s="1"/>
      <c r="MC194" s="1"/>
      <c r="MD194" s="1"/>
      <c r="ME194" s="1"/>
    </row>
    <row r="195" spans="1:343">
      <c r="A195" s="1">
        <v>1558</v>
      </c>
      <c r="B195" s="1">
        <v>13566067.873529585</v>
      </c>
      <c r="C195" s="1">
        <v>3713232.5209402163</v>
      </c>
      <c r="D195" s="1"/>
      <c r="E195" s="1"/>
      <c r="F195" s="1"/>
      <c r="G195" s="1"/>
      <c r="H195" s="1"/>
      <c r="I195" s="1"/>
      <c r="J195" s="1"/>
      <c r="K195" s="1">
        <v>1713904.6859623648</v>
      </c>
      <c r="L195" s="1"/>
      <c r="M195" s="1"/>
      <c r="N195" s="1"/>
      <c r="O195" s="1"/>
      <c r="P195" s="1"/>
      <c r="Q195" s="1"/>
      <c r="R195" s="1"/>
      <c r="S195" s="1"/>
      <c r="T195" s="1"/>
      <c r="U195" s="1">
        <v>1788566.5047424058</v>
      </c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>
        <v>4062700.9397842223</v>
      </c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>
        <v>1367277.7337615283</v>
      </c>
      <c r="AU195" s="1"/>
      <c r="AV195" s="1"/>
      <c r="AW195" s="1"/>
      <c r="AX195" s="1"/>
      <c r="AY195" s="1"/>
      <c r="AZ195" s="1"/>
      <c r="BA195" s="1"/>
      <c r="BB195" s="1"/>
      <c r="BC195" s="1">
        <v>920385.4883388459</v>
      </c>
      <c r="BD195" s="1"/>
      <c r="BE195" s="1"/>
      <c r="BF195" s="1"/>
      <c r="BG195" s="1"/>
      <c r="BH195" s="1"/>
      <c r="BI195" s="4">
        <v>9130489.1720692385</v>
      </c>
      <c r="BJ195" s="2">
        <v>885453.51034456666</v>
      </c>
      <c r="BK195" s="2"/>
      <c r="BL195" s="2"/>
      <c r="BM195" s="2"/>
      <c r="BN195" s="2"/>
      <c r="BO195" s="2"/>
      <c r="BP195" s="2"/>
      <c r="BQ195" s="2">
        <v>690198.92204720993</v>
      </c>
      <c r="BR195" s="2"/>
      <c r="BS195" s="2"/>
      <c r="BT195" s="2"/>
      <c r="BU195" s="2"/>
      <c r="BV195" s="2"/>
      <c r="BW195" s="2"/>
      <c r="BX195" s="2"/>
      <c r="BY195" s="2"/>
      <c r="BZ195" s="1">
        <v>1978616.2551855617</v>
      </c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1">
        <v>511448.38489480462</v>
      </c>
      <c r="CU195" s="2"/>
      <c r="CV195" s="2"/>
      <c r="CW195" s="2"/>
      <c r="CX195" s="1">
        <v>1630069.0500460393</v>
      </c>
      <c r="CY195" s="2"/>
      <c r="CZ195" s="2"/>
      <c r="DA195" s="2"/>
      <c r="DB195" s="2"/>
      <c r="DC195" s="2"/>
      <c r="DD195" s="2"/>
      <c r="DE195" s="1">
        <v>912586.67490385298</v>
      </c>
      <c r="DF195" s="2"/>
      <c r="DG195" s="2"/>
      <c r="DH195" s="2"/>
      <c r="DI195" s="2"/>
      <c r="DJ195" s="2"/>
      <c r="DK195" s="2"/>
      <c r="DL195" s="1">
        <v>1074355.119028016</v>
      </c>
      <c r="DM195" s="2"/>
      <c r="DN195" s="2"/>
      <c r="DO195" s="2"/>
      <c r="DP195" s="2"/>
      <c r="DQ195" s="2"/>
      <c r="DR195" s="2"/>
      <c r="DS195" s="1">
        <v>738898.82433370885</v>
      </c>
      <c r="DT195" s="2"/>
      <c r="DU195" s="2"/>
      <c r="DV195" s="2"/>
      <c r="DW195" s="2"/>
      <c r="DX195" s="2"/>
      <c r="DY195" s="2"/>
      <c r="DZ195" s="2"/>
      <c r="EA195" s="2"/>
      <c r="EB195" s="1">
        <v>86553.641959123546</v>
      </c>
      <c r="EC195" s="2"/>
      <c r="ED195" s="2"/>
      <c r="EE195" s="1">
        <v>135726.56959008562</v>
      </c>
      <c r="EF195" s="2"/>
      <c r="EG195" s="1">
        <v>486582.21973626822</v>
      </c>
      <c r="EH195" s="2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4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1">
        <v>2962962.1319505046</v>
      </c>
      <c r="LP195" s="1"/>
      <c r="LQ195" s="1"/>
      <c r="LR195" s="1"/>
      <c r="LS195" s="1"/>
      <c r="LT195" s="1"/>
      <c r="LU195" s="1">
        <v>2180660.6250740821</v>
      </c>
      <c r="LV195" s="1"/>
      <c r="LW195" s="1"/>
      <c r="LX195" s="1"/>
      <c r="LY195" s="1"/>
      <c r="LZ195" s="1"/>
      <c r="MA195" s="1"/>
      <c r="MB195" s="1"/>
      <c r="MC195" s="1"/>
      <c r="MD195" s="1"/>
      <c r="ME195" s="1"/>
    </row>
    <row r="196" spans="1:343">
      <c r="A196" s="1">
        <v>1559</v>
      </c>
      <c r="B196" s="1">
        <v>13616045.22260936</v>
      </c>
      <c r="C196" s="1">
        <v>3725857.5115114134</v>
      </c>
      <c r="D196" s="1"/>
      <c r="E196" s="1"/>
      <c r="F196" s="1"/>
      <c r="G196" s="1"/>
      <c r="H196" s="1"/>
      <c r="I196" s="1"/>
      <c r="J196" s="1"/>
      <c r="K196" s="1">
        <v>1721617.2570491952</v>
      </c>
      <c r="L196" s="1"/>
      <c r="M196" s="1"/>
      <c r="N196" s="1"/>
      <c r="O196" s="1"/>
      <c r="P196" s="1"/>
      <c r="Q196" s="1"/>
      <c r="R196" s="1"/>
      <c r="S196" s="1"/>
      <c r="T196" s="1"/>
      <c r="U196" s="1">
        <v>1796615.0540137466</v>
      </c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>
        <v>4076514.1229794887</v>
      </c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>
        <v>1371926.4780563177</v>
      </c>
      <c r="AU196" s="1"/>
      <c r="AV196" s="1"/>
      <c r="AW196" s="1"/>
      <c r="AX196" s="1"/>
      <c r="AY196" s="1"/>
      <c r="AZ196" s="1"/>
      <c r="BA196" s="1"/>
      <c r="BB196" s="1"/>
      <c r="BC196" s="1">
        <v>923514.79899919801</v>
      </c>
      <c r="BD196" s="1"/>
      <c r="BE196" s="1"/>
      <c r="BF196" s="1"/>
      <c r="BG196" s="1"/>
      <c r="BH196" s="1"/>
      <c r="BI196" s="4">
        <v>9171971.2205400169</v>
      </c>
      <c r="BJ196" s="2">
        <v>889083.86973697937</v>
      </c>
      <c r="BK196" s="2"/>
      <c r="BL196" s="2"/>
      <c r="BM196" s="2"/>
      <c r="BN196" s="2"/>
      <c r="BO196" s="2"/>
      <c r="BP196" s="2"/>
      <c r="BQ196" s="2">
        <v>692269.51881335152</v>
      </c>
      <c r="BR196" s="2"/>
      <c r="BS196" s="2"/>
      <c r="BT196" s="2"/>
      <c r="BU196" s="2"/>
      <c r="BV196" s="2"/>
      <c r="BW196" s="2"/>
      <c r="BX196" s="2"/>
      <c r="BY196" s="2"/>
      <c r="BZ196" s="1">
        <v>1992466.5689718605</v>
      </c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1">
        <v>513187.30940344697</v>
      </c>
      <c r="CU196" s="2"/>
      <c r="CV196" s="2"/>
      <c r="CW196" s="2"/>
      <c r="CX196" s="1">
        <v>1635611.284816196</v>
      </c>
      <c r="CY196" s="2"/>
      <c r="CZ196" s="2"/>
      <c r="DA196" s="2"/>
      <c r="DB196" s="2"/>
      <c r="DC196" s="2"/>
      <c r="DD196" s="2"/>
      <c r="DE196" s="1">
        <v>915689.46959852614</v>
      </c>
      <c r="DF196" s="2"/>
      <c r="DG196" s="2"/>
      <c r="DH196" s="2"/>
      <c r="DI196" s="2"/>
      <c r="DJ196" s="2"/>
      <c r="DK196" s="2"/>
      <c r="DL196" s="1">
        <v>1078007.9264327113</v>
      </c>
      <c r="DM196" s="2"/>
      <c r="DN196" s="2"/>
      <c r="DO196" s="2"/>
      <c r="DP196" s="2"/>
      <c r="DQ196" s="2"/>
      <c r="DR196" s="2"/>
      <c r="DS196" s="1">
        <v>744071.11610404472</v>
      </c>
      <c r="DT196" s="2"/>
      <c r="DU196" s="2"/>
      <c r="DV196" s="2"/>
      <c r="DW196" s="2"/>
      <c r="DX196" s="2"/>
      <c r="DY196" s="2"/>
      <c r="DZ196" s="2"/>
      <c r="EA196" s="2"/>
      <c r="EB196" s="1">
        <v>87159.517452837405</v>
      </c>
      <c r="EC196" s="2"/>
      <c r="ED196" s="2"/>
      <c r="EE196" s="1">
        <v>136188.03992669191</v>
      </c>
      <c r="EF196" s="2"/>
      <c r="EG196" s="1">
        <v>488236.59928337159</v>
      </c>
      <c r="EH196" s="2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4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1">
        <v>2973036.2031991365</v>
      </c>
      <c r="LP196" s="1"/>
      <c r="LQ196" s="1"/>
      <c r="LR196" s="1"/>
      <c r="LS196" s="1"/>
      <c r="LT196" s="1"/>
      <c r="LU196" s="1">
        <v>2188074.871199334</v>
      </c>
      <c r="LV196" s="1"/>
      <c r="LW196" s="1"/>
      <c r="LX196" s="1"/>
      <c r="LY196" s="1"/>
      <c r="LZ196" s="1"/>
      <c r="MA196" s="1"/>
      <c r="MB196" s="1"/>
      <c r="MC196" s="1"/>
      <c r="MD196" s="1"/>
      <c r="ME196" s="1"/>
    </row>
    <row r="197" spans="1:343">
      <c r="A197" s="1">
        <v>1560</v>
      </c>
      <c r="B197" s="1">
        <v>13666209.831908399</v>
      </c>
      <c r="C197" s="1">
        <v>3738525.4270505523</v>
      </c>
      <c r="D197" s="1"/>
      <c r="E197" s="1"/>
      <c r="F197" s="1"/>
      <c r="G197" s="1"/>
      <c r="H197" s="1"/>
      <c r="I197" s="1"/>
      <c r="J197" s="1"/>
      <c r="K197" s="1">
        <v>1729364.5347059164</v>
      </c>
      <c r="L197" s="1"/>
      <c r="M197" s="1"/>
      <c r="N197" s="1"/>
      <c r="O197" s="1"/>
      <c r="P197" s="1"/>
      <c r="Q197" s="1"/>
      <c r="R197" s="1"/>
      <c r="S197" s="1"/>
      <c r="T197" s="1"/>
      <c r="U197" s="1">
        <v>1804699.8217568083</v>
      </c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>
        <v>4090374.2709976193</v>
      </c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>
        <v>1376591.0280817093</v>
      </c>
      <c r="AU197" s="1"/>
      <c r="AV197" s="1"/>
      <c r="AW197" s="1"/>
      <c r="AX197" s="1"/>
      <c r="AY197" s="1"/>
      <c r="AZ197" s="1"/>
      <c r="BA197" s="1"/>
      <c r="BB197" s="1"/>
      <c r="BC197" s="1">
        <v>926654.74931579537</v>
      </c>
      <c r="BD197" s="1"/>
      <c r="BE197" s="1"/>
      <c r="BF197" s="1"/>
      <c r="BG197" s="1"/>
      <c r="BH197" s="1"/>
      <c r="BI197" s="4">
        <v>9213666.6835202463</v>
      </c>
      <c r="BJ197" s="2">
        <v>892729.11360290099</v>
      </c>
      <c r="BK197" s="2"/>
      <c r="BL197" s="2"/>
      <c r="BM197" s="2"/>
      <c r="BN197" s="2"/>
      <c r="BO197" s="2"/>
      <c r="BP197" s="2"/>
      <c r="BQ197" s="2">
        <v>694346.32736979146</v>
      </c>
      <c r="BR197" s="2"/>
      <c r="BS197" s="2"/>
      <c r="BT197" s="2"/>
      <c r="BU197" s="2"/>
      <c r="BV197" s="2"/>
      <c r="BW197" s="2"/>
      <c r="BX197" s="2"/>
      <c r="BY197" s="2"/>
      <c r="BZ197" s="1">
        <v>2006413.8349546632</v>
      </c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1">
        <v>514932.14625541872</v>
      </c>
      <c r="CU197" s="2"/>
      <c r="CV197" s="2"/>
      <c r="CW197" s="2"/>
      <c r="CX197" s="1">
        <v>1641172.363184571</v>
      </c>
      <c r="CY197" s="2"/>
      <c r="CZ197" s="2"/>
      <c r="DA197" s="2"/>
      <c r="DB197" s="2"/>
      <c r="DC197" s="2"/>
      <c r="DD197" s="2"/>
      <c r="DE197" s="1">
        <v>918802.8137951612</v>
      </c>
      <c r="DF197" s="2"/>
      <c r="DG197" s="2"/>
      <c r="DH197" s="2"/>
      <c r="DI197" s="2"/>
      <c r="DJ197" s="2"/>
      <c r="DK197" s="2"/>
      <c r="DL197" s="1">
        <v>1081673.1533825826</v>
      </c>
      <c r="DM197" s="2"/>
      <c r="DN197" s="2"/>
      <c r="DO197" s="2"/>
      <c r="DP197" s="2"/>
      <c r="DQ197" s="2"/>
      <c r="DR197" s="2"/>
      <c r="DS197" s="1">
        <v>749279.613916773</v>
      </c>
      <c r="DT197" s="2"/>
      <c r="DU197" s="2"/>
      <c r="DV197" s="2"/>
      <c r="DW197" s="2"/>
      <c r="DX197" s="2"/>
      <c r="DY197" s="2"/>
      <c r="DZ197" s="2"/>
      <c r="EA197" s="2"/>
      <c r="EB197" s="1">
        <v>87769.634075007256</v>
      </c>
      <c r="EC197" s="2"/>
      <c r="ED197" s="2"/>
      <c r="EE197" s="1">
        <v>136651.07926244268</v>
      </c>
      <c r="EF197" s="2"/>
      <c r="EG197" s="1">
        <v>489896.60372093506</v>
      </c>
      <c r="EH197" s="2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4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1">
        <v>2983144.5262900139</v>
      </c>
      <c r="LP197" s="1"/>
      <c r="LQ197" s="1"/>
      <c r="LR197" s="1"/>
      <c r="LS197" s="1"/>
      <c r="LT197" s="1"/>
      <c r="LU197" s="1">
        <v>2195514.3257614118</v>
      </c>
      <c r="LV197" s="1"/>
      <c r="LW197" s="1"/>
      <c r="LX197" s="1"/>
      <c r="LY197" s="1"/>
      <c r="LZ197" s="1"/>
      <c r="MA197" s="1"/>
      <c r="MB197" s="1"/>
      <c r="MC197" s="1"/>
      <c r="MD197" s="1"/>
      <c r="ME197" s="1"/>
    </row>
    <row r="198" spans="1:343">
      <c r="A198" s="1">
        <v>1561</v>
      </c>
      <c r="B198" s="1">
        <v>13716562.416128999</v>
      </c>
      <c r="C198" s="1">
        <v>3751236.4135025246</v>
      </c>
      <c r="D198" s="1"/>
      <c r="E198" s="1"/>
      <c r="F198" s="1"/>
      <c r="G198" s="1"/>
      <c r="H198" s="1"/>
      <c r="I198" s="1"/>
      <c r="J198" s="1"/>
      <c r="K198" s="1">
        <v>1737146.6751120929</v>
      </c>
      <c r="L198" s="1"/>
      <c r="M198" s="1"/>
      <c r="N198" s="1"/>
      <c r="O198" s="1"/>
      <c r="P198" s="1"/>
      <c r="Q198" s="1"/>
      <c r="R198" s="1"/>
      <c r="S198" s="1"/>
      <c r="T198" s="1"/>
      <c r="U198" s="1">
        <v>1812820.9709547139</v>
      </c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>
        <v>4104281.5435190112</v>
      </c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>
        <v>1381271.4375771871</v>
      </c>
      <c r="AU198" s="1"/>
      <c r="AV198" s="1"/>
      <c r="AW198" s="1"/>
      <c r="AX198" s="1"/>
      <c r="AY198" s="1"/>
      <c r="AZ198" s="1"/>
      <c r="BA198" s="1"/>
      <c r="BB198" s="1"/>
      <c r="BC198" s="1">
        <v>929805.37546346919</v>
      </c>
      <c r="BD198" s="1"/>
      <c r="BE198" s="1"/>
      <c r="BF198" s="1"/>
      <c r="BG198" s="1"/>
      <c r="BH198" s="1"/>
      <c r="BI198" s="4">
        <v>9255576.7891913969</v>
      </c>
      <c r="BJ198" s="2">
        <v>896389.30296867283</v>
      </c>
      <c r="BK198" s="2"/>
      <c r="BL198" s="2"/>
      <c r="BM198" s="2"/>
      <c r="BN198" s="2"/>
      <c r="BO198" s="2"/>
      <c r="BP198" s="2"/>
      <c r="BQ198" s="2">
        <v>696429.36635190074</v>
      </c>
      <c r="BR198" s="2"/>
      <c r="BS198" s="2"/>
      <c r="BT198" s="2"/>
      <c r="BU198" s="2"/>
      <c r="BV198" s="2"/>
      <c r="BW198" s="2"/>
      <c r="BX198" s="2"/>
      <c r="BY198" s="2"/>
      <c r="BZ198" s="1">
        <v>2020458.7317993457</v>
      </c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1">
        <v>516682.91555268719</v>
      </c>
      <c r="CU198" s="2"/>
      <c r="CV198" s="2"/>
      <c r="CW198" s="2"/>
      <c r="CX198" s="1">
        <v>1646752.3492193986</v>
      </c>
      <c r="CY198" s="2"/>
      <c r="CZ198" s="2"/>
      <c r="DA198" s="2"/>
      <c r="DB198" s="2"/>
      <c r="DC198" s="2"/>
      <c r="DD198" s="2"/>
      <c r="DE198" s="1">
        <v>921926.74336206482</v>
      </c>
      <c r="DF198" s="2"/>
      <c r="DG198" s="2"/>
      <c r="DH198" s="2"/>
      <c r="DI198" s="2"/>
      <c r="DJ198" s="2"/>
      <c r="DK198" s="2"/>
      <c r="DL198" s="1">
        <v>1085350.8421040834</v>
      </c>
      <c r="DM198" s="2"/>
      <c r="DN198" s="2"/>
      <c r="DO198" s="2"/>
      <c r="DP198" s="2"/>
      <c r="DQ198" s="2"/>
      <c r="DR198" s="2"/>
      <c r="DS198" s="1">
        <v>754524.57121419034</v>
      </c>
      <c r="DT198" s="2"/>
      <c r="DU198" s="2"/>
      <c r="DV198" s="2"/>
      <c r="DW198" s="2"/>
      <c r="DX198" s="2"/>
      <c r="DY198" s="2"/>
      <c r="DZ198" s="2"/>
      <c r="EA198" s="2"/>
      <c r="EB198" s="1">
        <v>88384.021513532294</v>
      </c>
      <c r="EC198" s="2"/>
      <c r="ED198" s="2"/>
      <c r="EE198" s="1">
        <v>137115.69293193499</v>
      </c>
      <c r="EF198" s="2"/>
      <c r="EG198" s="1">
        <v>491562.25217358628</v>
      </c>
      <c r="EH198" s="2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4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1">
        <v>2993287.2176794</v>
      </c>
      <c r="LP198" s="1"/>
      <c r="LQ198" s="1"/>
      <c r="LR198" s="1"/>
      <c r="LS198" s="1"/>
      <c r="LT198" s="1"/>
      <c r="LU198" s="1">
        <v>2202979.0744690006</v>
      </c>
      <c r="LV198" s="1"/>
      <c r="LW198" s="1"/>
      <c r="LX198" s="1"/>
      <c r="LY198" s="1"/>
      <c r="LZ198" s="1"/>
      <c r="MA198" s="1"/>
      <c r="MB198" s="1"/>
      <c r="MC198" s="1"/>
      <c r="MD198" s="1"/>
      <c r="ME198" s="1"/>
    </row>
    <row r="199" spans="1:343">
      <c r="A199" s="1">
        <v>1562</v>
      </c>
      <c r="B199" s="1">
        <v>13767103.692754511</v>
      </c>
      <c r="C199" s="1">
        <v>3763990.6173084336</v>
      </c>
      <c r="D199" s="1"/>
      <c r="E199" s="1"/>
      <c r="F199" s="1"/>
      <c r="G199" s="1"/>
      <c r="H199" s="1"/>
      <c r="I199" s="1"/>
      <c r="J199" s="1"/>
      <c r="K199" s="1">
        <v>1744963.8351500973</v>
      </c>
      <c r="L199" s="1"/>
      <c r="M199" s="1"/>
      <c r="N199" s="1"/>
      <c r="O199" s="1"/>
      <c r="P199" s="1"/>
      <c r="Q199" s="1"/>
      <c r="R199" s="1"/>
      <c r="S199" s="1"/>
      <c r="T199" s="1"/>
      <c r="U199" s="1">
        <v>1820978.66532401</v>
      </c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>
        <v>4118236.1007669764</v>
      </c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>
        <v>1385967.7604649495</v>
      </c>
      <c r="AU199" s="1"/>
      <c r="AV199" s="1"/>
      <c r="AW199" s="1"/>
      <c r="AX199" s="1"/>
      <c r="AY199" s="1"/>
      <c r="AZ199" s="1"/>
      <c r="BA199" s="1"/>
      <c r="BB199" s="1"/>
      <c r="BC199" s="1">
        <v>932966.71374004509</v>
      </c>
      <c r="BD199" s="1"/>
      <c r="BE199" s="1"/>
      <c r="BF199" s="1"/>
      <c r="BG199" s="1"/>
      <c r="BH199" s="1"/>
      <c r="BI199" s="4">
        <v>9297702.7734084819</v>
      </c>
      <c r="BJ199" s="2">
        <v>900064.49911084434</v>
      </c>
      <c r="BK199" s="2"/>
      <c r="BL199" s="2"/>
      <c r="BM199" s="2"/>
      <c r="BN199" s="2"/>
      <c r="BO199" s="2"/>
      <c r="BP199" s="2"/>
      <c r="BQ199" s="2">
        <v>698518.65445095638</v>
      </c>
      <c r="BR199" s="2"/>
      <c r="BS199" s="2"/>
      <c r="BT199" s="2"/>
      <c r="BU199" s="2"/>
      <c r="BV199" s="2"/>
      <c r="BW199" s="2"/>
      <c r="BX199" s="2"/>
      <c r="BY199" s="2"/>
      <c r="BZ199" s="1">
        <v>2034601.9429219409</v>
      </c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1">
        <v>518439.63746556634</v>
      </c>
      <c r="CU199" s="2"/>
      <c r="CV199" s="2"/>
      <c r="CW199" s="2"/>
      <c r="CX199" s="1">
        <v>1652351.3072067446</v>
      </c>
      <c r="CY199" s="2"/>
      <c r="CZ199" s="2"/>
      <c r="DA199" s="2"/>
      <c r="DB199" s="2"/>
      <c r="DC199" s="2"/>
      <c r="DD199" s="2"/>
      <c r="DE199" s="1">
        <v>925061.29428949591</v>
      </c>
      <c r="DF199" s="2"/>
      <c r="DG199" s="2"/>
      <c r="DH199" s="2"/>
      <c r="DI199" s="2"/>
      <c r="DJ199" s="2"/>
      <c r="DK199" s="2"/>
      <c r="DL199" s="1">
        <v>1089041.0349672374</v>
      </c>
      <c r="DM199" s="2"/>
      <c r="DN199" s="2"/>
      <c r="DO199" s="2"/>
      <c r="DP199" s="2"/>
      <c r="DQ199" s="2"/>
      <c r="DR199" s="2"/>
      <c r="DS199" s="1">
        <v>759806.24321268965</v>
      </c>
      <c r="DT199" s="2"/>
      <c r="DU199" s="2"/>
      <c r="DV199" s="2"/>
      <c r="DW199" s="2"/>
      <c r="DX199" s="2"/>
      <c r="DY199" s="2"/>
      <c r="DZ199" s="2"/>
      <c r="EA199" s="2"/>
      <c r="EB199" s="1">
        <v>89002.709664127018</v>
      </c>
      <c r="EC199" s="2"/>
      <c r="ED199" s="2"/>
      <c r="EE199" s="1">
        <v>137581.88628790359</v>
      </c>
      <c r="EF199" s="2"/>
      <c r="EG199" s="1">
        <v>493233.56383097649</v>
      </c>
      <c r="EH199" s="2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4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1">
        <v>3003464.3942195103</v>
      </c>
      <c r="LP199" s="1"/>
      <c r="LQ199" s="1"/>
      <c r="LR199" s="1"/>
      <c r="LS199" s="1"/>
      <c r="LT199" s="1"/>
      <c r="LU199" s="1">
        <v>2210469.2033221954</v>
      </c>
      <c r="LV199" s="1"/>
      <c r="LW199" s="1"/>
      <c r="LX199" s="1"/>
      <c r="LY199" s="1"/>
      <c r="LZ199" s="1"/>
      <c r="MA199" s="1"/>
      <c r="MB199" s="1"/>
      <c r="MC199" s="1"/>
      <c r="MD199" s="1"/>
      <c r="ME199" s="1"/>
    </row>
    <row r="200" spans="1:343">
      <c r="A200" s="1">
        <v>1563</v>
      </c>
      <c r="B200" s="1">
        <v>13817834.382060399</v>
      </c>
      <c r="C200" s="1">
        <v>3776788.1854072828</v>
      </c>
      <c r="D200" s="1"/>
      <c r="E200" s="1"/>
      <c r="F200" s="1"/>
      <c r="G200" s="1"/>
      <c r="H200" s="1"/>
      <c r="I200" s="1"/>
      <c r="J200" s="1"/>
      <c r="K200" s="1">
        <v>1752816.1724082725</v>
      </c>
      <c r="L200" s="1"/>
      <c r="M200" s="1"/>
      <c r="N200" s="1"/>
      <c r="O200" s="1"/>
      <c r="P200" s="1"/>
      <c r="Q200" s="1"/>
      <c r="R200" s="1"/>
      <c r="S200" s="1"/>
      <c r="T200" s="1"/>
      <c r="U200" s="1">
        <v>1829173.0693179679</v>
      </c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>
        <v>4132238.1035095844</v>
      </c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>
        <v>1390680.0508505304</v>
      </c>
      <c r="AU200" s="1"/>
      <c r="AV200" s="1"/>
      <c r="AW200" s="1"/>
      <c r="AX200" s="1"/>
      <c r="AY200" s="1"/>
      <c r="AZ200" s="1"/>
      <c r="BA200" s="1"/>
      <c r="BB200" s="1"/>
      <c r="BC200" s="1">
        <v>936138.80056676129</v>
      </c>
      <c r="BD200" s="1"/>
      <c r="BE200" s="1"/>
      <c r="BF200" s="1"/>
      <c r="BG200" s="1"/>
      <c r="BH200" s="1"/>
      <c r="BI200" s="4">
        <v>9340045.8797505461</v>
      </c>
      <c r="BJ200" s="2">
        <v>903754.76355719881</v>
      </c>
      <c r="BK200" s="2"/>
      <c r="BL200" s="2"/>
      <c r="BM200" s="2"/>
      <c r="BN200" s="2"/>
      <c r="BO200" s="2"/>
      <c r="BP200" s="2"/>
      <c r="BQ200" s="2">
        <v>700614.21041430917</v>
      </c>
      <c r="BR200" s="2"/>
      <c r="BS200" s="2"/>
      <c r="BT200" s="2"/>
      <c r="BU200" s="2"/>
      <c r="BV200" s="2"/>
      <c r="BW200" s="2"/>
      <c r="BX200" s="2"/>
      <c r="BY200" s="2"/>
      <c r="BZ200" s="1">
        <v>2048844.1565223944</v>
      </c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1">
        <v>520202.33223294932</v>
      </c>
      <c r="CU200" s="2"/>
      <c r="CV200" s="2"/>
      <c r="CW200" s="2"/>
      <c r="CX200" s="1">
        <v>1657969.3016512475</v>
      </c>
      <c r="CY200" s="2"/>
      <c r="CZ200" s="2"/>
      <c r="DA200" s="2"/>
      <c r="DB200" s="2"/>
      <c r="DC200" s="2"/>
      <c r="DD200" s="2"/>
      <c r="DE200" s="1">
        <v>928206.50269008032</v>
      </c>
      <c r="DF200" s="2"/>
      <c r="DG200" s="2"/>
      <c r="DH200" s="2"/>
      <c r="DI200" s="2"/>
      <c r="DJ200" s="2"/>
      <c r="DK200" s="2"/>
      <c r="DL200" s="1">
        <v>1092743.7744861261</v>
      </c>
      <c r="DM200" s="2"/>
      <c r="DN200" s="2"/>
      <c r="DO200" s="2"/>
      <c r="DP200" s="2"/>
      <c r="DQ200" s="2"/>
      <c r="DR200" s="2"/>
      <c r="DS200" s="1">
        <v>765124.88691517839</v>
      </c>
      <c r="DT200" s="2"/>
      <c r="DU200" s="2"/>
      <c r="DV200" s="2"/>
      <c r="DW200" s="2"/>
      <c r="DX200" s="2"/>
      <c r="DY200" s="2"/>
      <c r="DZ200" s="2"/>
      <c r="EA200" s="2"/>
      <c r="EB200" s="1">
        <v>89625.728631775899</v>
      </c>
      <c r="EC200" s="2"/>
      <c r="ED200" s="2"/>
      <c r="EE200" s="1">
        <v>138049.66470128248</v>
      </c>
      <c r="EF200" s="2"/>
      <c r="EG200" s="1">
        <v>494910.55794800184</v>
      </c>
      <c r="EH200" s="2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4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1">
        <v>3013676.1731598568</v>
      </c>
      <c r="LP200" s="1"/>
      <c r="LQ200" s="1"/>
      <c r="LR200" s="1"/>
      <c r="LS200" s="1"/>
      <c r="LT200" s="1"/>
      <c r="LU200" s="1">
        <v>2217984.798613491</v>
      </c>
      <c r="LV200" s="1"/>
      <c r="LW200" s="1"/>
      <c r="LX200" s="1"/>
      <c r="LY200" s="1"/>
      <c r="LZ200" s="1"/>
      <c r="MA200" s="1"/>
      <c r="MB200" s="1"/>
      <c r="MC200" s="1"/>
      <c r="MD200" s="1"/>
      <c r="ME200" s="1"/>
    </row>
    <row r="201" spans="1:343">
      <c r="A201" s="1">
        <v>1564</v>
      </c>
      <c r="B201" s="1">
        <v>13868755.207125302</v>
      </c>
      <c r="C201" s="1">
        <v>3789629.2652376676</v>
      </c>
      <c r="D201" s="1"/>
      <c r="E201" s="1"/>
      <c r="F201" s="1"/>
      <c r="G201" s="1"/>
      <c r="H201" s="1"/>
      <c r="I201" s="1"/>
      <c r="J201" s="1"/>
      <c r="K201" s="1">
        <v>1760703.8451841096</v>
      </c>
      <c r="L201" s="1"/>
      <c r="M201" s="1"/>
      <c r="N201" s="1"/>
      <c r="O201" s="1"/>
      <c r="P201" s="1"/>
      <c r="Q201" s="1"/>
      <c r="R201" s="1"/>
      <c r="S201" s="1"/>
      <c r="T201" s="1"/>
      <c r="U201" s="1">
        <v>1837404.3481298985</v>
      </c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>
        <v>4146287.7130615171</v>
      </c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>
        <v>1395408.3630234222</v>
      </c>
      <c r="AU201" s="1"/>
      <c r="AV201" s="1"/>
      <c r="AW201" s="1"/>
      <c r="AX201" s="1"/>
      <c r="AY201" s="1"/>
      <c r="AZ201" s="1"/>
      <c r="BA201" s="1"/>
      <c r="BB201" s="1"/>
      <c r="BC201" s="1">
        <v>939321.67248868837</v>
      </c>
      <c r="BD201" s="1"/>
      <c r="BE201" s="1"/>
      <c r="BF201" s="1"/>
      <c r="BG201" s="1"/>
      <c r="BH201" s="1"/>
      <c r="BI201" s="4">
        <v>9382607.3595714681</v>
      </c>
      <c r="BJ201" s="2">
        <v>907460.15808778326</v>
      </c>
      <c r="BK201" s="2"/>
      <c r="BL201" s="2"/>
      <c r="BM201" s="2"/>
      <c r="BN201" s="2"/>
      <c r="BO201" s="2"/>
      <c r="BP201" s="2"/>
      <c r="BQ201" s="2">
        <v>702716.05304555199</v>
      </c>
      <c r="BR201" s="2"/>
      <c r="BS201" s="2"/>
      <c r="BT201" s="2"/>
      <c r="BU201" s="2"/>
      <c r="BV201" s="2"/>
      <c r="BW201" s="2"/>
      <c r="BX201" s="2"/>
      <c r="BY201" s="2"/>
      <c r="BZ201" s="1">
        <v>2063186.065618051</v>
      </c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1">
        <v>521971.02016254136</v>
      </c>
      <c r="CU201" s="2"/>
      <c r="CV201" s="2"/>
      <c r="CW201" s="2"/>
      <c r="CX201" s="1">
        <v>1663606.3972768618</v>
      </c>
      <c r="CY201" s="2"/>
      <c r="CZ201" s="2"/>
      <c r="DA201" s="2"/>
      <c r="DB201" s="2"/>
      <c r="DC201" s="2"/>
      <c r="DD201" s="2"/>
      <c r="DE201" s="1">
        <v>931362.40479922667</v>
      </c>
      <c r="DF201" s="2"/>
      <c r="DG201" s="2"/>
      <c r="DH201" s="2"/>
      <c r="DI201" s="2"/>
      <c r="DJ201" s="2"/>
      <c r="DK201" s="2"/>
      <c r="DL201" s="1">
        <v>1096459.103319379</v>
      </c>
      <c r="DM201" s="2"/>
      <c r="DN201" s="2"/>
      <c r="DO201" s="2"/>
      <c r="DP201" s="2"/>
      <c r="DQ201" s="2"/>
      <c r="DR201" s="2"/>
      <c r="DS201" s="1">
        <v>770480.76112358458</v>
      </c>
      <c r="DT201" s="2"/>
      <c r="DU201" s="2"/>
      <c r="DV201" s="2"/>
      <c r="DW201" s="2"/>
      <c r="DX201" s="2"/>
      <c r="DY201" s="2"/>
      <c r="DZ201" s="2"/>
      <c r="EA201" s="2"/>
      <c r="EB201" s="1">
        <v>90253.108732198321</v>
      </c>
      <c r="EC201" s="2"/>
      <c r="ED201" s="2"/>
      <c r="EE201" s="1">
        <v>138519.03356126684</v>
      </c>
      <c r="EF201" s="2"/>
      <c r="EG201" s="1">
        <v>496593.25384502509</v>
      </c>
      <c r="EH201" s="2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4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1">
        <v>3023922.6721486007</v>
      </c>
      <c r="LP201" s="1"/>
      <c r="LQ201" s="1"/>
      <c r="LR201" s="1"/>
      <c r="LS201" s="1"/>
      <c r="LT201" s="1"/>
      <c r="LU201" s="1">
        <v>2225525.9469287768</v>
      </c>
      <c r="LV201" s="1"/>
      <c r="LW201" s="1"/>
      <c r="LX201" s="1"/>
      <c r="LY201" s="1"/>
      <c r="LZ201" s="1"/>
      <c r="MA201" s="1"/>
      <c r="MB201" s="1"/>
      <c r="MC201" s="1"/>
      <c r="MD201" s="1"/>
      <c r="ME201" s="1"/>
    </row>
    <row r="202" spans="1:343">
      <c r="A202" s="1">
        <v>1565</v>
      </c>
      <c r="B202" s="1">
        <v>13919866.893842177</v>
      </c>
      <c r="C202" s="1">
        <v>3802514.0047394759</v>
      </c>
      <c r="D202" s="1"/>
      <c r="E202" s="1"/>
      <c r="F202" s="1"/>
      <c r="G202" s="1"/>
      <c r="H202" s="1"/>
      <c r="I202" s="1"/>
      <c r="J202" s="1"/>
      <c r="K202" s="1">
        <v>1768627.012487438</v>
      </c>
      <c r="L202" s="1"/>
      <c r="M202" s="1"/>
      <c r="N202" s="1"/>
      <c r="O202" s="1"/>
      <c r="P202" s="1"/>
      <c r="Q202" s="1"/>
      <c r="R202" s="1"/>
      <c r="S202" s="1"/>
      <c r="T202" s="1"/>
      <c r="U202" s="1">
        <v>1845672.667696483</v>
      </c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>
        <v>4160385.0912859268</v>
      </c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>
        <v>1400152.7514577019</v>
      </c>
      <c r="AU202" s="1"/>
      <c r="AV202" s="1"/>
      <c r="AW202" s="1"/>
      <c r="AX202" s="1"/>
      <c r="AY202" s="1"/>
      <c r="AZ202" s="1"/>
      <c r="BA202" s="1"/>
      <c r="BB202" s="1"/>
      <c r="BC202" s="1">
        <v>942515.36617515003</v>
      </c>
      <c r="BD202" s="1"/>
      <c r="BE202" s="1"/>
      <c r="BF202" s="1"/>
      <c r="BG202" s="1"/>
      <c r="BH202" s="1"/>
      <c r="BI202" s="4">
        <v>9425388.4720511641</v>
      </c>
      <c r="BJ202" s="2">
        <v>911180.74473594315</v>
      </c>
      <c r="BK202" s="2"/>
      <c r="BL202" s="2"/>
      <c r="BM202" s="2"/>
      <c r="BN202" s="2"/>
      <c r="BO202" s="2"/>
      <c r="BP202" s="2"/>
      <c r="BQ202" s="2">
        <v>704824.20120468852</v>
      </c>
      <c r="BR202" s="2"/>
      <c r="BS202" s="2"/>
      <c r="BT202" s="2"/>
      <c r="BU202" s="2"/>
      <c r="BV202" s="2"/>
      <c r="BW202" s="2"/>
      <c r="BX202" s="2"/>
      <c r="BY202" s="2"/>
      <c r="BZ202" s="1">
        <v>2077628.3680773771</v>
      </c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1">
        <v>523745.72163109406</v>
      </c>
      <c r="CU202" s="2"/>
      <c r="CV202" s="2"/>
      <c r="CW202" s="2"/>
      <c r="CX202" s="1">
        <v>1669262.6590276032</v>
      </c>
      <c r="CY202" s="2"/>
      <c r="CZ202" s="2"/>
      <c r="DA202" s="2"/>
      <c r="DB202" s="2"/>
      <c r="DC202" s="2"/>
      <c r="DD202" s="2"/>
      <c r="DE202" s="1">
        <v>934529.03697554406</v>
      </c>
      <c r="DF202" s="2"/>
      <c r="DG202" s="2"/>
      <c r="DH202" s="2"/>
      <c r="DI202" s="2"/>
      <c r="DJ202" s="2"/>
      <c r="DK202" s="2"/>
      <c r="DL202" s="1">
        <v>1100187.0642706649</v>
      </c>
      <c r="DM202" s="2"/>
      <c r="DN202" s="2"/>
      <c r="DO202" s="2"/>
      <c r="DP202" s="2"/>
      <c r="DQ202" s="2"/>
      <c r="DR202" s="2"/>
      <c r="DS202" s="1">
        <v>775874.12645144959</v>
      </c>
      <c r="DT202" s="2"/>
      <c r="DU202" s="2"/>
      <c r="DV202" s="2"/>
      <c r="DW202" s="2"/>
      <c r="DX202" s="2"/>
      <c r="DY202" s="2"/>
      <c r="DZ202" s="2"/>
      <c r="EA202" s="2"/>
      <c r="EB202" s="1">
        <v>90884.880493323697</v>
      </c>
      <c r="EC202" s="2"/>
      <c r="ED202" s="2"/>
      <c r="EE202" s="1">
        <v>138989.99827537517</v>
      </c>
      <c r="EF202" s="2"/>
      <c r="EG202" s="1">
        <v>498281.67090809823</v>
      </c>
      <c r="EH202" s="2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4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1">
        <v>3034204.0092339059</v>
      </c>
      <c r="LP202" s="1"/>
      <c r="LQ202" s="1"/>
      <c r="LR202" s="1"/>
      <c r="LS202" s="1"/>
      <c r="LT202" s="1"/>
      <c r="LU202" s="1">
        <v>2233092.7351483349</v>
      </c>
      <c r="LV202" s="1"/>
      <c r="LW202" s="1"/>
      <c r="LX202" s="1"/>
      <c r="LY202" s="1"/>
      <c r="LZ202" s="1"/>
      <c r="MA202" s="1"/>
      <c r="MB202" s="1"/>
      <c r="MC202" s="1"/>
      <c r="MD202" s="1"/>
      <c r="ME202" s="1"/>
    </row>
    <row r="203" spans="1:343">
      <c r="A203" s="1">
        <v>1566</v>
      </c>
      <c r="B203" s="1">
        <v>13971170.170929443</v>
      </c>
      <c r="C203" s="1">
        <v>3815442.5523555903</v>
      </c>
      <c r="D203" s="1"/>
      <c r="E203" s="1"/>
      <c r="F203" s="1"/>
      <c r="G203" s="1"/>
      <c r="H203" s="1"/>
      <c r="I203" s="1"/>
      <c r="J203" s="1"/>
      <c r="K203" s="1">
        <v>1776585.8340436313</v>
      </c>
      <c r="L203" s="1"/>
      <c r="M203" s="1"/>
      <c r="N203" s="1"/>
      <c r="O203" s="1"/>
      <c r="P203" s="1"/>
      <c r="Q203" s="1"/>
      <c r="R203" s="1"/>
      <c r="S203" s="1"/>
      <c r="T203" s="1"/>
      <c r="U203" s="1">
        <v>1853978.194701117</v>
      </c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>
        <v>4174530.4005962992</v>
      </c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>
        <v>1404913.2708126581</v>
      </c>
      <c r="AU203" s="1"/>
      <c r="AV203" s="1"/>
      <c r="AW203" s="1"/>
      <c r="AX203" s="1"/>
      <c r="AY203" s="1"/>
      <c r="AZ203" s="1"/>
      <c r="BA203" s="1"/>
      <c r="BB203" s="1"/>
      <c r="BC203" s="1">
        <v>945719.91842014564</v>
      </c>
      <c r="BD203" s="1"/>
      <c r="BE203" s="1"/>
      <c r="BF203" s="1"/>
      <c r="BG203" s="1"/>
      <c r="BH203" s="1"/>
      <c r="BI203" s="4">
        <v>9468390.4842470493</v>
      </c>
      <c r="BJ203" s="2">
        <v>914916.58578936057</v>
      </c>
      <c r="BK203" s="2"/>
      <c r="BL203" s="2"/>
      <c r="BM203" s="2"/>
      <c r="BN203" s="2"/>
      <c r="BO203" s="2"/>
      <c r="BP203" s="2"/>
      <c r="BQ203" s="2">
        <v>706938.6738083025</v>
      </c>
      <c r="BR203" s="2"/>
      <c r="BS203" s="2"/>
      <c r="BT203" s="2"/>
      <c r="BU203" s="2"/>
      <c r="BV203" s="2"/>
      <c r="BW203" s="2"/>
      <c r="BX203" s="2"/>
      <c r="BY203" s="2"/>
      <c r="BZ203" s="1">
        <v>2092171.7666539184</v>
      </c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1">
        <v>525526.45708463981</v>
      </c>
      <c r="CU203" s="2"/>
      <c r="CV203" s="2"/>
      <c r="CW203" s="2"/>
      <c r="CX203" s="1">
        <v>1674938.1520682971</v>
      </c>
      <c r="CY203" s="2"/>
      <c r="CZ203" s="2"/>
      <c r="DA203" s="2"/>
      <c r="DB203" s="2"/>
      <c r="DC203" s="2"/>
      <c r="DD203" s="2"/>
      <c r="DE203" s="1">
        <v>937706.43570126093</v>
      </c>
      <c r="DF203" s="2"/>
      <c r="DG203" s="2"/>
      <c r="DH203" s="2"/>
      <c r="DI203" s="2"/>
      <c r="DJ203" s="2"/>
      <c r="DK203" s="2"/>
      <c r="DL203" s="1">
        <v>1103927.7002891852</v>
      </c>
      <c r="DM203" s="2"/>
      <c r="DN203" s="2"/>
      <c r="DO203" s="2"/>
      <c r="DP203" s="2"/>
      <c r="DQ203" s="2"/>
      <c r="DR203" s="2"/>
      <c r="DS203" s="1">
        <v>781305.24533660966</v>
      </c>
      <c r="DT203" s="2"/>
      <c r="DU203" s="2"/>
      <c r="DV203" s="2"/>
      <c r="DW203" s="2"/>
      <c r="DX203" s="2"/>
      <c r="DY203" s="2"/>
      <c r="DZ203" s="2"/>
      <c r="EA203" s="2"/>
      <c r="EB203" s="1">
        <v>91521.074656776953</v>
      </c>
      <c r="EC203" s="2"/>
      <c r="ED203" s="2"/>
      <c r="EE203" s="1">
        <v>139462.56426951147</v>
      </c>
      <c r="EF203" s="2"/>
      <c r="EG203" s="1">
        <v>499975.82858918578</v>
      </c>
      <c r="EH203" s="2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4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1">
        <v>3044520.3028653013</v>
      </c>
      <c r="LP203" s="1"/>
      <c r="LQ203" s="1"/>
      <c r="LR203" s="1"/>
      <c r="LS203" s="1"/>
      <c r="LT203" s="1"/>
      <c r="LU203" s="1">
        <v>2240685.2504478395</v>
      </c>
      <c r="LV203" s="1"/>
      <c r="LW203" s="1"/>
      <c r="LX203" s="1"/>
      <c r="LY203" s="1"/>
      <c r="LZ203" s="1"/>
      <c r="MA203" s="1"/>
      <c r="MB203" s="1"/>
      <c r="MC203" s="1"/>
      <c r="MD203" s="1"/>
      <c r="ME203" s="1"/>
    </row>
    <row r="204" spans="1:343">
      <c r="A204" s="1">
        <v>1567</v>
      </c>
      <c r="B204" s="1">
        <v>14022665.76994222</v>
      </c>
      <c r="C204" s="1">
        <v>3828415.0570335994</v>
      </c>
      <c r="D204" s="1"/>
      <c r="E204" s="1"/>
      <c r="F204" s="1"/>
      <c r="G204" s="1"/>
      <c r="H204" s="1"/>
      <c r="I204" s="1"/>
      <c r="J204" s="1"/>
      <c r="K204" s="1">
        <v>1784580.4702968276</v>
      </c>
      <c r="L204" s="1"/>
      <c r="M204" s="1"/>
      <c r="N204" s="1"/>
      <c r="O204" s="1"/>
      <c r="P204" s="1"/>
      <c r="Q204" s="1"/>
      <c r="R204" s="1"/>
      <c r="S204" s="1"/>
      <c r="T204" s="1"/>
      <c r="U204" s="1">
        <v>1862321.0965772718</v>
      </c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>
        <v>4188723.803958327</v>
      </c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>
        <v>1409689.9759334212</v>
      </c>
      <c r="AU204" s="1"/>
      <c r="AV204" s="1"/>
      <c r="AW204" s="1"/>
      <c r="AX204" s="1"/>
      <c r="AY204" s="1"/>
      <c r="AZ204" s="1"/>
      <c r="BA204" s="1"/>
      <c r="BB204" s="1"/>
      <c r="BC204" s="1">
        <v>948935.36614277423</v>
      </c>
      <c r="BD204" s="1"/>
      <c r="BE204" s="1"/>
      <c r="BF204" s="1"/>
      <c r="BG204" s="1"/>
      <c r="BH204" s="1"/>
      <c r="BI204" s="4">
        <v>9511614.6711459477</v>
      </c>
      <c r="BJ204" s="2">
        <v>918667.74379109696</v>
      </c>
      <c r="BK204" s="2"/>
      <c r="BL204" s="2"/>
      <c r="BM204" s="2"/>
      <c r="BN204" s="2"/>
      <c r="BO204" s="2"/>
      <c r="BP204" s="2"/>
      <c r="BQ204" s="2">
        <v>709059.48982972733</v>
      </c>
      <c r="BR204" s="2"/>
      <c r="BS204" s="2"/>
      <c r="BT204" s="2"/>
      <c r="BU204" s="2"/>
      <c r="BV204" s="2"/>
      <c r="BW204" s="2"/>
      <c r="BX204" s="2"/>
      <c r="BY204" s="2"/>
      <c r="BZ204" s="1">
        <v>2106816.9690204957</v>
      </c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1">
        <v>527313.24703872763</v>
      </c>
      <c r="CU204" s="2"/>
      <c r="CV204" s="2"/>
      <c r="CW204" s="2"/>
      <c r="CX204" s="1">
        <v>1680632.9417853295</v>
      </c>
      <c r="CY204" s="2"/>
      <c r="CZ204" s="2"/>
      <c r="DA204" s="2"/>
      <c r="DB204" s="2"/>
      <c r="DC204" s="2"/>
      <c r="DD204" s="2"/>
      <c r="DE204" s="1">
        <v>940894.63758264529</v>
      </c>
      <c r="DF204" s="2"/>
      <c r="DG204" s="2"/>
      <c r="DH204" s="2"/>
      <c r="DI204" s="2"/>
      <c r="DJ204" s="2"/>
      <c r="DK204" s="2"/>
      <c r="DL204" s="1">
        <v>1107681.0544701684</v>
      </c>
      <c r="DM204" s="2"/>
      <c r="DN204" s="2"/>
      <c r="DO204" s="2"/>
      <c r="DP204" s="2"/>
      <c r="DQ204" s="2"/>
      <c r="DR204" s="2"/>
      <c r="DS204" s="1">
        <v>786774.38205396582</v>
      </c>
      <c r="DT204" s="2"/>
      <c r="DU204" s="2"/>
      <c r="DV204" s="2"/>
      <c r="DW204" s="2"/>
      <c r="DX204" s="2"/>
      <c r="DY204" s="2"/>
      <c r="DZ204" s="2"/>
      <c r="EA204" s="2"/>
      <c r="EB204" s="1">
        <v>92161.722179374381</v>
      </c>
      <c r="EC204" s="2"/>
      <c r="ED204" s="2"/>
      <c r="EE204" s="1">
        <v>139936.73698802781</v>
      </c>
      <c r="EF204" s="2"/>
      <c r="EG204" s="1">
        <v>501675.74640638905</v>
      </c>
      <c r="EH204" s="2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4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1">
        <v>3054871.6718950435</v>
      </c>
      <c r="LP204" s="1"/>
      <c r="LQ204" s="1"/>
      <c r="LR204" s="1"/>
      <c r="LS204" s="1"/>
      <c r="LT204" s="1"/>
      <c r="LU204" s="1">
        <v>2248303.5802993625</v>
      </c>
      <c r="LV204" s="1"/>
      <c r="LW204" s="1"/>
      <c r="LX204" s="1"/>
      <c r="LY204" s="1"/>
      <c r="LZ204" s="1"/>
      <c r="MA204" s="1"/>
      <c r="MB204" s="1"/>
      <c r="MC204" s="1"/>
      <c r="MD204" s="1"/>
      <c r="ME204" s="1"/>
    </row>
    <row r="205" spans="1:343">
      <c r="A205" s="1">
        <v>1568</v>
      </c>
      <c r="B205" s="1">
        <v>14074354.425283588</v>
      </c>
      <c r="C205" s="1">
        <v>3841431.6682275138</v>
      </c>
      <c r="D205" s="1"/>
      <c r="E205" s="1"/>
      <c r="F205" s="1"/>
      <c r="G205" s="1"/>
      <c r="H205" s="1"/>
      <c r="I205" s="1"/>
      <c r="J205" s="1"/>
      <c r="K205" s="1">
        <v>1792611.0824131633</v>
      </c>
      <c r="L205" s="1"/>
      <c r="M205" s="1"/>
      <c r="N205" s="1"/>
      <c r="O205" s="1"/>
      <c r="P205" s="1"/>
      <c r="Q205" s="1"/>
      <c r="R205" s="1"/>
      <c r="S205" s="1"/>
      <c r="T205" s="1"/>
      <c r="U205" s="1">
        <v>1870701.5415118695</v>
      </c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>
        <v>4202965.4648917858</v>
      </c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>
        <v>1414482.9218515949</v>
      </c>
      <c r="AU205" s="1"/>
      <c r="AV205" s="1"/>
      <c r="AW205" s="1"/>
      <c r="AX205" s="1"/>
      <c r="AY205" s="1"/>
      <c r="AZ205" s="1"/>
      <c r="BA205" s="1"/>
      <c r="BB205" s="1"/>
      <c r="BC205" s="1">
        <v>952161.74638765969</v>
      </c>
      <c r="BD205" s="1"/>
      <c r="BE205" s="1"/>
      <c r="BF205" s="1"/>
      <c r="BG205" s="1"/>
      <c r="BH205" s="1"/>
      <c r="BI205" s="4">
        <v>9555062.3157162797</v>
      </c>
      <c r="BJ205" s="2">
        <v>922434.2815406404</v>
      </c>
      <c r="BK205" s="2"/>
      <c r="BL205" s="2"/>
      <c r="BM205" s="2"/>
      <c r="BN205" s="2"/>
      <c r="BO205" s="2"/>
      <c r="BP205" s="2"/>
      <c r="BQ205" s="2">
        <v>711186.66829921643</v>
      </c>
      <c r="BR205" s="2"/>
      <c r="BS205" s="2"/>
      <c r="BT205" s="2"/>
      <c r="BU205" s="2"/>
      <c r="BV205" s="2"/>
      <c r="BW205" s="2"/>
      <c r="BX205" s="2"/>
      <c r="BY205" s="2"/>
      <c r="BZ205" s="1">
        <v>2121564.6878036391</v>
      </c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1">
        <v>529106.11207865935</v>
      </c>
      <c r="CU205" s="2"/>
      <c r="CV205" s="2"/>
      <c r="CW205" s="2"/>
      <c r="CX205" s="1">
        <v>1686347.0937873998</v>
      </c>
      <c r="CY205" s="2"/>
      <c r="CZ205" s="2"/>
      <c r="DA205" s="2"/>
      <c r="DB205" s="2"/>
      <c r="DC205" s="2"/>
      <c r="DD205" s="2"/>
      <c r="DE205" s="1">
        <v>944093.6793504263</v>
      </c>
      <c r="DF205" s="2"/>
      <c r="DG205" s="2"/>
      <c r="DH205" s="2"/>
      <c r="DI205" s="2"/>
      <c r="DJ205" s="2"/>
      <c r="DK205" s="2"/>
      <c r="DL205" s="1">
        <v>1111447.1700553671</v>
      </c>
      <c r="DM205" s="2"/>
      <c r="DN205" s="2"/>
      <c r="DO205" s="2"/>
      <c r="DP205" s="2"/>
      <c r="DQ205" s="2"/>
      <c r="DR205" s="2"/>
      <c r="DS205" s="1">
        <v>792281.80272834352</v>
      </c>
      <c r="DT205" s="2"/>
      <c r="DU205" s="2"/>
      <c r="DV205" s="2"/>
      <c r="DW205" s="2"/>
      <c r="DX205" s="2"/>
      <c r="DY205" s="2"/>
      <c r="DZ205" s="2"/>
      <c r="EA205" s="2"/>
      <c r="EB205" s="1">
        <v>92806.854234629995</v>
      </c>
      <c r="EC205" s="2"/>
      <c r="ED205" s="2"/>
      <c r="EE205" s="1">
        <v>140412.52189378711</v>
      </c>
      <c r="EF205" s="2"/>
      <c r="EG205" s="1">
        <v>503381.44394417078</v>
      </c>
      <c r="EH205" s="2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4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1">
        <v>3065258.2355794869</v>
      </c>
      <c r="LP205" s="1"/>
      <c r="LQ205" s="1"/>
      <c r="LR205" s="1"/>
      <c r="LS205" s="1"/>
      <c r="LT205" s="1"/>
      <c r="LU205" s="1">
        <v>2255947.8124723807</v>
      </c>
      <c r="LV205" s="1"/>
      <c r="LW205" s="1"/>
      <c r="LX205" s="1"/>
      <c r="LY205" s="1"/>
      <c r="LZ205" s="1"/>
      <c r="MA205" s="1"/>
      <c r="MB205" s="1"/>
      <c r="MC205" s="1"/>
      <c r="MD205" s="1"/>
      <c r="ME205" s="1"/>
    </row>
    <row r="206" spans="1:343">
      <c r="A206" s="1">
        <v>1569</v>
      </c>
      <c r="B206" s="1">
        <v>14126236.874215869</v>
      </c>
      <c r="C206" s="1">
        <v>3854492.5358994878</v>
      </c>
      <c r="D206" s="1"/>
      <c r="E206" s="1"/>
      <c r="F206" s="1"/>
      <c r="G206" s="1"/>
      <c r="H206" s="1"/>
      <c r="I206" s="1"/>
      <c r="J206" s="1"/>
      <c r="K206" s="1">
        <v>1800677.8322840224</v>
      </c>
      <c r="L206" s="1"/>
      <c r="M206" s="1"/>
      <c r="N206" s="1"/>
      <c r="O206" s="1"/>
      <c r="P206" s="1"/>
      <c r="Q206" s="1"/>
      <c r="R206" s="1"/>
      <c r="S206" s="1"/>
      <c r="T206" s="1"/>
      <c r="U206" s="1">
        <v>1879119.6984486729</v>
      </c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>
        <v>4217255.5474724183</v>
      </c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>
        <v>1419292.1637858904</v>
      </c>
      <c r="AU206" s="1"/>
      <c r="AV206" s="1"/>
      <c r="AW206" s="1"/>
      <c r="AX206" s="1"/>
      <c r="AY206" s="1"/>
      <c r="AZ206" s="1"/>
      <c r="BA206" s="1"/>
      <c r="BB206" s="1"/>
      <c r="BC206" s="1">
        <v>955399.09632537782</v>
      </c>
      <c r="BD206" s="1"/>
      <c r="BE206" s="1"/>
      <c r="BF206" s="1"/>
      <c r="BG206" s="1"/>
      <c r="BH206" s="1"/>
      <c r="BI206" s="4">
        <v>9598734.7089606337</v>
      </c>
      <c r="BJ206" s="2">
        <v>926216.26209495706</v>
      </c>
      <c r="BK206" s="2"/>
      <c r="BL206" s="2"/>
      <c r="BM206" s="2"/>
      <c r="BN206" s="2"/>
      <c r="BO206" s="2"/>
      <c r="BP206" s="2"/>
      <c r="BQ206" s="2">
        <v>713320.22830411396</v>
      </c>
      <c r="BR206" s="2"/>
      <c r="BS206" s="2"/>
      <c r="BT206" s="2"/>
      <c r="BU206" s="2"/>
      <c r="BV206" s="2"/>
      <c r="BW206" s="2"/>
      <c r="BX206" s="2"/>
      <c r="BY206" s="2"/>
      <c r="BZ206" s="1">
        <v>2136415.6406182642</v>
      </c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1">
        <v>530905.07285972685</v>
      </c>
      <c r="CU206" s="2"/>
      <c r="CV206" s="2"/>
      <c r="CW206" s="2"/>
      <c r="CX206" s="1">
        <v>1692080.6739062772</v>
      </c>
      <c r="CY206" s="2"/>
      <c r="CZ206" s="2"/>
      <c r="DA206" s="2"/>
      <c r="DB206" s="2"/>
      <c r="DC206" s="2"/>
      <c r="DD206" s="2"/>
      <c r="DE206" s="1">
        <v>947303.59786021779</v>
      </c>
      <c r="DF206" s="2"/>
      <c r="DG206" s="2"/>
      <c r="DH206" s="2"/>
      <c r="DI206" s="2"/>
      <c r="DJ206" s="2"/>
      <c r="DK206" s="2"/>
      <c r="DL206" s="1">
        <v>1115226.0904335554</v>
      </c>
      <c r="DM206" s="2"/>
      <c r="DN206" s="2"/>
      <c r="DO206" s="2"/>
      <c r="DP206" s="2"/>
      <c r="DQ206" s="2"/>
      <c r="DR206" s="2"/>
      <c r="DS206" s="1">
        <v>797827.7753474419</v>
      </c>
      <c r="DT206" s="2"/>
      <c r="DU206" s="2"/>
      <c r="DV206" s="2"/>
      <c r="DW206" s="2"/>
      <c r="DX206" s="2"/>
      <c r="DY206" s="2"/>
      <c r="DZ206" s="2"/>
      <c r="EA206" s="2"/>
      <c r="EB206" s="1">
        <v>93456.50221427239</v>
      </c>
      <c r="EC206" s="2"/>
      <c r="ED206" s="2"/>
      <c r="EE206" s="1">
        <v>140889.924468226</v>
      </c>
      <c r="EF206" s="2"/>
      <c r="EG206" s="1">
        <v>505092.94085358101</v>
      </c>
      <c r="EH206" s="2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4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1">
        <v>3075680.1135804574</v>
      </c>
      <c r="LP206" s="1"/>
      <c r="LQ206" s="1"/>
      <c r="LR206" s="1"/>
      <c r="LS206" s="1"/>
      <c r="LT206" s="1"/>
      <c r="LU206" s="1">
        <v>2263618.0350347869</v>
      </c>
      <c r="LV206" s="1"/>
      <c r="LW206" s="1"/>
      <c r="LX206" s="1"/>
      <c r="LY206" s="1"/>
      <c r="LZ206" s="1"/>
      <c r="MA206" s="1"/>
      <c r="MB206" s="1"/>
      <c r="MC206" s="1"/>
      <c r="MD206" s="1"/>
      <c r="ME206" s="1"/>
    </row>
    <row r="207" spans="1:343">
      <c r="A207" s="1">
        <v>1570</v>
      </c>
      <c r="B207" s="1">
        <v>14178313.856872009</v>
      </c>
      <c r="C207" s="1">
        <v>3867597.8105215463</v>
      </c>
      <c r="D207" s="1"/>
      <c r="E207" s="1"/>
      <c r="F207" s="1"/>
      <c r="G207" s="1"/>
      <c r="H207" s="1"/>
      <c r="I207" s="1"/>
      <c r="J207" s="1"/>
      <c r="K207" s="1">
        <v>1808780.8825293004</v>
      </c>
      <c r="L207" s="1"/>
      <c r="M207" s="1"/>
      <c r="N207" s="1"/>
      <c r="O207" s="1"/>
      <c r="P207" s="1"/>
      <c r="Q207" s="1"/>
      <c r="R207" s="1"/>
      <c r="S207" s="1"/>
      <c r="T207" s="1"/>
      <c r="U207" s="1">
        <v>1887575.7370916919</v>
      </c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>
        <v>4231594.2163338251</v>
      </c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>
        <v>1424117.7571427627</v>
      </c>
      <c r="AU207" s="1"/>
      <c r="AV207" s="1"/>
      <c r="AW207" s="1"/>
      <c r="AX207" s="1"/>
      <c r="AY207" s="1"/>
      <c r="AZ207" s="1"/>
      <c r="BA207" s="1"/>
      <c r="BB207" s="1"/>
      <c r="BC207" s="1">
        <v>958647.45325288421</v>
      </c>
      <c r="BD207" s="1"/>
      <c r="BE207" s="1"/>
      <c r="BF207" s="1"/>
      <c r="BG207" s="1"/>
      <c r="BH207" s="1"/>
      <c r="BI207" s="4">
        <v>9642633.149968693</v>
      </c>
      <c r="BJ207" s="2">
        <v>930013.74876954639</v>
      </c>
      <c r="BK207" s="2"/>
      <c r="BL207" s="2"/>
      <c r="BM207" s="2"/>
      <c r="BN207" s="2"/>
      <c r="BO207" s="2"/>
      <c r="BP207" s="2"/>
      <c r="BQ207" s="2">
        <v>715460.18898902624</v>
      </c>
      <c r="BR207" s="2"/>
      <c r="BS207" s="2"/>
      <c r="BT207" s="2"/>
      <c r="BU207" s="2"/>
      <c r="BV207" s="2"/>
      <c r="BW207" s="2"/>
      <c r="BX207" s="2"/>
      <c r="BY207" s="2"/>
      <c r="BZ207" s="1">
        <v>2151370.550102592</v>
      </c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1">
        <v>532710.15010744997</v>
      </c>
      <c r="CU207" s="2"/>
      <c r="CV207" s="2"/>
      <c r="CW207" s="2"/>
      <c r="CX207" s="1">
        <v>1697833.7481975586</v>
      </c>
      <c r="CY207" s="2"/>
      <c r="CZ207" s="2"/>
      <c r="DA207" s="2"/>
      <c r="DB207" s="2"/>
      <c r="DC207" s="2"/>
      <c r="DD207" s="2"/>
      <c r="DE207" s="1">
        <v>950524.43009294255</v>
      </c>
      <c r="DF207" s="2"/>
      <c r="DG207" s="2"/>
      <c r="DH207" s="2"/>
      <c r="DI207" s="2"/>
      <c r="DJ207" s="2"/>
      <c r="DK207" s="2"/>
      <c r="DL207" s="1">
        <v>1119017.8591410297</v>
      </c>
      <c r="DM207" s="2"/>
      <c r="DN207" s="2"/>
      <c r="DO207" s="2"/>
      <c r="DP207" s="2"/>
      <c r="DQ207" s="2"/>
      <c r="DR207" s="2"/>
      <c r="DS207" s="1">
        <v>803412.5697748739</v>
      </c>
      <c r="DT207" s="2"/>
      <c r="DU207" s="2"/>
      <c r="DV207" s="2"/>
      <c r="DW207" s="2"/>
      <c r="DX207" s="2"/>
      <c r="DY207" s="2"/>
      <c r="DZ207" s="2"/>
      <c r="EA207" s="2"/>
      <c r="EB207" s="1">
        <v>94110.697729772291</v>
      </c>
      <c r="EC207" s="2"/>
      <c r="ED207" s="2"/>
      <c r="EE207" s="1">
        <v>141368.95021141798</v>
      </c>
      <c r="EF207" s="2"/>
      <c r="EG207" s="1">
        <v>506810.2568524832</v>
      </c>
      <c r="EH207" s="2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4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1">
        <v>3086137.4259666312</v>
      </c>
      <c r="LP207" s="1"/>
      <c r="LQ207" s="1"/>
      <c r="LR207" s="1"/>
      <c r="LS207" s="1"/>
      <c r="LT207" s="1"/>
      <c r="LU207" s="1">
        <v>2271314.3363539055</v>
      </c>
      <c r="LV207" s="1"/>
      <c r="LW207" s="1"/>
      <c r="LX207" s="1"/>
      <c r="LY207" s="1"/>
      <c r="LZ207" s="1"/>
      <c r="MA207" s="1"/>
      <c r="MB207" s="1"/>
      <c r="MC207" s="1"/>
      <c r="MD207" s="1"/>
      <c r="ME207" s="1"/>
    </row>
    <row r="208" spans="1:343">
      <c r="A208" s="1">
        <v>1571</v>
      </c>
      <c r="B208" s="1">
        <v>14230586.116266958</v>
      </c>
      <c r="C208" s="1">
        <v>3880747.64307732</v>
      </c>
      <c r="D208" s="1"/>
      <c r="E208" s="1"/>
      <c r="F208" s="1"/>
      <c r="G208" s="1"/>
      <c r="H208" s="1"/>
      <c r="I208" s="1"/>
      <c r="J208" s="1"/>
      <c r="K208" s="1">
        <v>1816920.3965006822</v>
      </c>
      <c r="L208" s="1"/>
      <c r="M208" s="1"/>
      <c r="N208" s="1"/>
      <c r="O208" s="1"/>
      <c r="P208" s="1"/>
      <c r="Q208" s="1"/>
      <c r="R208" s="1"/>
      <c r="S208" s="1"/>
      <c r="T208" s="1"/>
      <c r="U208" s="1">
        <v>1896069.8279086044</v>
      </c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>
        <v>4245981.6366693601</v>
      </c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>
        <v>1428959.7575170482</v>
      </c>
      <c r="AU208" s="1"/>
      <c r="AV208" s="1"/>
      <c r="AW208" s="1"/>
      <c r="AX208" s="1"/>
      <c r="AY208" s="1"/>
      <c r="AZ208" s="1"/>
      <c r="BA208" s="1"/>
      <c r="BB208" s="1"/>
      <c r="BC208" s="1">
        <v>961906.85459394404</v>
      </c>
      <c r="BD208" s="1"/>
      <c r="BE208" s="1"/>
      <c r="BF208" s="1"/>
      <c r="BG208" s="1"/>
      <c r="BH208" s="1"/>
      <c r="BI208" s="4">
        <v>9686758.9459705148</v>
      </c>
      <c r="BJ208" s="2">
        <v>933826.80513950158</v>
      </c>
      <c r="BK208" s="2"/>
      <c r="BL208" s="2"/>
      <c r="BM208" s="2"/>
      <c r="BN208" s="2"/>
      <c r="BO208" s="2"/>
      <c r="BP208" s="2"/>
      <c r="BQ208" s="2">
        <v>717606.56955599319</v>
      </c>
      <c r="BR208" s="2"/>
      <c r="BS208" s="2"/>
      <c r="BT208" s="2"/>
      <c r="BU208" s="2"/>
      <c r="BV208" s="2"/>
      <c r="BW208" s="2"/>
      <c r="BX208" s="2"/>
      <c r="BY208" s="2"/>
      <c r="BZ208" s="1">
        <v>2166430.1439533099</v>
      </c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1">
        <v>534521.36461781536</v>
      </c>
      <c r="CU208" s="2"/>
      <c r="CV208" s="2"/>
      <c r="CW208" s="2"/>
      <c r="CX208" s="1">
        <v>1703606.3829414304</v>
      </c>
      <c r="CY208" s="2"/>
      <c r="CZ208" s="2"/>
      <c r="DA208" s="2"/>
      <c r="DB208" s="2"/>
      <c r="DC208" s="2"/>
      <c r="DD208" s="2"/>
      <c r="DE208" s="1">
        <v>953756.21315525868</v>
      </c>
      <c r="DF208" s="2"/>
      <c r="DG208" s="2"/>
      <c r="DH208" s="2"/>
      <c r="DI208" s="2"/>
      <c r="DJ208" s="2"/>
      <c r="DK208" s="2"/>
      <c r="DL208" s="1">
        <v>1122822.5198621093</v>
      </c>
      <c r="DM208" s="2"/>
      <c r="DN208" s="2"/>
      <c r="DO208" s="2"/>
      <c r="DP208" s="2"/>
      <c r="DQ208" s="2"/>
      <c r="DR208" s="2"/>
      <c r="DS208" s="1">
        <v>809036.45776329795</v>
      </c>
      <c r="DT208" s="2"/>
      <c r="DU208" s="2"/>
      <c r="DV208" s="2"/>
      <c r="DW208" s="2"/>
      <c r="DX208" s="2"/>
      <c r="DY208" s="2"/>
      <c r="DZ208" s="2"/>
      <c r="EA208" s="2"/>
      <c r="EB208" s="1">
        <v>94769.472613880687</v>
      </c>
      <c r="EC208" s="2"/>
      <c r="ED208" s="2"/>
      <c r="EE208" s="1">
        <v>141849.60464213681</v>
      </c>
      <c r="EF208" s="2"/>
      <c r="EG208" s="1">
        <v>508533.41172578168</v>
      </c>
      <c r="EH208" s="2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4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1">
        <v>3096630.2932149181</v>
      </c>
      <c r="LP208" s="1"/>
      <c r="LQ208" s="1"/>
      <c r="LR208" s="1"/>
      <c r="LS208" s="1"/>
      <c r="LT208" s="1"/>
      <c r="LU208" s="1">
        <v>2279036.8050975087</v>
      </c>
      <c r="LV208" s="1"/>
      <c r="LW208" s="1"/>
      <c r="LX208" s="1"/>
      <c r="LY208" s="1"/>
      <c r="LZ208" s="1"/>
      <c r="MA208" s="1"/>
      <c r="MB208" s="1"/>
      <c r="MC208" s="1"/>
      <c r="MD208" s="1"/>
      <c r="ME208" s="1"/>
    </row>
    <row r="209" spans="1:343">
      <c r="A209" s="1">
        <v>1572</v>
      </c>
      <c r="B209" s="1">
        <v>14283054.398309119</v>
      </c>
      <c r="C209" s="1">
        <v>3893942.1850637831</v>
      </c>
      <c r="D209" s="1"/>
      <c r="E209" s="1"/>
      <c r="F209" s="1"/>
      <c r="G209" s="1"/>
      <c r="H209" s="1"/>
      <c r="I209" s="1"/>
      <c r="J209" s="1"/>
      <c r="K209" s="1">
        <v>1825096.5382849353</v>
      </c>
      <c r="L209" s="1"/>
      <c r="M209" s="1"/>
      <c r="N209" s="1"/>
      <c r="O209" s="1"/>
      <c r="P209" s="1"/>
      <c r="Q209" s="1"/>
      <c r="R209" s="1"/>
      <c r="S209" s="1"/>
      <c r="T209" s="1"/>
      <c r="U209" s="1">
        <v>1904602.1421341931</v>
      </c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>
        <v>4260417.9742340362</v>
      </c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>
        <v>1433818.2206926062</v>
      </c>
      <c r="AU209" s="1"/>
      <c r="AV209" s="1"/>
      <c r="AW209" s="1"/>
      <c r="AX209" s="1"/>
      <c r="AY209" s="1"/>
      <c r="AZ209" s="1"/>
      <c r="BA209" s="1"/>
      <c r="BB209" s="1"/>
      <c r="BC209" s="1">
        <v>965177.33789956348</v>
      </c>
      <c r="BD209" s="1"/>
      <c r="BE209" s="1"/>
      <c r="BF209" s="1"/>
      <c r="BG209" s="1"/>
      <c r="BH209" s="1"/>
      <c r="BI209" s="4">
        <v>9731113.4123901799</v>
      </c>
      <c r="BJ209" s="2">
        <v>937655.49504057353</v>
      </c>
      <c r="BK209" s="2"/>
      <c r="BL209" s="2"/>
      <c r="BM209" s="2"/>
      <c r="BN209" s="2"/>
      <c r="BO209" s="2"/>
      <c r="BP209" s="2"/>
      <c r="BQ209" s="2">
        <v>719759.38926466112</v>
      </c>
      <c r="BR209" s="2"/>
      <c r="BS209" s="2"/>
      <c r="BT209" s="2"/>
      <c r="BU209" s="2"/>
      <c r="BV209" s="2"/>
      <c r="BW209" s="2"/>
      <c r="BX209" s="2"/>
      <c r="BY209" s="2"/>
      <c r="BZ209" s="1">
        <v>2181595.154960983</v>
      </c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1">
        <v>536338.73725751601</v>
      </c>
      <c r="CU209" s="2"/>
      <c r="CV209" s="2"/>
      <c r="CW209" s="2"/>
      <c r="CX209" s="1">
        <v>1709398.6446434315</v>
      </c>
      <c r="CY209" s="2"/>
      <c r="CZ209" s="2"/>
      <c r="DA209" s="2"/>
      <c r="DB209" s="2"/>
      <c r="DC209" s="2"/>
      <c r="DD209" s="2"/>
      <c r="DE209" s="1">
        <v>956998.98427998659</v>
      </c>
      <c r="DF209" s="2"/>
      <c r="DG209" s="2"/>
      <c r="DH209" s="2"/>
      <c r="DI209" s="2"/>
      <c r="DJ209" s="2"/>
      <c r="DK209" s="2"/>
      <c r="DL209" s="1">
        <v>1126640.1164296407</v>
      </c>
      <c r="DM209" s="2"/>
      <c r="DN209" s="2"/>
      <c r="DO209" s="2"/>
      <c r="DP209" s="2"/>
      <c r="DQ209" s="2"/>
      <c r="DR209" s="2"/>
      <c r="DS209" s="1">
        <v>814699.71296764095</v>
      </c>
      <c r="DT209" s="2"/>
      <c r="DU209" s="2"/>
      <c r="DV209" s="2"/>
      <c r="DW209" s="2"/>
      <c r="DX209" s="2"/>
      <c r="DY209" s="2"/>
      <c r="DZ209" s="2"/>
      <c r="EA209" s="2"/>
      <c r="EB209" s="1">
        <v>95432.858922177838</v>
      </c>
      <c r="EC209" s="2"/>
      <c r="ED209" s="2"/>
      <c r="EE209" s="1">
        <v>142331.89329792009</v>
      </c>
      <c r="EF209" s="2"/>
      <c r="EG209" s="1">
        <v>510262.42532564938</v>
      </c>
      <c r="EH209" s="2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4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1">
        <v>3107158.836211849</v>
      </c>
      <c r="LP209" s="1"/>
      <c r="LQ209" s="1"/>
      <c r="LR209" s="1"/>
      <c r="LS209" s="1"/>
      <c r="LT209" s="1"/>
      <c r="LU209" s="1">
        <v>2286785.5302348402</v>
      </c>
      <c r="LV209" s="1"/>
      <c r="LW209" s="1"/>
      <c r="LX209" s="1"/>
      <c r="LY209" s="1"/>
      <c r="LZ209" s="1"/>
      <c r="MA209" s="1"/>
      <c r="MB209" s="1"/>
      <c r="MC209" s="1"/>
      <c r="MD209" s="1"/>
      <c r="ME209" s="1"/>
    </row>
    <row r="210" spans="1:343">
      <c r="A210" s="1">
        <v>1573</v>
      </c>
      <c r="B210" s="1">
        <v>14335719.451811828</v>
      </c>
      <c r="C210" s="1">
        <v>3907181.5884930003</v>
      </c>
      <c r="D210" s="1"/>
      <c r="E210" s="1"/>
      <c r="F210" s="1"/>
      <c r="G210" s="1"/>
      <c r="H210" s="1"/>
      <c r="I210" s="1"/>
      <c r="J210" s="1"/>
      <c r="K210" s="1">
        <v>1833309.4727072173</v>
      </c>
      <c r="L210" s="1"/>
      <c r="M210" s="1"/>
      <c r="N210" s="1"/>
      <c r="O210" s="1"/>
      <c r="P210" s="1"/>
      <c r="Q210" s="1"/>
      <c r="R210" s="1"/>
      <c r="S210" s="1"/>
      <c r="T210" s="1"/>
      <c r="U210" s="1">
        <v>1913172.8517737968</v>
      </c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>
        <v>4274903.395346432</v>
      </c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>
        <v>1438693.2026429612</v>
      </c>
      <c r="AU210" s="1"/>
      <c r="AV210" s="1"/>
      <c r="AW210" s="1"/>
      <c r="AX210" s="1"/>
      <c r="AY210" s="1"/>
      <c r="AZ210" s="1"/>
      <c r="BA210" s="1"/>
      <c r="BB210" s="1"/>
      <c r="BC210" s="1">
        <v>968458.94084842212</v>
      </c>
      <c r="BD210" s="1"/>
      <c r="BE210" s="1"/>
      <c r="BF210" s="1"/>
      <c r="BG210" s="1"/>
      <c r="BH210" s="1"/>
      <c r="BI210" s="4">
        <v>9775697.8728997931</v>
      </c>
      <c r="BJ210" s="2">
        <v>941499.88257023983</v>
      </c>
      <c r="BK210" s="2"/>
      <c r="BL210" s="2"/>
      <c r="BM210" s="2"/>
      <c r="BN210" s="2"/>
      <c r="BO210" s="2"/>
      <c r="BP210" s="2"/>
      <c r="BQ210" s="2">
        <v>721918.667432455</v>
      </c>
      <c r="BR210" s="2"/>
      <c r="BS210" s="2"/>
      <c r="BT210" s="2"/>
      <c r="BU210" s="2"/>
      <c r="BV210" s="2"/>
      <c r="BW210" s="2"/>
      <c r="BX210" s="2"/>
      <c r="BY210" s="2"/>
      <c r="BZ210" s="1">
        <v>2196866.3210457098</v>
      </c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1">
        <v>538162.28896419157</v>
      </c>
      <c r="CU210" s="2"/>
      <c r="CV210" s="2"/>
      <c r="CW210" s="2"/>
      <c r="CX210" s="1">
        <v>1715210.6000352192</v>
      </c>
      <c r="CY210" s="2"/>
      <c r="CZ210" s="2"/>
      <c r="DA210" s="2"/>
      <c r="DB210" s="2"/>
      <c r="DC210" s="2"/>
      <c r="DD210" s="2"/>
      <c r="DE210" s="1">
        <v>960252.78082653857</v>
      </c>
      <c r="DF210" s="2"/>
      <c r="DG210" s="2"/>
      <c r="DH210" s="2"/>
      <c r="DI210" s="2"/>
      <c r="DJ210" s="2"/>
      <c r="DK210" s="2"/>
      <c r="DL210" s="1">
        <v>1130470.6928255016</v>
      </c>
      <c r="DM210" s="2"/>
      <c r="DN210" s="2"/>
      <c r="DO210" s="2"/>
      <c r="DP210" s="2"/>
      <c r="DQ210" s="2"/>
      <c r="DR210" s="2"/>
      <c r="DS210" s="1">
        <v>820402.61095841439</v>
      </c>
      <c r="DT210" s="2"/>
      <c r="DU210" s="2"/>
      <c r="DV210" s="2"/>
      <c r="DW210" s="2"/>
      <c r="DX210" s="2"/>
      <c r="DY210" s="2"/>
      <c r="DZ210" s="2"/>
      <c r="EA210" s="2"/>
      <c r="EB210" s="1">
        <v>96100.888934633069</v>
      </c>
      <c r="EC210" s="2"/>
      <c r="ED210" s="2"/>
      <c r="EE210" s="1">
        <v>142815.82173513304</v>
      </c>
      <c r="EF210" s="2"/>
      <c r="EG210" s="1">
        <v>511997.3175717566</v>
      </c>
      <c r="EH210" s="2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4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1">
        <v>3117723.1762549696</v>
      </c>
      <c r="LP210" s="1"/>
      <c r="LQ210" s="1"/>
      <c r="LR210" s="1"/>
      <c r="LS210" s="1"/>
      <c r="LT210" s="1"/>
      <c r="LU210" s="1">
        <v>2294560.6010376387</v>
      </c>
      <c r="LV210" s="1"/>
      <c r="LW210" s="1"/>
      <c r="LX210" s="1"/>
      <c r="LY210" s="1"/>
      <c r="LZ210" s="1"/>
      <c r="MA210" s="1"/>
      <c r="MB210" s="1"/>
      <c r="MC210" s="1"/>
      <c r="MD210" s="1"/>
      <c r="ME210" s="1"/>
    </row>
    <row r="211" spans="1:343">
      <c r="A211" s="1">
        <v>1574</v>
      </c>
      <c r="B211" s="1">
        <v>14388582.028504919</v>
      </c>
      <c r="C211" s="1">
        <v>3920466.0058938768</v>
      </c>
      <c r="D211" s="1"/>
      <c r="E211" s="1"/>
      <c r="F211" s="1"/>
      <c r="G211" s="1"/>
      <c r="H211" s="1"/>
      <c r="I211" s="1"/>
      <c r="J211" s="1"/>
      <c r="K211" s="1">
        <v>1841559.3653343997</v>
      </c>
      <c r="L211" s="1"/>
      <c r="M211" s="1"/>
      <c r="N211" s="1"/>
      <c r="O211" s="1"/>
      <c r="P211" s="1"/>
      <c r="Q211" s="1"/>
      <c r="R211" s="1"/>
      <c r="S211" s="1"/>
      <c r="T211" s="1"/>
      <c r="U211" s="1">
        <v>1921782.1296067787</v>
      </c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>
        <v>4289438.0668906104</v>
      </c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>
        <v>1443584.7595319473</v>
      </c>
      <c r="AU211" s="1"/>
      <c r="AV211" s="1"/>
      <c r="AW211" s="1"/>
      <c r="AX211" s="1"/>
      <c r="AY211" s="1"/>
      <c r="AZ211" s="1"/>
      <c r="BA211" s="1"/>
      <c r="BB211" s="1"/>
      <c r="BC211" s="1">
        <v>971751.70124730677</v>
      </c>
      <c r="BD211" s="1"/>
      <c r="BE211" s="1"/>
      <c r="BF211" s="1"/>
      <c r="BG211" s="1"/>
      <c r="BH211" s="1"/>
      <c r="BI211" s="4">
        <v>9820513.6594738569</v>
      </c>
      <c r="BJ211" s="2">
        <v>945360.03208877787</v>
      </c>
      <c r="BK211" s="2"/>
      <c r="BL211" s="2"/>
      <c r="BM211" s="2"/>
      <c r="BN211" s="2"/>
      <c r="BO211" s="2"/>
      <c r="BP211" s="2"/>
      <c r="BQ211" s="2">
        <v>724084.42343475227</v>
      </c>
      <c r="BR211" s="2"/>
      <c r="BS211" s="2"/>
      <c r="BT211" s="2"/>
      <c r="BU211" s="2"/>
      <c r="BV211" s="2"/>
      <c r="BW211" s="2"/>
      <c r="BX211" s="2"/>
      <c r="BY211" s="2"/>
      <c r="BZ211" s="1">
        <v>2212244.3852930297</v>
      </c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1">
        <v>539992.04074666987</v>
      </c>
      <c r="CU211" s="2"/>
      <c r="CV211" s="2"/>
      <c r="CW211" s="2"/>
      <c r="CX211" s="1">
        <v>1721042.316075339</v>
      </c>
      <c r="CY211" s="2"/>
      <c r="CZ211" s="2"/>
      <c r="DA211" s="2"/>
      <c r="DB211" s="2"/>
      <c r="DC211" s="2"/>
      <c r="DD211" s="2"/>
      <c r="DE211" s="1">
        <v>963517.64028134884</v>
      </c>
      <c r="DF211" s="2"/>
      <c r="DG211" s="2"/>
      <c r="DH211" s="2"/>
      <c r="DI211" s="2"/>
      <c r="DJ211" s="2"/>
      <c r="DK211" s="2"/>
      <c r="DL211" s="1">
        <v>1134314.2931811083</v>
      </c>
      <c r="DM211" s="2"/>
      <c r="DN211" s="2"/>
      <c r="DO211" s="2"/>
      <c r="DP211" s="2"/>
      <c r="DQ211" s="2"/>
      <c r="DR211" s="2"/>
      <c r="DS211" s="1">
        <v>826145.42923512321</v>
      </c>
      <c r="DT211" s="2"/>
      <c r="DU211" s="2"/>
      <c r="DV211" s="2"/>
      <c r="DW211" s="2"/>
      <c r="DX211" s="2"/>
      <c r="DY211" s="2"/>
      <c r="DZ211" s="2"/>
      <c r="EA211" s="2"/>
      <c r="EB211" s="1">
        <v>96773.595157175485</v>
      </c>
      <c r="EC211" s="2"/>
      <c r="ED211" s="2"/>
      <c r="EE211" s="1">
        <v>143301.39552903251</v>
      </c>
      <c r="EF211" s="2"/>
      <c r="EG211" s="1">
        <v>513738.10845150059</v>
      </c>
      <c r="EH211" s="2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4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1">
        <v>3128323.4350542366</v>
      </c>
      <c r="LP211" s="1"/>
      <c r="LQ211" s="1"/>
      <c r="LR211" s="1"/>
      <c r="LS211" s="1"/>
      <c r="LT211" s="1"/>
      <c r="LU211" s="1">
        <v>2302362.1070811669</v>
      </c>
      <c r="LV211" s="1"/>
      <c r="LW211" s="1"/>
      <c r="LX211" s="1"/>
      <c r="LY211" s="1"/>
      <c r="LZ211" s="1"/>
      <c r="MA211" s="1"/>
      <c r="MB211" s="1"/>
      <c r="MC211" s="1"/>
      <c r="MD211" s="1"/>
      <c r="ME211" s="1"/>
    </row>
    <row r="212" spans="1:343">
      <c r="A212" s="1">
        <v>1575</v>
      </c>
      <c r="B212" s="1">
        <v>14441642.883046273</v>
      </c>
      <c r="C212" s="1">
        <v>3933795.5903139161</v>
      </c>
      <c r="D212" s="1"/>
      <c r="E212" s="1"/>
      <c r="F212" s="1"/>
      <c r="G212" s="1"/>
      <c r="H212" s="1"/>
      <c r="I212" s="1"/>
      <c r="J212" s="1"/>
      <c r="K212" s="1">
        <v>1849846.3824784046</v>
      </c>
      <c r="L212" s="1"/>
      <c r="M212" s="1"/>
      <c r="N212" s="1"/>
      <c r="O212" s="1"/>
      <c r="P212" s="1"/>
      <c r="Q212" s="1"/>
      <c r="R212" s="1"/>
      <c r="S212" s="1"/>
      <c r="T212" s="1"/>
      <c r="U212" s="1">
        <v>1930430.1491900091</v>
      </c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>
        <v>4304022.1563180387</v>
      </c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>
        <v>1448492.947714356</v>
      </c>
      <c r="AU212" s="1"/>
      <c r="AV212" s="1"/>
      <c r="AW212" s="1"/>
      <c r="AX212" s="1"/>
      <c r="AY212" s="1"/>
      <c r="AZ212" s="1"/>
      <c r="BA212" s="1"/>
      <c r="BB212" s="1"/>
      <c r="BC212" s="1">
        <v>975055.65703154763</v>
      </c>
      <c r="BD212" s="1"/>
      <c r="BE212" s="1"/>
      <c r="BF212" s="1"/>
      <c r="BG212" s="1"/>
      <c r="BH212" s="1"/>
      <c r="BI212" s="4">
        <v>9865562.1124440227</v>
      </c>
      <c r="BJ212" s="2">
        <v>949236.00822034187</v>
      </c>
      <c r="BK212" s="2"/>
      <c r="BL212" s="2"/>
      <c r="BM212" s="2"/>
      <c r="BN212" s="2"/>
      <c r="BO212" s="2"/>
      <c r="BP212" s="2"/>
      <c r="BQ212" s="2">
        <v>726256.67670505645</v>
      </c>
      <c r="BR212" s="2"/>
      <c r="BS212" s="2"/>
      <c r="BT212" s="2"/>
      <c r="BU212" s="2"/>
      <c r="BV212" s="2"/>
      <c r="BW212" s="2"/>
      <c r="BX212" s="2"/>
      <c r="BY212" s="2"/>
      <c r="BZ212" s="1">
        <v>2227730.0959900809</v>
      </c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1">
        <v>541828.01368520863</v>
      </c>
      <c r="CU212" s="2"/>
      <c r="CV212" s="2"/>
      <c r="CW212" s="2"/>
      <c r="CX212" s="1">
        <v>1726893.8599499953</v>
      </c>
      <c r="CY212" s="2"/>
      <c r="CZ212" s="2"/>
      <c r="DA212" s="2"/>
      <c r="DB212" s="2"/>
      <c r="DC212" s="2"/>
      <c r="DD212" s="2"/>
      <c r="DE212" s="1">
        <v>966793.60025830544</v>
      </c>
      <c r="DF212" s="2"/>
      <c r="DG212" s="2"/>
      <c r="DH212" s="2"/>
      <c r="DI212" s="2"/>
      <c r="DJ212" s="2"/>
      <c r="DK212" s="2"/>
      <c r="DL212" s="1">
        <v>1138170.9617779241</v>
      </c>
      <c r="DM212" s="2"/>
      <c r="DN212" s="2"/>
      <c r="DO212" s="2"/>
      <c r="DP212" s="2"/>
      <c r="DQ212" s="2"/>
      <c r="DR212" s="2"/>
      <c r="DS212" s="1">
        <v>831928.44723976904</v>
      </c>
      <c r="DT212" s="2"/>
      <c r="DU212" s="2"/>
      <c r="DV212" s="2"/>
      <c r="DW212" s="2"/>
      <c r="DX212" s="2"/>
      <c r="DY212" s="2"/>
      <c r="DZ212" s="2"/>
      <c r="EA212" s="2"/>
      <c r="EB212" s="1">
        <v>97451.01032327571</v>
      </c>
      <c r="EC212" s="2"/>
      <c r="ED212" s="2"/>
      <c r="EE212" s="1">
        <v>143788.62027383124</v>
      </c>
      <c r="EF212" s="2"/>
      <c r="EG212" s="1">
        <v>515484.81802023575</v>
      </c>
      <c r="EH212" s="2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4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1">
        <v>3138959.7347334214</v>
      </c>
      <c r="LP212" s="1"/>
      <c r="LQ212" s="1"/>
      <c r="LR212" s="1"/>
      <c r="LS212" s="1"/>
      <c r="LT212" s="1"/>
      <c r="LU212" s="1">
        <v>2310190.1382452431</v>
      </c>
      <c r="LV212" s="1"/>
      <c r="LW212" s="1"/>
      <c r="LX212" s="1"/>
      <c r="LY212" s="1"/>
      <c r="LZ212" s="1"/>
      <c r="MA212" s="1"/>
      <c r="MB212" s="1"/>
      <c r="MC212" s="1"/>
      <c r="MD212" s="1"/>
      <c r="ME212" s="1"/>
    </row>
    <row r="213" spans="1:343">
      <c r="A213" s="1">
        <v>1576</v>
      </c>
      <c r="B213" s="1">
        <v>14494902.773033468</v>
      </c>
      <c r="C213" s="1">
        <v>3947170.4953209837</v>
      </c>
      <c r="D213" s="1"/>
      <c r="E213" s="1"/>
      <c r="F213" s="1"/>
      <c r="G213" s="1"/>
      <c r="H213" s="1"/>
      <c r="I213" s="1"/>
      <c r="J213" s="1"/>
      <c r="K213" s="1">
        <v>1858170.6911995574</v>
      </c>
      <c r="L213" s="1"/>
      <c r="M213" s="1"/>
      <c r="N213" s="1"/>
      <c r="O213" s="1"/>
      <c r="P213" s="1"/>
      <c r="Q213" s="1"/>
      <c r="R213" s="1"/>
      <c r="S213" s="1"/>
      <c r="T213" s="1"/>
      <c r="U213" s="1">
        <v>1939117.084861364</v>
      </c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>
        <v>4318655.8316495204</v>
      </c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>
        <v>1453417.823736585</v>
      </c>
      <c r="AU213" s="1"/>
      <c r="AV213" s="1"/>
      <c r="AW213" s="1"/>
      <c r="AX213" s="1"/>
      <c r="AY213" s="1"/>
      <c r="AZ213" s="1"/>
      <c r="BA213" s="1"/>
      <c r="BB213" s="1"/>
      <c r="BC213" s="1">
        <v>978370.84626545501</v>
      </c>
      <c r="BD213" s="1"/>
      <c r="BE213" s="1"/>
      <c r="BF213" s="1"/>
      <c r="BG213" s="1"/>
      <c r="BH213" s="1"/>
      <c r="BI213" s="4">
        <v>9910844.5805541966</v>
      </c>
      <c r="BJ213" s="2">
        <v>953127.87585404527</v>
      </c>
      <c r="BK213" s="2"/>
      <c r="BL213" s="2"/>
      <c r="BM213" s="2"/>
      <c r="BN213" s="2"/>
      <c r="BO213" s="2"/>
      <c r="BP213" s="2"/>
      <c r="BQ213" s="2">
        <v>728435.44673517148</v>
      </c>
      <c r="BR213" s="2"/>
      <c r="BS213" s="2"/>
      <c r="BT213" s="2"/>
      <c r="BU213" s="2"/>
      <c r="BV213" s="2"/>
      <c r="BW213" s="2"/>
      <c r="BX213" s="2"/>
      <c r="BY213" s="2"/>
      <c r="BZ213" s="1">
        <v>2243324.2066620113</v>
      </c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1">
        <v>543670.22893173841</v>
      </c>
      <c r="CU213" s="2"/>
      <c r="CV213" s="2"/>
      <c r="CW213" s="2"/>
      <c r="CX213" s="1">
        <v>1732765.2990738254</v>
      </c>
      <c r="CY213" s="2"/>
      <c r="CZ213" s="2"/>
      <c r="DA213" s="2"/>
      <c r="DB213" s="2"/>
      <c r="DC213" s="2"/>
      <c r="DD213" s="2"/>
      <c r="DE213" s="1">
        <v>970080.69849918375</v>
      </c>
      <c r="DF213" s="2"/>
      <c r="DG213" s="2"/>
      <c r="DH213" s="2"/>
      <c r="DI213" s="2"/>
      <c r="DJ213" s="2"/>
      <c r="DK213" s="2"/>
      <c r="DL213" s="1">
        <v>1142040.7430479692</v>
      </c>
      <c r="DM213" s="2"/>
      <c r="DN213" s="2"/>
      <c r="DO213" s="2"/>
      <c r="DP213" s="2"/>
      <c r="DQ213" s="2"/>
      <c r="DR213" s="2"/>
      <c r="DS213" s="1">
        <v>837751.94637044729</v>
      </c>
      <c r="DT213" s="2"/>
      <c r="DU213" s="2"/>
      <c r="DV213" s="2"/>
      <c r="DW213" s="2"/>
      <c r="DX213" s="2"/>
      <c r="DY213" s="2"/>
      <c r="DZ213" s="2"/>
      <c r="EA213" s="2"/>
      <c r="EB213" s="1">
        <v>98133.167395538636</v>
      </c>
      <c r="EC213" s="2"/>
      <c r="ED213" s="2"/>
      <c r="EE213" s="1">
        <v>144277.50158276228</v>
      </c>
      <c r="EF213" s="2"/>
      <c r="EG213" s="1">
        <v>517237.46640150459</v>
      </c>
      <c r="EH213" s="2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4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1">
        <v>3149632.1978315152</v>
      </c>
      <c r="LP213" s="1"/>
      <c r="LQ213" s="1"/>
      <c r="LR213" s="1"/>
      <c r="LS213" s="1"/>
      <c r="LT213" s="1"/>
      <c r="LU213" s="1">
        <v>2318044.7847152771</v>
      </c>
      <c r="LV213" s="1"/>
      <c r="LW213" s="1"/>
      <c r="LX213" s="1"/>
      <c r="LY213" s="1"/>
      <c r="LZ213" s="1"/>
      <c r="MA213" s="1"/>
      <c r="MB213" s="1"/>
      <c r="MC213" s="1"/>
      <c r="MD213" s="1"/>
      <c r="ME213" s="1"/>
    </row>
    <row r="214" spans="1:343">
      <c r="A214" s="1">
        <v>1577</v>
      </c>
      <c r="B214" s="1">
        <v>14548362.459015448</v>
      </c>
      <c r="C214" s="1">
        <v>3960590.8750050752</v>
      </c>
      <c r="D214" s="1"/>
      <c r="E214" s="1"/>
      <c r="F214" s="1"/>
      <c r="G214" s="1"/>
      <c r="H214" s="1"/>
      <c r="I214" s="1"/>
      <c r="J214" s="1"/>
      <c r="K214" s="1">
        <v>1866532.4593099554</v>
      </c>
      <c r="L214" s="1"/>
      <c r="M214" s="1"/>
      <c r="N214" s="1"/>
      <c r="O214" s="1"/>
      <c r="P214" s="1"/>
      <c r="Q214" s="1"/>
      <c r="R214" s="1"/>
      <c r="S214" s="1"/>
      <c r="T214" s="1"/>
      <c r="U214" s="1">
        <v>1947843.1117432399</v>
      </c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>
        <v>4333339.2614771295</v>
      </c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>
        <v>1458359.4443372895</v>
      </c>
      <c r="AU214" s="1"/>
      <c r="AV214" s="1"/>
      <c r="AW214" s="1"/>
      <c r="AX214" s="1"/>
      <c r="AY214" s="1"/>
      <c r="AZ214" s="1"/>
      <c r="BA214" s="1"/>
      <c r="BB214" s="1"/>
      <c r="BC214" s="1">
        <v>981697.30714275758</v>
      </c>
      <c r="BD214" s="1"/>
      <c r="BE214" s="1"/>
      <c r="BF214" s="1"/>
      <c r="BG214" s="1"/>
      <c r="BH214" s="1"/>
      <c r="BI214" s="4">
        <v>9956362.4210160263</v>
      </c>
      <c r="BJ214" s="2">
        <v>957035.70014504681</v>
      </c>
      <c r="BK214" s="2"/>
      <c r="BL214" s="2"/>
      <c r="BM214" s="2"/>
      <c r="BN214" s="2"/>
      <c r="BO214" s="2"/>
      <c r="BP214" s="2"/>
      <c r="BQ214" s="2">
        <v>730620.75307537697</v>
      </c>
      <c r="BR214" s="2"/>
      <c r="BS214" s="2"/>
      <c r="BT214" s="2"/>
      <c r="BU214" s="2"/>
      <c r="BV214" s="2"/>
      <c r="BW214" s="2"/>
      <c r="BX214" s="2"/>
      <c r="BY214" s="2"/>
      <c r="BZ214" s="1">
        <v>2259027.4761086451</v>
      </c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1">
        <v>545518.70771010639</v>
      </c>
      <c r="CU214" s="2"/>
      <c r="CV214" s="2"/>
      <c r="CW214" s="2"/>
      <c r="CX214" s="1">
        <v>1738656.7010906765</v>
      </c>
      <c r="CY214" s="2"/>
      <c r="CZ214" s="2"/>
      <c r="DA214" s="2"/>
      <c r="DB214" s="2"/>
      <c r="DC214" s="2"/>
      <c r="DD214" s="2"/>
      <c r="DE214" s="1">
        <v>973378.972874081</v>
      </c>
      <c r="DF214" s="2"/>
      <c r="DG214" s="2"/>
      <c r="DH214" s="2"/>
      <c r="DI214" s="2"/>
      <c r="DJ214" s="2"/>
      <c r="DK214" s="2"/>
      <c r="DL214" s="1">
        <v>1145923.6815743323</v>
      </c>
      <c r="DM214" s="2"/>
      <c r="DN214" s="2"/>
      <c r="DO214" s="2"/>
      <c r="DP214" s="2"/>
      <c r="DQ214" s="2"/>
      <c r="DR214" s="2"/>
      <c r="DS214" s="1">
        <v>843616.20999504032</v>
      </c>
      <c r="DT214" s="2"/>
      <c r="DU214" s="2"/>
      <c r="DV214" s="2"/>
      <c r="DW214" s="2"/>
      <c r="DX214" s="2"/>
      <c r="DY214" s="2"/>
      <c r="DZ214" s="2"/>
      <c r="EA214" s="2"/>
      <c r="EB214" s="1">
        <v>98820.099567307392</v>
      </c>
      <c r="EC214" s="2"/>
      <c r="ED214" s="2"/>
      <c r="EE214" s="1">
        <v>144768.0450881437</v>
      </c>
      <c r="EF214" s="2"/>
      <c r="EG214" s="1">
        <v>518996.07378726976</v>
      </c>
      <c r="EH214" s="2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4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1">
        <v>3160340.9473041426</v>
      </c>
      <c r="LP214" s="1"/>
      <c r="LQ214" s="1"/>
      <c r="LR214" s="1"/>
      <c r="LS214" s="1"/>
      <c r="LT214" s="1"/>
      <c r="LU214" s="1">
        <v>2325926.1369833094</v>
      </c>
      <c r="LV214" s="1"/>
      <c r="LW214" s="1"/>
      <c r="LX214" s="1"/>
      <c r="LY214" s="1"/>
      <c r="LZ214" s="1"/>
      <c r="MA214" s="1"/>
      <c r="MB214" s="1"/>
      <c r="MC214" s="1"/>
      <c r="MD214" s="1"/>
      <c r="ME214" s="1"/>
    </row>
    <row r="215" spans="1:343">
      <c r="A215" s="1">
        <v>1578</v>
      </c>
      <c r="B215" s="1">
        <v>14602022.704504261</v>
      </c>
      <c r="C215" s="1">
        <v>3974056.8839800926</v>
      </c>
      <c r="D215" s="1"/>
      <c r="E215" s="1"/>
      <c r="F215" s="1"/>
      <c r="G215" s="1"/>
      <c r="H215" s="1"/>
      <c r="I215" s="1"/>
      <c r="J215" s="1"/>
      <c r="K215" s="1">
        <v>1874931.8553768501</v>
      </c>
      <c r="L215" s="1"/>
      <c r="M215" s="1"/>
      <c r="N215" s="1"/>
      <c r="O215" s="1"/>
      <c r="P215" s="1"/>
      <c r="Q215" s="1"/>
      <c r="R215" s="1"/>
      <c r="S215" s="1"/>
      <c r="T215" s="1"/>
      <c r="U215" s="1">
        <v>1956608.4057460844</v>
      </c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>
        <v>4348072.6149661522</v>
      </c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>
        <v>1463317.8664480364</v>
      </c>
      <c r="AU215" s="1"/>
      <c r="AV215" s="1"/>
      <c r="AW215" s="1"/>
      <c r="AX215" s="1"/>
      <c r="AY215" s="1"/>
      <c r="AZ215" s="1"/>
      <c r="BA215" s="1"/>
      <c r="BB215" s="1"/>
      <c r="BC215" s="1">
        <v>985035.07798704307</v>
      </c>
      <c r="BD215" s="1"/>
      <c r="BE215" s="1"/>
      <c r="BF215" s="1"/>
      <c r="BG215" s="1"/>
      <c r="BH215" s="1"/>
      <c r="BI215" s="4">
        <v>10002116.999564769</v>
      </c>
      <c r="BJ215" s="2">
        <v>960959.5465156415</v>
      </c>
      <c r="BK215" s="2"/>
      <c r="BL215" s="2"/>
      <c r="BM215" s="2"/>
      <c r="BN215" s="2"/>
      <c r="BO215" s="2"/>
      <c r="BP215" s="2"/>
      <c r="BQ215" s="2">
        <v>732812.615334603</v>
      </c>
      <c r="BR215" s="2"/>
      <c r="BS215" s="2"/>
      <c r="BT215" s="2"/>
      <c r="BU215" s="2"/>
      <c r="BV215" s="2"/>
      <c r="BW215" s="2"/>
      <c r="BX215" s="2"/>
      <c r="BY215" s="2"/>
      <c r="BZ215" s="1">
        <v>2274840.6684414055</v>
      </c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1">
        <v>547373.47131632082</v>
      </c>
      <c r="CU215" s="2"/>
      <c r="CV215" s="2"/>
      <c r="CW215" s="2"/>
      <c r="CX215" s="1">
        <v>1744568.1338743849</v>
      </c>
      <c r="CY215" s="2"/>
      <c r="CZ215" s="2"/>
      <c r="DA215" s="2"/>
      <c r="DB215" s="2"/>
      <c r="DC215" s="2"/>
      <c r="DD215" s="2"/>
      <c r="DE215" s="1">
        <v>976688.46138185298</v>
      </c>
      <c r="DF215" s="2"/>
      <c r="DG215" s="2"/>
      <c r="DH215" s="2"/>
      <c r="DI215" s="2"/>
      <c r="DJ215" s="2"/>
      <c r="DK215" s="2"/>
      <c r="DL215" s="1">
        <v>1149819.8220916851</v>
      </c>
      <c r="DM215" s="2"/>
      <c r="DN215" s="2"/>
      <c r="DO215" s="2"/>
      <c r="DP215" s="2"/>
      <c r="DQ215" s="2"/>
      <c r="DR215" s="2"/>
      <c r="DS215" s="1">
        <v>849521.52346500556</v>
      </c>
      <c r="DT215" s="2"/>
      <c r="DU215" s="2"/>
      <c r="DV215" s="2"/>
      <c r="DW215" s="2"/>
      <c r="DX215" s="2"/>
      <c r="DY215" s="2"/>
      <c r="DZ215" s="2"/>
      <c r="EA215" s="2"/>
      <c r="EB215" s="1">
        <v>99511.840264278537</v>
      </c>
      <c r="EC215" s="2"/>
      <c r="ED215" s="2"/>
      <c r="EE215" s="1">
        <v>145260.2564414434</v>
      </c>
      <c r="EF215" s="2"/>
      <c r="EG215" s="1">
        <v>520760.6604381465</v>
      </c>
      <c r="EH215" s="2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4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1">
        <v>3171086.1065249769</v>
      </c>
      <c r="LP215" s="1"/>
      <c r="LQ215" s="1"/>
      <c r="LR215" s="1"/>
      <c r="LS215" s="1"/>
      <c r="LT215" s="1"/>
      <c r="LU215" s="1">
        <v>2333834.2858490529</v>
      </c>
      <c r="LV215" s="1"/>
      <c r="LW215" s="1"/>
      <c r="LX215" s="1"/>
      <c r="LY215" s="1"/>
      <c r="LZ215" s="1"/>
      <c r="MA215" s="1"/>
      <c r="MB215" s="1"/>
      <c r="MC215" s="1"/>
      <c r="MD215" s="1"/>
      <c r="ME215" s="1"/>
    </row>
    <row r="216" spans="1:343">
      <c r="A216" s="1">
        <v>1579</v>
      </c>
      <c r="B216" s="1">
        <v>14655884.275986809</v>
      </c>
      <c r="C216" s="1">
        <v>3987568.677385625</v>
      </c>
      <c r="D216" s="1"/>
      <c r="E216" s="1"/>
      <c r="F216" s="1"/>
      <c r="G216" s="1"/>
      <c r="H216" s="1"/>
      <c r="I216" s="1"/>
      <c r="J216" s="1"/>
      <c r="K216" s="1">
        <v>1883369.0487260458</v>
      </c>
      <c r="L216" s="1"/>
      <c r="M216" s="1"/>
      <c r="N216" s="1"/>
      <c r="O216" s="1"/>
      <c r="P216" s="1"/>
      <c r="Q216" s="1"/>
      <c r="R216" s="1"/>
      <c r="S216" s="1"/>
      <c r="T216" s="1"/>
      <c r="U216" s="1">
        <v>1965413.1435719416</v>
      </c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>
        <v>4362856.0618570372</v>
      </c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>
        <v>1468293.1471939599</v>
      </c>
      <c r="AU216" s="1"/>
      <c r="AV216" s="1"/>
      <c r="AW216" s="1"/>
      <c r="AX216" s="1"/>
      <c r="AY216" s="1"/>
      <c r="AZ216" s="1"/>
      <c r="BA216" s="1"/>
      <c r="BB216" s="1"/>
      <c r="BC216" s="1">
        <v>988384.19725219905</v>
      </c>
      <c r="BD216" s="1"/>
      <c r="BE216" s="1"/>
      <c r="BF216" s="1"/>
      <c r="BG216" s="1"/>
      <c r="BH216" s="1"/>
      <c r="BI216" s="4">
        <v>10049575.315746201</v>
      </c>
      <c r="BJ216" s="2">
        <v>964899.48065635562</v>
      </c>
      <c r="BK216" s="2"/>
      <c r="BL216" s="2"/>
      <c r="BM216" s="2"/>
      <c r="BN216" s="2"/>
      <c r="BO216" s="2"/>
      <c r="BP216" s="2"/>
      <c r="BQ216" s="2">
        <v>736476.67841127596</v>
      </c>
      <c r="BR216" s="2"/>
      <c r="BS216" s="2"/>
      <c r="BT216" s="2"/>
      <c r="BU216" s="2"/>
      <c r="BV216" s="2"/>
      <c r="BW216" s="2"/>
      <c r="BX216" s="2"/>
      <c r="BY216" s="2"/>
      <c r="BZ216" s="1">
        <v>2290764.5531204953</v>
      </c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1">
        <v>549234.54111879633</v>
      </c>
      <c r="CU216" s="2"/>
      <c r="CV216" s="2"/>
      <c r="CW216" s="2"/>
      <c r="CX216" s="1">
        <v>1750499.665529558</v>
      </c>
      <c r="CY216" s="2"/>
      <c r="CZ216" s="2"/>
      <c r="DA216" s="2"/>
      <c r="DB216" s="2"/>
      <c r="DC216" s="2"/>
      <c r="DD216" s="2"/>
      <c r="DE216" s="1">
        <v>980009.20215055137</v>
      </c>
      <c r="DF216" s="2"/>
      <c r="DG216" s="2"/>
      <c r="DH216" s="2"/>
      <c r="DI216" s="2"/>
      <c r="DJ216" s="2"/>
      <c r="DK216" s="2"/>
      <c r="DL216" s="1">
        <v>1153729.209486797</v>
      </c>
      <c r="DM216" s="2"/>
      <c r="DN216" s="2"/>
      <c r="DO216" s="2"/>
      <c r="DP216" s="2"/>
      <c r="DQ216" s="2"/>
      <c r="DR216" s="2"/>
      <c r="DS216" s="1">
        <v>855468.17412926047</v>
      </c>
      <c r="DT216" s="2"/>
      <c r="DU216" s="2"/>
      <c r="DV216" s="2"/>
      <c r="DW216" s="2"/>
      <c r="DX216" s="2"/>
      <c r="DY216" s="2"/>
      <c r="DZ216" s="2"/>
      <c r="EA216" s="2"/>
      <c r="EB216" s="1">
        <v>100208.42314612848</v>
      </c>
      <c r="EC216" s="2"/>
      <c r="ED216" s="2"/>
      <c r="EE216" s="1">
        <v>145754.14131334433</v>
      </c>
      <c r="EF216" s="2"/>
      <c r="EG216" s="1">
        <v>522531.24668363621</v>
      </c>
      <c r="EH216" s="2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4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1">
        <v>3181867.7992871623</v>
      </c>
      <c r="LP216" s="1"/>
      <c r="LQ216" s="1"/>
      <c r="LR216" s="1"/>
      <c r="LS216" s="1"/>
      <c r="LT216" s="1"/>
      <c r="LU216" s="1">
        <v>2341769.3224209398</v>
      </c>
      <c r="LV216" s="1"/>
      <c r="LW216" s="1"/>
      <c r="LX216" s="1"/>
      <c r="LY216" s="1"/>
      <c r="LZ216" s="1"/>
      <c r="MA216" s="1"/>
      <c r="MB216" s="1"/>
      <c r="MC216" s="1"/>
      <c r="MD216" s="1"/>
      <c r="ME216" s="1"/>
    </row>
    <row r="217" spans="1:343">
      <c r="A217" s="1">
        <v>1580</v>
      </c>
      <c r="B217" s="1">
        <v>14709947.942936694</v>
      </c>
      <c r="C217" s="1">
        <v>4001126.4108887361</v>
      </c>
      <c r="D217" s="1"/>
      <c r="E217" s="1"/>
      <c r="F217" s="1"/>
      <c r="G217" s="1"/>
      <c r="H217" s="1"/>
      <c r="I217" s="1"/>
      <c r="J217" s="1"/>
      <c r="K217" s="1">
        <v>1891844.2094453129</v>
      </c>
      <c r="L217" s="1"/>
      <c r="M217" s="1"/>
      <c r="N217" s="1"/>
      <c r="O217" s="1"/>
      <c r="P217" s="1"/>
      <c r="Q217" s="1"/>
      <c r="R217" s="1"/>
      <c r="S217" s="1"/>
      <c r="T217" s="1"/>
      <c r="U217" s="1">
        <v>1974257.5027180153</v>
      </c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>
        <v>4377689.7724673515</v>
      </c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>
        <v>1473285.3438944195</v>
      </c>
      <c r="AU217" s="1"/>
      <c r="AV217" s="1"/>
      <c r="AW217" s="1"/>
      <c r="AX217" s="1"/>
      <c r="AY217" s="1"/>
      <c r="AZ217" s="1"/>
      <c r="BA217" s="1"/>
      <c r="BB217" s="1"/>
      <c r="BC217" s="1">
        <v>991744.70352285658</v>
      </c>
      <c r="BD217" s="1"/>
      <c r="BE217" s="1"/>
      <c r="BF217" s="1"/>
      <c r="BG217" s="1"/>
      <c r="BH217" s="1"/>
      <c r="BI217" s="4">
        <v>10097284.852283081</v>
      </c>
      <c r="BJ217" s="2">
        <v>968855.56852704671</v>
      </c>
      <c r="BK217" s="2"/>
      <c r="BL217" s="2"/>
      <c r="BM217" s="2"/>
      <c r="BN217" s="2"/>
      <c r="BO217" s="2"/>
      <c r="BP217" s="2"/>
      <c r="BQ217" s="2">
        <v>740159.0618033323</v>
      </c>
      <c r="BR217" s="2"/>
      <c r="BS217" s="2"/>
      <c r="BT217" s="2"/>
      <c r="BU217" s="2"/>
      <c r="BV217" s="2"/>
      <c r="BW217" s="2"/>
      <c r="BX217" s="2"/>
      <c r="BY217" s="2"/>
      <c r="BZ217" s="1">
        <v>2306799.9049923387</v>
      </c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1">
        <v>551101.93855860026</v>
      </c>
      <c r="CU217" s="2"/>
      <c r="CV217" s="2"/>
      <c r="CW217" s="2"/>
      <c r="CX217" s="1">
        <v>1756451.3643923586</v>
      </c>
      <c r="CY217" s="2"/>
      <c r="CZ217" s="2"/>
      <c r="DA217" s="2"/>
      <c r="DB217" s="2"/>
      <c r="DC217" s="2"/>
      <c r="DD217" s="2"/>
      <c r="DE217" s="1">
        <v>983341.23343786329</v>
      </c>
      <c r="DF217" s="2"/>
      <c r="DG217" s="2"/>
      <c r="DH217" s="2"/>
      <c r="DI217" s="2"/>
      <c r="DJ217" s="2"/>
      <c r="DK217" s="2"/>
      <c r="DL217" s="1">
        <v>1157651.8887990522</v>
      </c>
      <c r="DM217" s="2"/>
      <c r="DN217" s="2"/>
      <c r="DO217" s="2"/>
      <c r="DP217" s="2"/>
      <c r="DQ217" s="2"/>
      <c r="DR217" s="2"/>
      <c r="DS217" s="1">
        <v>861456.45134816517</v>
      </c>
      <c r="DT217" s="2"/>
      <c r="DU217" s="2"/>
      <c r="DV217" s="2"/>
      <c r="DW217" s="2"/>
      <c r="DX217" s="2"/>
      <c r="DY217" s="2"/>
      <c r="DZ217" s="2"/>
      <c r="EA217" s="2"/>
      <c r="EB217" s="1">
        <v>100909.88210815137</v>
      </c>
      <c r="EC217" s="2"/>
      <c r="ED217" s="2"/>
      <c r="EE217" s="1">
        <v>146249.70539380971</v>
      </c>
      <c r="EF217" s="2"/>
      <c r="EG217" s="1">
        <v>524307.85292236065</v>
      </c>
      <c r="EH217" s="2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4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1">
        <v>3192686.1498047388</v>
      </c>
      <c r="LP217" s="1"/>
      <c r="LQ217" s="1"/>
      <c r="LR217" s="1"/>
      <c r="LS217" s="1"/>
      <c r="LT217" s="1"/>
      <c r="LU217" s="1">
        <v>2349731.3381171711</v>
      </c>
      <c r="LV217" s="1"/>
      <c r="LW217" s="1"/>
      <c r="LX217" s="1"/>
      <c r="LY217" s="1"/>
      <c r="LZ217" s="1"/>
      <c r="MA217" s="1"/>
      <c r="MB217" s="1"/>
      <c r="MC217" s="1"/>
      <c r="MD217" s="1"/>
      <c r="ME217" s="1"/>
    </row>
    <row r="218" spans="1:343">
      <c r="A218" s="1">
        <v>1581</v>
      </c>
      <c r="B218" s="1">
        <v>14764214.477826057</v>
      </c>
      <c r="C218" s="1">
        <v>4014730.2406857582</v>
      </c>
      <c r="D218" s="1"/>
      <c r="E218" s="1"/>
      <c r="F218" s="1"/>
      <c r="G218" s="1"/>
      <c r="H218" s="1"/>
      <c r="I218" s="1"/>
      <c r="J218" s="1"/>
      <c r="K218" s="1">
        <v>1900357.5083878166</v>
      </c>
      <c r="L218" s="1"/>
      <c r="M218" s="1"/>
      <c r="N218" s="1"/>
      <c r="O218" s="1"/>
      <c r="P218" s="1"/>
      <c r="Q218" s="1"/>
      <c r="R218" s="1"/>
      <c r="S218" s="1"/>
      <c r="T218" s="1"/>
      <c r="U218" s="1">
        <v>1983141.6614802463</v>
      </c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>
        <v>4392573.9176937407</v>
      </c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>
        <v>1478294.5140636605</v>
      </c>
      <c r="AU218" s="1"/>
      <c r="AV218" s="1"/>
      <c r="AW218" s="1"/>
      <c r="AX218" s="1"/>
      <c r="AY218" s="1"/>
      <c r="AZ218" s="1"/>
      <c r="BA218" s="1"/>
      <c r="BB218" s="1"/>
      <c r="BC218" s="1">
        <v>995116.63551483431</v>
      </c>
      <c r="BD218" s="1"/>
      <c r="BE218" s="1"/>
      <c r="BF218" s="1"/>
      <c r="BG218" s="1"/>
      <c r="BH218" s="1"/>
      <c r="BI218" s="4">
        <v>10145247.072636109</v>
      </c>
      <c r="BJ218" s="2">
        <v>972827.87635800755</v>
      </c>
      <c r="BK218" s="2"/>
      <c r="BL218" s="2"/>
      <c r="BM218" s="2"/>
      <c r="BN218" s="2"/>
      <c r="BO218" s="2"/>
      <c r="BP218" s="2"/>
      <c r="BQ218" s="2">
        <v>743859.85711234889</v>
      </c>
      <c r="BR218" s="2"/>
      <c r="BS218" s="2"/>
      <c r="BT218" s="2"/>
      <c r="BU218" s="2"/>
      <c r="BV218" s="2"/>
      <c r="BW218" s="2"/>
      <c r="BX218" s="2"/>
      <c r="BY218" s="2"/>
      <c r="BZ218" s="1">
        <v>2322947.5043272846</v>
      </c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1">
        <v>552975.68514969957</v>
      </c>
      <c r="CU218" s="2"/>
      <c r="CV218" s="2"/>
      <c r="CW218" s="2"/>
      <c r="CX218" s="1">
        <v>1762423.2990312928</v>
      </c>
      <c r="CY218" s="2"/>
      <c r="CZ218" s="2"/>
      <c r="DA218" s="2"/>
      <c r="DB218" s="2"/>
      <c r="DC218" s="2"/>
      <c r="DD218" s="2"/>
      <c r="DE218" s="1">
        <v>986684.59363155207</v>
      </c>
      <c r="DF218" s="2"/>
      <c r="DG218" s="2"/>
      <c r="DH218" s="2"/>
      <c r="DI218" s="2"/>
      <c r="DJ218" s="2"/>
      <c r="DK218" s="2"/>
      <c r="DL218" s="1">
        <v>1161587.9052209691</v>
      </c>
      <c r="DM218" s="2"/>
      <c r="DN218" s="2"/>
      <c r="DO218" s="2"/>
      <c r="DP218" s="2"/>
      <c r="DQ218" s="2"/>
      <c r="DR218" s="2"/>
      <c r="DS218" s="1">
        <v>867486.64650760219</v>
      </c>
      <c r="DT218" s="2"/>
      <c r="DU218" s="2"/>
      <c r="DV218" s="2"/>
      <c r="DW218" s="2"/>
      <c r="DX218" s="2"/>
      <c r="DY218" s="2"/>
      <c r="DZ218" s="2"/>
      <c r="EA218" s="2"/>
      <c r="EB218" s="1">
        <v>101616.25128290843</v>
      </c>
      <c r="EC218" s="2"/>
      <c r="ED218" s="2"/>
      <c r="EE218" s="1">
        <v>146746.95439214868</v>
      </c>
      <c r="EF218" s="2"/>
      <c r="EG218" s="1">
        <v>526090.49962229666</v>
      </c>
      <c r="EH218" s="2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4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1">
        <v>3203541.2827140749</v>
      </c>
      <c r="LP218" s="1"/>
      <c r="LQ218" s="1"/>
      <c r="LR218" s="1"/>
      <c r="LS218" s="1"/>
      <c r="LT218" s="1"/>
      <c r="LU218" s="1">
        <v>2357720.4246667698</v>
      </c>
      <c r="LV218" s="1"/>
      <c r="LW218" s="1"/>
      <c r="LX218" s="1"/>
      <c r="LY218" s="1"/>
      <c r="LZ218" s="1"/>
      <c r="MA218" s="1"/>
      <c r="MB218" s="1"/>
      <c r="MC218" s="1"/>
      <c r="MD218" s="1"/>
      <c r="ME218" s="1"/>
    </row>
    <row r="219" spans="1:343">
      <c r="A219" s="1">
        <v>1582</v>
      </c>
      <c r="B219" s="1">
        <v>14818684.656137519</v>
      </c>
      <c r="C219" s="1">
        <v>4028380.3235040898</v>
      </c>
      <c r="D219" s="1"/>
      <c r="E219" s="1"/>
      <c r="F219" s="1"/>
      <c r="G219" s="1"/>
      <c r="H219" s="1"/>
      <c r="I219" s="1"/>
      <c r="J219" s="1"/>
      <c r="K219" s="1">
        <v>1908909.1171755616</v>
      </c>
      <c r="L219" s="1"/>
      <c r="M219" s="1"/>
      <c r="N219" s="1"/>
      <c r="O219" s="1"/>
      <c r="P219" s="1"/>
      <c r="Q219" s="1"/>
      <c r="R219" s="1"/>
      <c r="S219" s="1"/>
      <c r="T219" s="1"/>
      <c r="U219" s="1">
        <v>1992065.7989569074</v>
      </c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>
        <v>4407508.6690138998</v>
      </c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>
        <v>1483320.715411477</v>
      </c>
      <c r="AU219" s="1"/>
      <c r="AV219" s="1"/>
      <c r="AW219" s="1"/>
      <c r="AX219" s="1"/>
      <c r="AY219" s="1"/>
      <c r="AZ219" s="1"/>
      <c r="BA219" s="1"/>
      <c r="BB219" s="1"/>
      <c r="BC219" s="1">
        <v>998500.03207558487</v>
      </c>
      <c r="BD219" s="1"/>
      <c r="BE219" s="1"/>
      <c r="BF219" s="1"/>
      <c r="BG219" s="1"/>
      <c r="BH219" s="1"/>
      <c r="BI219" s="4">
        <v>10193463.449415527</v>
      </c>
      <c r="BJ219" s="2">
        <v>976816.47065107536</v>
      </c>
      <c r="BK219" s="2"/>
      <c r="BL219" s="2"/>
      <c r="BM219" s="2"/>
      <c r="BN219" s="2"/>
      <c r="BO219" s="2"/>
      <c r="BP219" s="2"/>
      <c r="BQ219" s="2">
        <v>747579.15639791056</v>
      </c>
      <c r="BR219" s="2"/>
      <c r="BS219" s="2"/>
      <c r="BT219" s="2"/>
      <c r="BU219" s="2"/>
      <c r="BV219" s="2"/>
      <c r="BW219" s="2"/>
      <c r="BX219" s="2"/>
      <c r="BY219" s="2"/>
      <c r="BZ219" s="1">
        <v>2339208.1368575753</v>
      </c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1">
        <v>554855.80247920856</v>
      </c>
      <c r="CU219" s="2"/>
      <c r="CV219" s="2"/>
      <c r="CW219" s="2"/>
      <c r="CX219" s="1">
        <v>1768415.5382479993</v>
      </c>
      <c r="CY219" s="2"/>
      <c r="CZ219" s="2"/>
      <c r="DA219" s="2"/>
      <c r="DB219" s="2"/>
      <c r="DC219" s="2"/>
      <c r="DD219" s="2"/>
      <c r="DE219" s="1">
        <v>990039.32124989945</v>
      </c>
      <c r="DF219" s="2"/>
      <c r="DG219" s="2"/>
      <c r="DH219" s="2"/>
      <c r="DI219" s="2"/>
      <c r="DJ219" s="2"/>
      <c r="DK219" s="2"/>
      <c r="DL219" s="1">
        <v>1165537.3040987204</v>
      </c>
      <c r="DM219" s="2"/>
      <c r="DN219" s="2"/>
      <c r="DO219" s="2"/>
      <c r="DP219" s="2"/>
      <c r="DQ219" s="2"/>
      <c r="DR219" s="2"/>
      <c r="DS219" s="1">
        <v>873559.05303315527</v>
      </c>
      <c r="DT219" s="2"/>
      <c r="DU219" s="2"/>
      <c r="DV219" s="2"/>
      <c r="DW219" s="2"/>
      <c r="DX219" s="2"/>
      <c r="DY219" s="2"/>
      <c r="DZ219" s="2"/>
      <c r="EA219" s="2"/>
      <c r="EB219" s="1">
        <v>102327.56504188878</v>
      </c>
      <c r="EC219" s="2"/>
      <c r="ED219" s="2"/>
      <c r="EE219" s="1">
        <v>147245.89403708201</v>
      </c>
      <c r="EF219" s="2"/>
      <c r="EG219" s="1">
        <v>527879.20732101251</v>
      </c>
      <c r="EH219" s="2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4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1">
        <v>3214433.3230753029</v>
      </c>
      <c r="LP219" s="1"/>
      <c r="LQ219" s="1"/>
      <c r="LR219" s="1"/>
      <c r="LS219" s="1"/>
      <c r="LT219" s="1"/>
      <c r="LU219" s="1">
        <v>2365736.674110637</v>
      </c>
      <c r="LV219" s="1"/>
      <c r="LW219" s="1"/>
      <c r="LX219" s="1"/>
      <c r="LY219" s="1"/>
      <c r="LZ219" s="1"/>
      <c r="MA219" s="1"/>
      <c r="MB219" s="1"/>
      <c r="MC219" s="1"/>
      <c r="MD219" s="1"/>
      <c r="ME219" s="1"/>
    </row>
    <row r="220" spans="1:343">
      <c r="A220" s="1">
        <v>1583</v>
      </c>
      <c r="B220" s="1">
        <v>14873359.256376134</v>
      </c>
      <c r="C220" s="1">
        <v>4042076.8166040042</v>
      </c>
      <c r="D220" s="1"/>
      <c r="E220" s="1"/>
      <c r="F220" s="1"/>
      <c r="G220" s="1"/>
      <c r="H220" s="1"/>
      <c r="I220" s="1"/>
      <c r="J220" s="1"/>
      <c r="K220" s="1">
        <v>1917499.2082028515</v>
      </c>
      <c r="L220" s="1"/>
      <c r="M220" s="1"/>
      <c r="N220" s="1"/>
      <c r="O220" s="1"/>
      <c r="P220" s="1"/>
      <c r="Q220" s="1"/>
      <c r="R220" s="1"/>
      <c r="S220" s="1"/>
      <c r="T220" s="1"/>
      <c r="U220" s="1">
        <v>2001030.0950522134</v>
      </c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>
        <v>4422494.1984885475</v>
      </c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>
        <v>1488364.0058438762</v>
      </c>
      <c r="AU220" s="1"/>
      <c r="AV220" s="1"/>
      <c r="AW220" s="1"/>
      <c r="AX220" s="1"/>
      <c r="AY220" s="1"/>
      <c r="AZ220" s="1"/>
      <c r="BA220" s="1"/>
      <c r="BB220" s="1"/>
      <c r="BC220" s="1">
        <v>1001894.9321846419</v>
      </c>
      <c r="BD220" s="1"/>
      <c r="BE220" s="1"/>
      <c r="BF220" s="1"/>
      <c r="BG220" s="1"/>
      <c r="BH220" s="1"/>
      <c r="BI220" s="4">
        <v>10241935.46444099</v>
      </c>
      <c r="BJ220" s="2">
        <v>980821.41818074475</v>
      </c>
      <c r="BK220" s="2"/>
      <c r="BL220" s="2"/>
      <c r="BM220" s="2"/>
      <c r="BN220" s="2"/>
      <c r="BO220" s="2"/>
      <c r="BP220" s="2"/>
      <c r="BQ220" s="2">
        <v>751317.0521799</v>
      </c>
      <c r="BR220" s="2"/>
      <c r="BS220" s="2"/>
      <c r="BT220" s="2"/>
      <c r="BU220" s="2"/>
      <c r="BV220" s="2"/>
      <c r="BW220" s="2"/>
      <c r="BX220" s="2"/>
      <c r="BY220" s="2"/>
      <c r="BZ220" s="1">
        <v>2355582.5938155781</v>
      </c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1">
        <v>556742.31220763794</v>
      </c>
      <c r="CU220" s="2"/>
      <c r="CV220" s="2"/>
      <c r="CW220" s="2"/>
      <c r="CX220" s="1">
        <v>1774428.1510780426</v>
      </c>
      <c r="CY220" s="2"/>
      <c r="CZ220" s="2"/>
      <c r="DA220" s="2"/>
      <c r="DB220" s="2"/>
      <c r="DC220" s="2"/>
      <c r="DD220" s="2"/>
      <c r="DE220" s="1">
        <v>993405.45494214923</v>
      </c>
      <c r="DF220" s="2"/>
      <c r="DG220" s="2"/>
      <c r="DH220" s="2"/>
      <c r="DI220" s="2"/>
      <c r="DJ220" s="2"/>
      <c r="DK220" s="2"/>
      <c r="DL220" s="1">
        <v>1169500.1309326561</v>
      </c>
      <c r="DM220" s="2"/>
      <c r="DN220" s="2"/>
      <c r="DO220" s="2"/>
      <c r="DP220" s="2"/>
      <c r="DQ220" s="2"/>
      <c r="DR220" s="2"/>
      <c r="DS220" s="1">
        <v>879673.96640438726</v>
      </c>
      <c r="DT220" s="2"/>
      <c r="DU220" s="2"/>
      <c r="DV220" s="2"/>
      <c r="DW220" s="2"/>
      <c r="DX220" s="2"/>
      <c r="DY220" s="2"/>
      <c r="DZ220" s="2"/>
      <c r="EA220" s="2"/>
      <c r="EB220" s="1">
        <v>103043.85799718199</v>
      </c>
      <c r="EC220" s="2"/>
      <c r="ED220" s="2"/>
      <c r="EE220" s="1">
        <v>147746.53007680809</v>
      </c>
      <c r="EF220" s="2"/>
      <c r="EG220" s="1">
        <v>529673.99662590399</v>
      </c>
      <c r="EH220" s="2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4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1">
        <v>3225362.396373759</v>
      </c>
      <c r="LP220" s="1"/>
      <c r="LQ220" s="1"/>
      <c r="LR220" s="1"/>
      <c r="LS220" s="1"/>
      <c r="LT220" s="1"/>
      <c r="LU220" s="1">
        <v>2373780.1788026132</v>
      </c>
      <c r="LV220" s="1"/>
      <c r="LW220" s="1"/>
      <c r="LX220" s="1"/>
      <c r="LY220" s="1"/>
      <c r="LZ220" s="1"/>
      <c r="MA220" s="1"/>
      <c r="MB220" s="1"/>
      <c r="MC220" s="1"/>
      <c r="MD220" s="1"/>
      <c r="ME220" s="1"/>
    </row>
    <row r="221" spans="1:343">
      <c r="A221" s="1">
        <v>1584</v>
      </c>
      <c r="B221" s="1">
        <v>14928239.060081394</v>
      </c>
      <c r="C221" s="1">
        <v>4055819.877780458</v>
      </c>
      <c r="D221" s="1"/>
      <c r="E221" s="1"/>
      <c r="F221" s="1"/>
      <c r="G221" s="1"/>
      <c r="H221" s="1"/>
      <c r="I221" s="1"/>
      <c r="J221" s="1"/>
      <c r="K221" s="1">
        <v>1926127.9546397643</v>
      </c>
      <c r="L221" s="1"/>
      <c r="M221" s="1"/>
      <c r="N221" s="1"/>
      <c r="O221" s="1"/>
      <c r="P221" s="1"/>
      <c r="Q221" s="1"/>
      <c r="R221" s="1"/>
      <c r="S221" s="1"/>
      <c r="T221" s="1"/>
      <c r="U221" s="1">
        <v>2010034.7304799482</v>
      </c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>
        <v>4437530.6787634091</v>
      </c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>
        <v>1493424.4434637455</v>
      </c>
      <c r="AU221" s="1"/>
      <c r="AV221" s="1"/>
      <c r="AW221" s="1"/>
      <c r="AX221" s="1"/>
      <c r="AY221" s="1"/>
      <c r="AZ221" s="1"/>
      <c r="BA221" s="1"/>
      <c r="BB221" s="1"/>
      <c r="BC221" s="1">
        <v>1005301.3749540698</v>
      </c>
      <c r="BD221" s="1"/>
      <c r="BE221" s="1"/>
      <c r="BF221" s="1"/>
      <c r="BG221" s="1"/>
      <c r="BH221" s="1"/>
      <c r="BI221" s="4">
        <v>10290664.608801886</v>
      </c>
      <c r="BJ221" s="2">
        <v>984842.78599528584</v>
      </c>
      <c r="BK221" s="2"/>
      <c r="BL221" s="2"/>
      <c r="BM221" s="2"/>
      <c r="BN221" s="2"/>
      <c r="BO221" s="2"/>
      <c r="BP221" s="2"/>
      <c r="BQ221" s="2">
        <v>755073.63744079939</v>
      </c>
      <c r="BR221" s="2"/>
      <c r="BS221" s="2"/>
      <c r="BT221" s="2"/>
      <c r="BU221" s="2"/>
      <c r="BV221" s="2"/>
      <c r="BW221" s="2"/>
      <c r="BX221" s="2"/>
      <c r="BY221" s="2"/>
      <c r="BZ221" s="1">
        <v>2372071.6719722869</v>
      </c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1">
        <v>558635.23606914398</v>
      </c>
      <c r="CU221" s="2"/>
      <c r="CV221" s="2"/>
      <c r="CW221" s="2"/>
      <c r="CX221" s="1">
        <v>1780461.206791708</v>
      </c>
      <c r="CY221" s="2"/>
      <c r="CZ221" s="2"/>
      <c r="DA221" s="2"/>
      <c r="DB221" s="2"/>
      <c r="DC221" s="2"/>
      <c r="DD221" s="2"/>
      <c r="DE221" s="1">
        <v>996783.03348895255</v>
      </c>
      <c r="DF221" s="2"/>
      <c r="DG221" s="2"/>
      <c r="DH221" s="2"/>
      <c r="DI221" s="2"/>
      <c r="DJ221" s="2"/>
      <c r="DK221" s="2"/>
      <c r="DL221" s="1">
        <v>1173476.4313778272</v>
      </c>
      <c r="DM221" s="2"/>
      <c r="DN221" s="2"/>
      <c r="DO221" s="2"/>
      <c r="DP221" s="2"/>
      <c r="DQ221" s="2"/>
      <c r="DR221" s="2"/>
      <c r="DS221" s="1">
        <v>885831.68416921783</v>
      </c>
      <c r="DT221" s="2"/>
      <c r="DU221" s="2"/>
      <c r="DV221" s="2"/>
      <c r="DW221" s="2"/>
      <c r="DX221" s="2"/>
      <c r="DY221" s="2"/>
      <c r="DZ221" s="2"/>
      <c r="EA221" s="2"/>
      <c r="EB221" s="1">
        <v>103765.16500316226</v>
      </c>
      <c r="EC221" s="2"/>
      <c r="ED221" s="2"/>
      <c r="EE221" s="1">
        <v>148248.86827906925</v>
      </c>
      <c r="EF221" s="2"/>
      <c r="EG221" s="1">
        <v>531474.88821443205</v>
      </c>
      <c r="EH221" s="2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4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1">
        <v>3236328.6285214298</v>
      </c>
      <c r="LP221" s="1"/>
      <c r="LQ221" s="1"/>
      <c r="LR221" s="1"/>
      <c r="LS221" s="1"/>
      <c r="LT221" s="1"/>
      <c r="LU221" s="1">
        <v>2381851.0314105423</v>
      </c>
      <c r="LV221" s="1"/>
      <c r="LW221" s="1"/>
      <c r="LX221" s="1"/>
      <c r="LY221" s="1"/>
      <c r="LZ221" s="1"/>
      <c r="MA221" s="1"/>
      <c r="MB221" s="1"/>
      <c r="MC221" s="1"/>
      <c r="MD221" s="1"/>
      <c r="ME221" s="1"/>
    </row>
    <row r="222" spans="1:343">
      <c r="A222" s="1">
        <v>1585</v>
      </c>
      <c r="B222" s="1">
        <v>14983324.851839302</v>
      </c>
      <c r="C222" s="1">
        <v>4069609.6653649118</v>
      </c>
      <c r="D222" s="1"/>
      <c r="E222" s="1"/>
      <c r="F222" s="1"/>
      <c r="G222" s="1"/>
      <c r="H222" s="1"/>
      <c r="I222" s="1"/>
      <c r="J222" s="1"/>
      <c r="K222" s="1">
        <v>1934795.5304356432</v>
      </c>
      <c r="L222" s="1"/>
      <c r="M222" s="1"/>
      <c r="N222" s="1"/>
      <c r="O222" s="1"/>
      <c r="P222" s="1"/>
      <c r="Q222" s="1"/>
      <c r="R222" s="1"/>
      <c r="S222" s="1"/>
      <c r="T222" s="1"/>
      <c r="U222" s="1">
        <v>2019079.886767108</v>
      </c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>
        <v>4452618.283071205</v>
      </c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>
        <v>1498502.0865715223</v>
      </c>
      <c r="AU222" s="1"/>
      <c r="AV222" s="1"/>
      <c r="AW222" s="1"/>
      <c r="AX222" s="1"/>
      <c r="AY222" s="1"/>
      <c r="AZ222" s="1"/>
      <c r="BA222" s="1"/>
      <c r="BB222" s="1"/>
      <c r="BC222" s="1">
        <v>1008719.3996289137</v>
      </c>
      <c r="BD222" s="1"/>
      <c r="BE222" s="1"/>
      <c r="BF222" s="1"/>
      <c r="BG222" s="1"/>
      <c r="BH222" s="1"/>
      <c r="BI222" s="4">
        <v>10339652.382918036</v>
      </c>
      <c r="BJ222" s="2">
        <v>988880.64141786646</v>
      </c>
      <c r="BK222" s="2"/>
      <c r="BL222" s="2"/>
      <c r="BM222" s="2"/>
      <c r="BN222" s="2"/>
      <c r="BO222" s="2"/>
      <c r="BP222" s="2"/>
      <c r="BQ222" s="2">
        <v>758849.00562800327</v>
      </c>
      <c r="BR222" s="2"/>
      <c r="BS222" s="2"/>
      <c r="BT222" s="2"/>
      <c r="BU222" s="2"/>
      <c r="BV222" s="2"/>
      <c r="BW222" s="2"/>
      <c r="BX222" s="2"/>
      <c r="BY222" s="2"/>
      <c r="BZ222" s="1">
        <v>2388676.1736760926</v>
      </c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1">
        <v>560534.59587177914</v>
      </c>
      <c r="CU222" s="2"/>
      <c r="CV222" s="2"/>
      <c r="CW222" s="2"/>
      <c r="CX222" s="1">
        <v>1786514.7748948</v>
      </c>
      <c r="CY222" s="2"/>
      <c r="CZ222" s="2"/>
      <c r="DA222" s="2"/>
      <c r="DB222" s="2"/>
      <c r="DC222" s="2"/>
      <c r="DD222" s="2"/>
      <c r="DE222" s="1">
        <v>1000172.095802815</v>
      </c>
      <c r="DF222" s="2"/>
      <c r="DG222" s="2"/>
      <c r="DH222" s="2"/>
      <c r="DI222" s="2"/>
      <c r="DJ222" s="2"/>
      <c r="DK222" s="2"/>
      <c r="DL222" s="1">
        <v>1177466.2512445119</v>
      </c>
      <c r="DM222" s="2"/>
      <c r="DN222" s="2"/>
      <c r="DO222" s="2"/>
      <c r="DP222" s="2"/>
      <c r="DQ222" s="2"/>
      <c r="DR222" s="2"/>
      <c r="DS222" s="1">
        <v>892032.5059584023</v>
      </c>
      <c r="DT222" s="2"/>
      <c r="DU222" s="2"/>
      <c r="DV222" s="2"/>
      <c r="DW222" s="2"/>
      <c r="DX222" s="2"/>
      <c r="DY222" s="2"/>
      <c r="DZ222" s="2"/>
      <c r="EA222" s="2"/>
      <c r="EB222" s="1">
        <v>104491.52115818438</v>
      </c>
      <c r="EC222" s="2"/>
      <c r="ED222" s="2"/>
      <c r="EE222" s="1">
        <v>148752.91443121809</v>
      </c>
      <c r="EF222" s="2"/>
      <c r="EG222" s="1">
        <v>533281.90283436119</v>
      </c>
      <c r="EH222" s="2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4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1">
        <v>3247332.1458584028</v>
      </c>
      <c r="LP222" s="1"/>
      <c r="LQ222" s="1"/>
      <c r="LR222" s="1"/>
      <c r="LS222" s="1"/>
      <c r="LT222" s="1"/>
      <c r="LU222" s="1">
        <v>2389949.3249173383</v>
      </c>
      <c r="LV222" s="1"/>
      <c r="LW222" s="1"/>
      <c r="LX222" s="1"/>
      <c r="LY222" s="1"/>
      <c r="LZ222" s="1"/>
      <c r="MA222" s="1"/>
      <c r="MB222" s="1"/>
      <c r="MC222" s="1"/>
      <c r="MD222" s="1"/>
      <c r="ME222" s="1"/>
    </row>
    <row r="223" spans="1:343">
      <c r="A223" s="1">
        <v>1586</v>
      </c>
      <c r="B223" s="1">
        <v>15038617.41929448</v>
      </c>
      <c r="C223" s="1">
        <v>4083446.3382271528</v>
      </c>
      <c r="D223" s="1"/>
      <c r="E223" s="1"/>
      <c r="F223" s="1"/>
      <c r="G223" s="1"/>
      <c r="H223" s="1"/>
      <c r="I223" s="1"/>
      <c r="J223" s="1"/>
      <c r="K223" s="1">
        <v>1943502.1103226035</v>
      </c>
      <c r="L223" s="1"/>
      <c r="M223" s="1"/>
      <c r="N223" s="1"/>
      <c r="O223" s="1"/>
      <c r="P223" s="1"/>
      <c r="Q223" s="1"/>
      <c r="R223" s="1"/>
      <c r="S223" s="1"/>
      <c r="T223" s="1"/>
      <c r="U223" s="1">
        <v>2028165.7462575599</v>
      </c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>
        <v>4467757.185233647</v>
      </c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>
        <v>1503596.9936658656</v>
      </c>
      <c r="AU223" s="1"/>
      <c r="AV223" s="1"/>
      <c r="AW223" s="1"/>
      <c r="AX223" s="1"/>
      <c r="AY223" s="1"/>
      <c r="AZ223" s="1"/>
      <c r="BA223" s="1"/>
      <c r="BB223" s="1"/>
      <c r="BC223" s="1">
        <v>1012149.0455876521</v>
      </c>
      <c r="BD223" s="1"/>
      <c r="BE223" s="1"/>
      <c r="BF223" s="1"/>
      <c r="BG223" s="1"/>
      <c r="BH223" s="1"/>
      <c r="BI223" s="4">
        <v>10388900.296600806</v>
      </c>
      <c r="BJ223" s="2">
        <v>992935.05204767967</v>
      </c>
      <c r="BK223" s="2"/>
      <c r="BL223" s="2"/>
      <c r="BM223" s="2"/>
      <c r="BN223" s="2"/>
      <c r="BO223" s="2"/>
      <c r="BP223" s="2"/>
      <c r="BQ223" s="2">
        <v>762643.25065614318</v>
      </c>
      <c r="BR223" s="2"/>
      <c r="BS223" s="2"/>
      <c r="BT223" s="2"/>
      <c r="BU223" s="2"/>
      <c r="BV223" s="2"/>
      <c r="BW223" s="2"/>
      <c r="BX223" s="2"/>
      <c r="BY223" s="2"/>
      <c r="BZ223" s="1">
        <v>2405396.9068918251</v>
      </c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1">
        <v>562440.4134977432</v>
      </c>
      <c r="CU223" s="2"/>
      <c r="CV223" s="2"/>
      <c r="CW223" s="2"/>
      <c r="CX223" s="1">
        <v>1792588.9251294425</v>
      </c>
      <c r="CY223" s="2"/>
      <c r="CZ223" s="2"/>
      <c r="DA223" s="2"/>
      <c r="DB223" s="2"/>
      <c r="DC223" s="2"/>
      <c r="DD223" s="2"/>
      <c r="DE223" s="1">
        <v>1003572.6809285447</v>
      </c>
      <c r="DF223" s="2"/>
      <c r="DG223" s="2"/>
      <c r="DH223" s="2"/>
      <c r="DI223" s="2"/>
      <c r="DJ223" s="2"/>
      <c r="DK223" s="2"/>
      <c r="DL223" s="1">
        <v>1181469.6364987434</v>
      </c>
      <c r="DM223" s="2"/>
      <c r="DN223" s="2"/>
      <c r="DO223" s="2"/>
      <c r="DP223" s="2"/>
      <c r="DQ223" s="2"/>
      <c r="DR223" s="2"/>
      <c r="DS223" s="1">
        <v>898276.73350011103</v>
      </c>
      <c r="DT223" s="2"/>
      <c r="DU223" s="2"/>
      <c r="DV223" s="2"/>
      <c r="DW223" s="2"/>
      <c r="DX223" s="2"/>
      <c r="DY223" s="2"/>
      <c r="DZ223" s="2"/>
      <c r="EA223" s="2"/>
      <c r="EB223" s="1">
        <v>105222.96180629166</v>
      </c>
      <c r="EC223" s="2"/>
      <c r="ED223" s="2"/>
      <c r="EE223" s="1">
        <v>149258.67434028423</v>
      </c>
      <c r="EF223" s="2"/>
      <c r="EG223" s="1">
        <v>535095.06130399799</v>
      </c>
      <c r="EH223" s="2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4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1">
        <v>3258373.0751543217</v>
      </c>
      <c r="LP223" s="1"/>
      <c r="LQ223" s="1"/>
      <c r="LR223" s="1"/>
      <c r="LS223" s="1"/>
      <c r="LT223" s="1"/>
      <c r="LU223" s="1">
        <v>2398075.1526220576</v>
      </c>
      <c r="LV223" s="1"/>
      <c r="LW223" s="1"/>
      <c r="LX223" s="1"/>
      <c r="LY223" s="1"/>
      <c r="LZ223" s="1"/>
      <c r="MA223" s="1"/>
      <c r="MB223" s="1"/>
      <c r="MC223" s="1"/>
      <c r="MD223" s="1"/>
      <c r="ME223" s="1"/>
    </row>
    <row r="224" spans="1:343">
      <c r="A224" s="1">
        <v>1587</v>
      </c>
      <c r="B224" s="1">
        <v>15094117.55316232</v>
      </c>
      <c r="C224" s="1">
        <v>4097330.0557771255</v>
      </c>
      <c r="D224" s="1"/>
      <c r="E224" s="1"/>
      <c r="F224" s="1"/>
      <c r="G224" s="1"/>
      <c r="H224" s="1"/>
      <c r="I224" s="1"/>
      <c r="J224" s="1"/>
      <c r="K224" s="1">
        <v>1952247.8698190551</v>
      </c>
      <c r="L224" s="1"/>
      <c r="M224" s="1"/>
      <c r="N224" s="1"/>
      <c r="O224" s="1"/>
      <c r="P224" s="1"/>
      <c r="Q224" s="1"/>
      <c r="R224" s="1"/>
      <c r="S224" s="1"/>
      <c r="T224" s="1"/>
      <c r="U224" s="1">
        <v>2037292.4921157188</v>
      </c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>
        <v>4482947.559663442</v>
      </c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>
        <v>1508709.2234443296</v>
      </c>
      <c r="AU224" s="1"/>
      <c r="AV224" s="1"/>
      <c r="AW224" s="1"/>
      <c r="AX224" s="1"/>
      <c r="AY224" s="1"/>
      <c r="AZ224" s="1"/>
      <c r="BA224" s="1"/>
      <c r="BB224" s="1"/>
      <c r="BC224" s="1">
        <v>1015590.3523426502</v>
      </c>
      <c r="BD224" s="1"/>
      <c r="BE224" s="1"/>
      <c r="BF224" s="1"/>
      <c r="BG224" s="1"/>
      <c r="BH224" s="1"/>
      <c r="BI224" s="4">
        <v>10438409.869114649</v>
      </c>
      <c r="BJ224" s="2">
        <v>997006.08576107514</v>
      </c>
      <c r="BK224" s="2"/>
      <c r="BL224" s="2"/>
      <c r="BM224" s="2"/>
      <c r="BN224" s="2"/>
      <c r="BO224" s="2"/>
      <c r="BP224" s="2"/>
      <c r="BQ224" s="2">
        <v>766456.46690942382</v>
      </c>
      <c r="BR224" s="2"/>
      <c r="BS224" s="2"/>
      <c r="BT224" s="2"/>
      <c r="BU224" s="2"/>
      <c r="BV224" s="2"/>
      <c r="BW224" s="2"/>
      <c r="BX224" s="2"/>
      <c r="BY224" s="2"/>
      <c r="BZ224" s="1">
        <v>2422234.6852400675</v>
      </c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1">
        <v>564352.7109036356</v>
      </c>
      <c r="CU224" s="2"/>
      <c r="CV224" s="2"/>
      <c r="CW224" s="2"/>
      <c r="CX224" s="1">
        <v>1798683.7274748827</v>
      </c>
      <c r="CY224" s="2"/>
      <c r="CZ224" s="2"/>
      <c r="DA224" s="2"/>
      <c r="DB224" s="2"/>
      <c r="DC224" s="2"/>
      <c r="DD224" s="2"/>
      <c r="DE224" s="1">
        <v>1006984.8280437018</v>
      </c>
      <c r="DF224" s="2"/>
      <c r="DG224" s="2"/>
      <c r="DH224" s="2"/>
      <c r="DI224" s="2"/>
      <c r="DJ224" s="2"/>
      <c r="DK224" s="2"/>
      <c r="DL224" s="1">
        <v>1185486.6332628392</v>
      </c>
      <c r="DM224" s="2"/>
      <c r="DN224" s="2"/>
      <c r="DO224" s="2"/>
      <c r="DP224" s="2"/>
      <c r="DQ224" s="2"/>
      <c r="DR224" s="2"/>
      <c r="DS224" s="1">
        <v>904564.67063461174</v>
      </c>
      <c r="DT224" s="2"/>
      <c r="DU224" s="2"/>
      <c r="DV224" s="2"/>
      <c r="DW224" s="2"/>
      <c r="DX224" s="2"/>
      <c r="DY224" s="2"/>
      <c r="DZ224" s="2"/>
      <c r="EA224" s="2"/>
      <c r="EB224" s="1">
        <v>105959.52253893569</v>
      </c>
      <c r="EC224" s="2"/>
      <c r="ED224" s="2"/>
      <c r="EE224" s="1">
        <v>149766.1538330412</v>
      </c>
      <c r="EF224" s="2"/>
      <c r="EG224" s="1">
        <v>536914.38451243157</v>
      </c>
      <c r="EH224" s="2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4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1">
        <v>3269451.5436098468</v>
      </c>
      <c r="LP224" s="1"/>
      <c r="LQ224" s="1"/>
      <c r="LR224" s="1"/>
      <c r="LS224" s="1"/>
      <c r="LT224" s="1"/>
      <c r="LU224" s="1">
        <v>2406228.6081409729</v>
      </c>
      <c r="LV224" s="1"/>
      <c r="LW224" s="1"/>
      <c r="LX224" s="1"/>
      <c r="LY224" s="1"/>
      <c r="LZ224" s="1"/>
      <c r="MA224" s="1"/>
      <c r="MB224" s="1"/>
      <c r="MC224" s="1"/>
      <c r="MD224" s="1"/>
      <c r="ME224" s="1"/>
    </row>
    <row r="225" spans="1:343">
      <c r="A225" s="1">
        <v>1588</v>
      </c>
      <c r="B225" s="1">
        <v>15149826.0472412</v>
      </c>
      <c r="C225" s="1">
        <v>4111260.9779667682</v>
      </c>
      <c r="D225" s="1"/>
      <c r="E225" s="1"/>
      <c r="F225" s="1"/>
      <c r="G225" s="1"/>
      <c r="H225" s="1"/>
      <c r="I225" s="1"/>
      <c r="J225" s="1"/>
      <c r="K225" s="1">
        <v>1961032.9852332408</v>
      </c>
      <c r="L225" s="1"/>
      <c r="M225" s="1"/>
      <c r="N225" s="1"/>
      <c r="O225" s="1"/>
      <c r="P225" s="1"/>
      <c r="Q225" s="1"/>
      <c r="R225" s="1"/>
      <c r="S225" s="1"/>
      <c r="T225" s="1"/>
      <c r="U225" s="1">
        <v>2046460.3083302395</v>
      </c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>
        <v>4498189.5813662978</v>
      </c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>
        <v>1513838.8348040404</v>
      </c>
      <c r="AU225" s="1"/>
      <c r="AV225" s="1"/>
      <c r="AW225" s="1"/>
      <c r="AX225" s="1"/>
      <c r="AY225" s="1"/>
      <c r="AZ225" s="1"/>
      <c r="BA225" s="1"/>
      <c r="BB225" s="1"/>
      <c r="BC225" s="1">
        <v>1019043.3595406152</v>
      </c>
      <c r="BD225" s="1"/>
      <c r="BE225" s="1"/>
      <c r="BF225" s="1"/>
      <c r="BG225" s="1"/>
      <c r="BH225" s="1"/>
      <c r="BI225" s="4">
        <v>10488182.629239013</v>
      </c>
      <c r="BJ225" s="2">
        <v>1001093.8107126956</v>
      </c>
      <c r="BK225" s="2"/>
      <c r="BL225" s="2"/>
      <c r="BM225" s="2"/>
      <c r="BN225" s="2"/>
      <c r="BO225" s="2"/>
      <c r="BP225" s="2"/>
      <c r="BQ225" s="2">
        <v>770288.74924397084</v>
      </c>
      <c r="BR225" s="2"/>
      <c r="BS225" s="2"/>
      <c r="BT225" s="2"/>
      <c r="BU225" s="2"/>
      <c r="BV225" s="2"/>
      <c r="BW225" s="2"/>
      <c r="BX225" s="2"/>
      <c r="BY225" s="2"/>
      <c r="BZ225" s="1">
        <v>2439190.3280367479</v>
      </c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1">
        <v>566271.51012070803</v>
      </c>
      <c r="CU225" s="2"/>
      <c r="CV225" s="2"/>
      <c r="CW225" s="2"/>
      <c r="CX225" s="1">
        <v>1804799.2521482974</v>
      </c>
      <c r="CY225" s="2"/>
      <c r="CZ225" s="2"/>
      <c r="DA225" s="2"/>
      <c r="DB225" s="2"/>
      <c r="DC225" s="2"/>
      <c r="DD225" s="2"/>
      <c r="DE225" s="1">
        <v>1010408.5764590505</v>
      </c>
      <c r="DF225" s="2"/>
      <c r="DG225" s="2"/>
      <c r="DH225" s="2"/>
      <c r="DI225" s="2"/>
      <c r="DJ225" s="2"/>
      <c r="DK225" s="2"/>
      <c r="DL225" s="1">
        <v>1189517.2878159329</v>
      </c>
      <c r="DM225" s="2"/>
      <c r="DN225" s="2"/>
      <c r="DO225" s="2"/>
      <c r="DP225" s="2"/>
      <c r="DQ225" s="2"/>
      <c r="DR225" s="2"/>
      <c r="DS225" s="1">
        <v>910896.62332905398</v>
      </c>
      <c r="DT225" s="2"/>
      <c r="DU225" s="2"/>
      <c r="DV225" s="2"/>
      <c r="DW225" s="2"/>
      <c r="DX225" s="2"/>
      <c r="DY225" s="2"/>
      <c r="DZ225" s="2"/>
      <c r="EA225" s="2"/>
      <c r="EB225" s="1">
        <v>106701.23919670824</v>
      </c>
      <c r="EC225" s="2"/>
      <c r="ED225" s="2"/>
      <c r="EE225" s="1">
        <v>150275.35875607355</v>
      </c>
      <c r="EF225" s="2"/>
      <c r="EG225" s="1">
        <v>538739.8934197739</v>
      </c>
      <c r="EH225" s="2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4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1">
        <v>3280567.6788581205</v>
      </c>
      <c r="LP225" s="1"/>
      <c r="LQ225" s="1"/>
      <c r="LR225" s="1"/>
      <c r="LS225" s="1"/>
      <c r="LT225" s="1"/>
      <c r="LU225" s="1">
        <v>2414409.7854086524</v>
      </c>
      <c r="LV225" s="1"/>
      <c r="LW225" s="1"/>
      <c r="LX225" s="1"/>
      <c r="LY225" s="1"/>
      <c r="LZ225" s="1"/>
      <c r="MA225" s="1"/>
      <c r="MB225" s="1"/>
      <c r="MC225" s="1"/>
      <c r="MD225" s="1"/>
      <c r="ME225" s="1"/>
    </row>
    <row r="226" spans="1:343">
      <c r="A226" s="1">
        <v>1589</v>
      </c>
      <c r="B226" s="1">
        <v>15205743.698424742</v>
      </c>
      <c r="C226" s="1">
        <v>4125239.2652918557</v>
      </c>
      <c r="D226" s="1"/>
      <c r="E226" s="1"/>
      <c r="F226" s="1"/>
      <c r="G226" s="1"/>
      <c r="H226" s="1"/>
      <c r="I226" s="1"/>
      <c r="J226" s="1"/>
      <c r="K226" s="1">
        <v>1969857.6336667903</v>
      </c>
      <c r="L226" s="1"/>
      <c r="M226" s="1"/>
      <c r="N226" s="1"/>
      <c r="O226" s="1"/>
      <c r="P226" s="1"/>
      <c r="Q226" s="1"/>
      <c r="R226" s="1"/>
      <c r="S226" s="1"/>
      <c r="T226" s="1"/>
      <c r="U226" s="1">
        <v>2055669.3797177256</v>
      </c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>
        <v>4513483.4259429434</v>
      </c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>
        <v>1518985.8868423742</v>
      </c>
      <c r="AU226" s="1"/>
      <c r="AV226" s="1"/>
      <c r="AW226" s="1"/>
      <c r="AX226" s="1"/>
      <c r="AY226" s="1"/>
      <c r="AZ226" s="1"/>
      <c r="BA226" s="1"/>
      <c r="BB226" s="1"/>
      <c r="BC226" s="1">
        <v>1022508.1069630533</v>
      </c>
      <c r="BD226" s="1"/>
      <c r="BE226" s="1"/>
      <c r="BF226" s="1"/>
      <c r="BG226" s="1"/>
      <c r="BH226" s="1"/>
      <c r="BI226" s="4">
        <v>10538220.115330737</v>
      </c>
      <c r="BJ226" s="2">
        <v>1005198.2953366176</v>
      </c>
      <c r="BK226" s="2"/>
      <c r="BL226" s="2"/>
      <c r="BM226" s="2"/>
      <c r="BN226" s="2"/>
      <c r="BO226" s="2"/>
      <c r="BP226" s="2"/>
      <c r="BQ226" s="2">
        <v>774140.19299019058</v>
      </c>
      <c r="BR226" s="2"/>
      <c r="BS226" s="2"/>
      <c r="BT226" s="2"/>
      <c r="BU226" s="2"/>
      <c r="BV226" s="2"/>
      <c r="BW226" s="2"/>
      <c r="BX226" s="2"/>
      <c r="BY226" s="2"/>
      <c r="BZ226" s="1">
        <v>2456264.6603330048</v>
      </c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1">
        <v>568196.83325511846</v>
      </c>
      <c r="CU226" s="2"/>
      <c r="CV226" s="2"/>
      <c r="CW226" s="2"/>
      <c r="CX226" s="1">
        <v>1810935.5696056017</v>
      </c>
      <c r="CY226" s="2"/>
      <c r="CZ226" s="2"/>
      <c r="DA226" s="2"/>
      <c r="DB226" s="2"/>
      <c r="DC226" s="2"/>
      <c r="DD226" s="2"/>
      <c r="DE226" s="1">
        <v>1013843.9656190113</v>
      </c>
      <c r="DF226" s="2"/>
      <c r="DG226" s="2"/>
      <c r="DH226" s="2"/>
      <c r="DI226" s="2"/>
      <c r="DJ226" s="2"/>
      <c r="DK226" s="2"/>
      <c r="DL226" s="1">
        <v>1193561.6465945072</v>
      </c>
      <c r="DM226" s="2"/>
      <c r="DN226" s="2"/>
      <c r="DO226" s="2"/>
      <c r="DP226" s="2"/>
      <c r="DQ226" s="2"/>
      <c r="DR226" s="2"/>
      <c r="DS226" s="1">
        <v>917272.89969235728</v>
      </c>
      <c r="DT226" s="2"/>
      <c r="DU226" s="2"/>
      <c r="DV226" s="2"/>
      <c r="DW226" s="2"/>
      <c r="DX226" s="2"/>
      <c r="DY226" s="2"/>
      <c r="DZ226" s="2"/>
      <c r="EA226" s="2"/>
      <c r="EB226" s="1">
        <v>107448.14787108518</v>
      </c>
      <c r="EC226" s="2"/>
      <c r="ED226" s="2"/>
      <c r="EE226" s="1">
        <v>150786.29497584421</v>
      </c>
      <c r="EF226" s="2"/>
      <c r="EG226" s="1">
        <v>540571.60905740119</v>
      </c>
      <c r="EH226" s="2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4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1">
        <v>3291721.6089662383</v>
      </c>
      <c r="LP226" s="1"/>
      <c r="LQ226" s="1"/>
      <c r="LR226" s="1"/>
      <c r="LS226" s="1"/>
      <c r="LT226" s="1"/>
      <c r="LU226" s="1">
        <v>2422618.7786790421</v>
      </c>
      <c r="LV226" s="1"/>
      <c r="LW226" s="1"/>
      <c r="LX226" s="1"/>
      <c r="LY226" s="1"/>
      <c r="LZ226" s="1"/>
      <c r="MA226" s="1"/>
      <c r="MB226" s="1"/>
      <c r="MC226" s="1"/>
      <c r="MD226" s="1"/>
      <c r="ME226" s="1"/>
    </row>
    <row r="227" spans="1:343">
      <c r="A227" s="1">
        <v>1590</v>
      </c>
      <c r="B227" s="1">
        <v>15261871.30671411</v>
      </c>
      <c r="C227" s="1">
        <v>4139265.0787938484</v>
      </c>
      <c r="D227" s="1"/>
      <c r="E227" s="1"/>
      <c r="F227" s="1"/>
      <c r="G227" s="1"/>
      <c r="H227" s="1"/>
      <c r="I227" s="1"/>
      <c r="J227" s="1"/>
      <c r="K227" s="1">
        <v>1978721.9930182907</v>
      </c>
      <c r="L227" s="1"/>
      <c r="M227" s="1"/>
      <c r="N227" s="1"/>
      <c r="O227" s="1"/>
      <c r="P227" s="1"/>
      <c r="Q227" s="1"/>
      <c r="R227" s="1"/>
      <c r="S227" s="1"/>
      <c r="T227" s="1"/>
      <c r="U227" s="1">
        <v>2064919.8919264553</v>
      </c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>
        <v>4528829.2695911499</v>
      </c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>
        <v>1524150.4388576385</v>
      </c>
      <c r="AU227" s="1"/>
      <c r="AV227" s="1"/>
      <c r="AW227" s="1"/>
      <c r="AX227" s="1"/>
      <c r="AY227" s="1"/>
      <c r="AZ227" s="1"/>
      <c r="BA227" s="1"/>
      <c r="BB227" s="1"/>
      <c r="BC227" s="1">
        <v>1025984.6345267278</v>
      </c>
      <c r="BD227" s="1"/>
      <c r="BE227" s="1"/>
      <c r="BF227" s="1"/>
      <c r="BG227" s="1"/>
      <c r="BH227" s="1"/>
      <c r="BI227" s="4">
        <v>10588523.87538681</v>
      </c>
      <c r="BJ227" s="2">
        <v>1009319.6083474978</v>
      </c>
      <c r="BK227" s="2"/>
      <c r="BL227" s="2"/>
      <c r="BM227" s="2"/>
      <c r="BN227" s="2"/>
      <c r="BO227" s="2"/>
      <c r="BP227" s="2"/>
      <c r="BQ227" s="2">
        <v>778010.89395514142</v>
      </c>
      <c r="BR227" s="2"/>
      <c r="BS227" s="2"/>
      <c r="BT227" s="2"/>
      <c r="BU227" s="2"/>
      <c r="BV227" s="2"/>
      <c r="BW227" s="2"/>
      <c r="BX227" s="2"/>
      <c r="BY227" s="2"/>
      <c r="BZ227" s="1">
        <v>2473458.5129553354</v>
      </c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1">
        <v>570128.70248818595</v>
      </c>
      <c r="CU227" s="2"/>
      <c r="CV227" s="2"/>
      <c r="CW227" s="2"/>
      <c r="CX227" s="1">
        <v>1817092.7505422609</v>
      </c>
      <c r="CY227" s="2"/>
      <c r="CZ227" s="2"/>
      <c r="DA227" s="2"/>
      <c r="DB227" s="2"/>
      <c r="DC227" s="2"/>
      <c r="DD227" s="2"/>
      <c r="DE227" s="1">
        <v>1017291.0351021161</v>
      </c>
      <c r="DF227" s="2"/>
      <c r="DG227" s="2"/>
      <c r="DH227" s="2"/>
      <c r="DI227" s="2"/>
      <c r="DJ227" s="2"/>
      <c r="DK227" s="2"/>
      <c r="DL227" s="1">
        <v>1197619.7561929286</v>
      </c>
      <c r="DM227" s="2"/>
      <c r="DN227" s="2"/>
      <c r="DO227" s="2"/>
      <c r="DP227" s="2"/>
      <c r="DQ227" s="2"/>
      <c r="DR227" s="2"/>
      <c r="DS227" s="1">
        <v>923693.80999020371</v>
      </c>
      <c r="DT227" s="2"/>
      <c r="DU227" s="2"/>
      <c r="DV227" s="2"/>
      <c r="DW227" s="2"/>
      <c r="DX227" s="2"/>
      <c r="DY227" s="2"/>
      <c r="DZ227" s="2"/>
      <c r="EA227" s="2"/>
      <c r="EB227" s="1">
        <v>108200.28490618277</v>
      </c>
      <c r="EC227" s="2"/>
      <c r="ED227" s="2"/>
      <c r="EE227" s="1">
        <v>151298.9683787621</v>
      </c>
      <c r="EF227" s="2"/>
      <c r="EG227" s="1">
        <v>542409.55252819636</v>
      </c>
      <c r="EH227" s="2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4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U227" s="2"/>
      <c r="KV227" s="2"/>
      <c r="KW227" s="2"/>
      <c r="KX227" s="2"/>
      <c r="KY227" s="2"/>
      <c r="KZ227" s="2"/>
      <c r="LA227" s="2"/>
      <c r="LB227" s="2"/>
      <c r="LC227" s="2"/>
      <c r="LD227" s="2"/>
      <c r="LE227" s="2"/>
      <c r="LF227" s="2"/>
      <c r="LG227" s="2"/>
      <c r="LH227" s="2"/>
      <c r="LI227" s="2"/>
      <c r="LJ227" s="2"/>
      <c r="LK227" s="2"/>
      <c r="LL227" s="2"/>
      <c r="LM227" s="2"/>
      <c r="LN227" s="2"/>
      <c r="LO227" s="1">
        <v>3302913.462436724</v>
      </c>
      <c r="LP227" s="1"/>
      <c r="LQ227" s="1"/>
      <c r="LR227" s="1"/>
      <c r="LS227" s="1"/>
      <c r="LT227" s="1"/>
      <c r="LU227" s="1">
        <v>2430855.6825265512</v>
      </c>
      <c r="LV227" s="1"/>
      <c r="LW227" s="1"/>
      <c r="LX227" s="1"/>
      <c r="LY227" s="1"/>
      <c r="LZ227" s="1"/>
      <c r="MA227" s="1"/>
      <c r="MB227" s="1"/>
      <c r="MC227" s="1"/>
      <c r="MD227" s="1"/>
      <c r="ME227" s="1"/>
    </row>
    <row r="228" spans="1:343">
      <c r="A228" s="1">
        <v>1591</v>
      </c>
      <c r="B228" s="1">
        <v>15318209.67523038</v>
      </c>
      <c r="C228" s="1">
        <v>4153338.5800617477</v>
      </c>
      <c r="D228" s="1"/>
      <c r="E228" s="1"/>
      <c r="F228" s="1"/>
      <c r="G228" s="1"/>
      <c r="H228" s="1"/>
      <c r="I228" s="1"/>
      <c r="J228" s="1"/>
      <c r="K228" s="1">
        <v>1987626.2419868729</v>
      </c>
      <c r="L228" s="1"/>
      <c r="M228" s="1"/>
      <c r="N228" s="1"/>
      <c r="O228" s="1"/>
      <c r="P228" s="1"/>
      <c r="Q228" s="1"/>
      <c r="R228" s="1"/>
      <c r="S228" s="1"/>
      <c r="T228" s="1"/>
      <c r="U228" s="1">
        <v>2074212.0314401241</v>
      </c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>
        <v>4544227.2891077604</v>
      </c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>
        <v>1529332.5503497545</v>
      </c>
      <c r="AU228" s="1"/>
      <c r="AV228" s="1"/>
      <c r="AW228" s="1"/>
      <c r="AX228" s="1"/>
      <c r="AY228" s="1"/>
      <c r="AZ228" s="1"/>
      <c r="BA228" s="1"/>
      <c r="BB228" s="1"/>
      <c r="BC228" s="1">
        <v>1029472.9822841188</v>
      </c>
      <c r="BD228" s="1"/>
      <c r="BE228" s="1"/>
      <c r="BF228" s="1"/>
      <c r="BG228" s="1"/>
      <c r="BH228" s="1"/>
      <c r="BI228" s="4">
        <v>10639095.467107564</v>
      </c>
      <c r="BJ228" s="2">
        <v>1013457.8187417225</v>
      </c>
      <c r="BK228" s="2"/>
      <c r="BL228" s="2"/>
      <c r="BM228" s="2"/>
      <c r="BN228" s="2"/>
      <c r="BO228" s="2"/>
      <c r="BP228" s="2"/>
      <c r="BQ228" s="2">
        <v>781900.94842491706</v>
      </c>
      <c r="BR228" s="2"/>
      <c r="BS228" s="2"/>
      <c r="BT228" s="2"/>
      <c r="BU228" s="2"/>
      <c r="BV228" s="2"/>
      <c r="BW228" s="2"/>
      <c r="BX228" s="2"/>
      <c r="BY228" s="2"/>
      <c r="BZ228" s="1">
        <v>2490772.7225460224</v>
      </c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1">
        <v>572067.14007664588</v>
      </c>
      <c r="CU228" s="2"/>
      <c r="CV228" s="2"/>
      <c r="CW228" s="2"/>
      <c r="CX228" s="1">
        <v>1823270.8658941048</v>
      </c>
      <c r="CY228" s="2"/>
      <c r="CZ228" s="2"/>
      <c r="DA228" s="2"/>
      <c r="DB228" s="2"/>
      <c r="DC228" s="2"/>
      <c r="DD228" s="2"/>
      <c r="DE228" s="1">
        <v>1020749.8246214633</v>
      </c>
      <c r="DF228" s="2"/>
      <c r="DG228" s="2"/>
      <c r="DH228" s="2"/>
      <c r="DI228" s="2"/>
      <c r="DJ228" s="2"/>
      <c r="DK228" s="2"/>
      <c r="DL228" s="1">
        <v>1201691.6633639848</v>
      </c>
      <c r="DM228" s="2"/>
      <c r="DN228" s="2"/>
      <c r="DO228" s="2"/>
      <c r="DP228" s="2"/>
      <c r="DQ228" s="2"/>
      <c r="DR228" s="2"/>
      <c r="DS228" s="1">
        <v>930159.66666013503</v>
      </c>
      <c r="DT228" s="2"/>
      <c r="DU228" s="2"/>
      <c r="DV228" s="2"/>
      <c r="DW228" s="2"/>
      <c r="DX228" s="2"/>
      <c r="DY228" s="2"/>
      <c r="DZ228" s="2"/>
      <c r="EA228" s="2"/>
      <c r="EB228" s="1">
        <v>108957.68690052604</v>
      </c>
      <c r="EC228" s="2"/>
      <c r="ED228" s="2"/>
      <c r="EE228" s="1">
        <v>151813.3848712499</v>
      </c>
      <c r="EF228" s="2"/>
      <c r="EG228" s="1">
        <v>544253.74500679225</v>
      </c>
      <c r="EH228" s="2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4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1">
        <v>3314143.3682090091</v>
      </c>
      <c r="LP228" s="1"/>
      <c r="LQ228" s="1"/>
      <c r="LR228" s="1"/>
      <c r="LS228" s="1"/>
      <c r="LT228" s="1"/>
      <c r="LU228" s="1">
        <v>2439120.5918471417</v>
      </c>
      <c r="LV228" s="1"/>
      <c r="LW228" s="1"/>
      <c r="LX228" s="1"/>
      <c r="LY228" s="1"/>
      <c r="LZ228" s="1"/>
      <c r="MA228" s="1"/>
      <c r="MB228" s="1"/>
      <c r="MC228" s="1"/>
      <c r="MD228" s="1"/>
      <c r="ME228" s="1"/>
    </row>
    <row r="229" spans="1:343">
      <c r="A229" s="1">
        <v>1592</v>
      </c>
      <c r="B229" s="1">
        <v>15374759.610226931</v>
      </c>
      <c r="C229" s="1">
        <v>4167459.9312339579</v>
      </c>
      <c r="D229" s="1"/>
      <c r="E229" s="1"/>
      <c r="F229" s="1"/>
      <c r="G229" s="1"/>
      <c r="H229" s="1"/>
      <c r="I229" s="1"/>
      <c r="J229" s="1"/>
      <c r="K229" s="1">
        <v>1996570.5600758137</v>
      </c>
      <c r="L229" s="1"/>
      <c r="M229" s="1"/>
      <c r="N229" s="1"/>
      <c r="O229" s="1"/>
      <c r="P229" s="1"/>
      <c r="Q229" s="1"/>
      <c r="R229" s="1"/>
      <c r="S229" s="1"/>
      <c r="T229" s="1"/>
      <c r="U229" s="1">
        <v>2083545.9855816045</v>
      </c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>
        <v>4559677.6618907275</v>
      </c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>
        <v>1534532.2810209438</v>
      </c>
      <c r="AU229" s="1"/>
      <c r="AV229" s="1"/>
      <c r="AW229" s="1"/>
      <c r="AX229" s="1"/>
      <c r="AY229" s="1"/>
      <c r="AZ229" s="1"/>
      <c r="BA229" s="1"/>
      <c r="BB229" s="1"/>
      <c r="BC229" s="1">
        <v>1032973.1904238849</v>
      </c>
      <c r="BD229" s="1"/>
      <c r="BE229" s="1"/>
      <c r="BF229" s="1"/>
      <c r="BG229" s="1"/>
      <c r="BH229" s="1"/>
      <c r="BI229" s="4">
        <v>10689936.457960315</v>
      </c>
      <c r="BJ229" s="2">
        <v>1017612.9957985636</v>
      </c>
      <c r="BK229" s="2"/>
      <c r="BL229" s="2"/>
      <c r="BM229" s="2"/>
      <c r="BN229" s="2"/>
      <c r="BO229" s="2"/>
      <c r="BP229" s="2"/>
      <c r="BQ229" s="2">
        <v>785810.45316704153</v>
      </c>
      <c r="BR229" s="2"/>
      <c r="BS229" s="2"/>
      <c r="BT229" s="2"/>
      <c r="BU229" s="2"/>
      <c r="BV229" s="2"/>
      <c r="BW229" s="2"/>
      <c r="BX229" s="2"/>
      <c r="BY229" s="2"/>
      <c r="BZ229" s="1">
        <v>2508208.1316038445</v>
      </c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1">
        <v>574012.16835290648</v>
      </c>
      <c r="CU229" s="2"/>
      <c r="CV229" s="2"/>
      <c r="CW229" s="2"/>
      <c r="CX229" s="1">
        <v>1829469.9868381449</v>
      </c>
      <c r="CY229" s="2"/>
      <c r="CZ229" s="2"/>
      <c r="DA229" s="2"/>
      <c r="DB229" s="2"/>
      <c r="DC229" s="2"/>
      <c r="DD229" s="2"/>
      <c r="DE229" s="1">
        <v>1024220.3740251764</v>
      </c>
      <c r="DF229" s="2"/>
      <c r="DG229" s="2"/>
      <c r="DH229" s="2"/>
      <c r="DI229" s="2"/>
      <c r="DJ229" s="2"/>
      <c r="DK229" s="2"/>
      <c r="DL229" s="1">
        <v>1205777.4150194223</v>
      </c>
      <c r="DM229" s="2"/>
      <c r="DN229" s="2"/>
      <c r="DO229" s="2"/>
      <c r="DP229" s="2"/>
      <c r="DQ229" s="2"/>
      <c r="DR229" s="2"/>
      <c r="DS229" s="1">
        <v>936670.78432675591</v>
      </c>
      <c r="DT229" s="2"/>
      <c r="DU229" s="2"/>
      <c r="DV229" s="2"/>
      <c r="DW229" s="2"/>
      <c r="DX229" s="2"/>
      <c r="DY229" s="2"/>
      <c r="DZ229" s="2"/>
      <c r="EA229" s="2"/>
      <c r="EB229" s="1">
        <v>109720.39070882971</v>
      </c>
      <c r="EC229" s="2"/>
      <c r="ED229" s="2"/>
      <c r="EE229" s="1">
        <v>152329.55037981216</v>
      </c>
      <c r="EF229" s="2"/>
      <c r="EG229" s="1">
        <v>546104.20773981535</v>
      </c>
      <c r="EH229" s="2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4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1">
        <v>3325411.4556609201</v>
      </c>
      <c r="LP229" s="1"/>
      <c r="LQ229" s="1"/>
      <c r="LR229" s="1"/>
      <c r="LS229" s="1"/>
      <c r="LT229" s="1"/>
      <c r="LU229" s="1">
        <v>2447413.6018594224</v>
      </c>
      <c r="LV229" s="1"/>
      <c r="LW229" s="1"/>
      <c r="LX229" s="1"/>
      <c r="LY229" s="1"/>
      <c r="LZ229" s="1"/>
      <c r="MA229" s="1"/>
      <c r="MB229" s="1"/>
      <c r="MC229" s="1"/>
      <c r="MD229" s="1"/>
      <c r="ME229" s="1"/>
    </row>
    <row r="230" spans="1:343">
      <c r="A230" s="1">
        <v>1593</v>
      </c>
      <c r="B230" s="1">
        <v>15431521.921101928</v>
      </c>
      <c r="C230" s="1">
        <v>4181629.2950001536</v>
      </c>
      <c r="D230" s="1"/>
      <c r="E230" s="1"/>
      <c r="F230" s="1"/>
      <c r="G230" s="1"/>
      <c r="H230" s="1"/>
      <c r="I230" s="1"/>
      <c r="J230" s="1"/>
      <c r="K230" s="1">
        <v>2005555.1275961548</v>
      </c>
      <c r="L230" s="1"/>
      <c r="M230" s="1"/>
      <c r="N230" s="1"/>
      <c r="O230" s="1"/>
      <c r="P230" s="1"/>
      <c r="Q230" s="1"/>
      <c r="R230" s="1"/>
      <c r="S230" s="1"/>
      <c r="T230" s="1"/>
      <c r="U230" s="1">
        <v>2092921.9425167216</v>
      </c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>
        <v>4575180.5659411559</v>
      </c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>
        <v>1539749.6907764152</v>
      </c>
      <c r="AU230" s="1"/>
      <c r="AV230" s="1"/>
      <c r="AW230" s="1"/>
      <c r="AX230" s="1"/>
      <c r="AY230" s="1"/>
      <c r="AZ230" s="1"/>
      <c r="BA230" s="1"/>
      <c r="BB230" s="1"/>
      <c r="BC230" s="1">
        <v>1036485.2992713262</v>
      </c>
      <c r="BD230" s="1"/>
      <c r="BE230" s="1"/>
      <c r="BF230" s="1"/>
      <c r="BG230" s="1"/>
      <c r="BH230" s="1"/>
      <c r="BI230" s="4">
        <v>10741048.425243406</v>
      </c>
      <c r="BJ230" s="2">
        <v>1021785.2090813377</v>
      </c>
      <c r="BK230" s="2"/>
      <c r="BL230" s="2"/>
      <c r="BM230" s="2"/>
      <c r="BN230" s="2"/>
      <c r="BO230" s="2"/>
      <c r="BP230" s="2"/>
      <c r="BQ230" s="2">
        <v>789739.50543287664</v>
      </c>
      <c r="BR230" s="2"/>
      <c r="BS230" s="2"/>
      <c r="BT230" s="2"/>
      <c r="BU230" s="2"/>
      <c r="BV230" s="2"/>
      <c r="BW230" s="2"/>
      <c r="BX230" s="2"/>
      <c r="BY230" s="2"/>
      <c r="BZ230" s="1">
        <v>2525765.5885250713</v>
      </c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1">
        <v>575963.80972530635</v>
      </c>
      <c r="CU230" s="2"/>
      <c r="CV230" s="2"/>
      <c r="CW230" s="2"/>
      <c r="CX230" s="1">
        <v>1835690.1847933948</v>
      </c>
      <c r="CY230" s="2"/>
      <c r="CZ230" s="2"/>
      <c r="DA230" s="2"/>
      <c r="DB230" s="2"/>
      <c r="DC230" s="2"/>
      <c r="DD230" s="2"/>
      <c r="DE230" s="1">
        <v>1027702.7232968621</v>
      </c>
      <c r="DF230" s="2"/>
      <c r="DG230" s="2"/>
      <c r="DH230" s="2"/>
      <c r="DI230" s="2"/>
      <c r="DJ230" s="2"/>
      <c r="DK230" s="2"/>
      <c r="DL230" s="1">
        <v>1209877.0582304883</v>
      </c>
      <c r="DM230" s="2"/>
      <c r="DN230" s="2"/>
      <c r="DO230" s="2"/>
      <c r="DP230" s="2"/>
      <c r="DQ230" s="2"/>
      <c r="DR230" s="2"/>
      <c r="DS230" s="1">
        <v>943227.47981704306</v>
      </c>
      <c r="DT230" s="2"/>
      <c r="DU230" s="2"/>
      <c r="DV230" s="2"/>
      <c r="DW230" s="2"/>
      <c r="DX230" s="2"/>
      <c r="DY230" s="2"/>
      <c r="DZ230" s="2"/>
      <c r="EA230" s="2"/>
      <c r="EB230" s="1">
        <v>110488.43344379151</v>
      </c>
      <c r="EC230" s="2"/>
      <c r="ED230" s="2"/>
      <c r="EE230" s="1">
        <v>152847.47085110354</v>
      </c>
      <c r="EF230" s="2"/>
      <c r="EG230" s="1">
        <v>547960.96204613079</v>
      </c>
      <c r="EH230" s="2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4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1">
        <v>3336717.8546101674</v>
      </c>
      <c r="LP230" s="1"/>
      <c r="LQ230" s="1"/>
      <c r="LR230" s="1"/>
      <c r="LS230" s="1"/>
      <c r="LT230" s="1"/>
      <c r="LU230" s="1">
        <v>2455734.8081057444</v>
      </c>
      <c r="LV230" s="1"/>
      <c r="LW230" s="1"/>
      <c r="LX230" s="1"/>
      <c r="LY230" s="1"/>
      <c r="LZ230" s="1"/>
      <c r="MA230" s="1"/>
      <c r="MB230" s="1"/>
      <c r="MC230" s="1"/>
      <c r="MD230" s="1"/>
      <c r="ME230" s="1"/>
    </row>
    <row r="231" spans="1:343">
      <c r="A231" s="1">
        <v>1594</v>
      </c>
      <c r="B231" s="1">
        <v>15488497.420410799</v>
      </c>
      <c r="C231" s="1">
        <v>4195846.8346031541</v>
      </c>
      <c r="D231" s="1"/>
      <c r="E231" s="1"/>
      <c r="F231" s="1"/>
      <c r="G231" s="1"/>
      <c r="H231" s="1"/>
      <c r="I231" s="1"/>
      <c r="J231" s="1"/>
      <c r="K231" s="1">
        <v>2014580.1256703374</v>
      </c>
      <c r="L231" s="1"/>
      <c r="M231" s="1"/>
      <c r="N231" s="1"/>
      <c r="O231" s="1"/>
      <c r="P231" s="1"/>
      <c r="Q231" s="1"/>
      <c r="R231" s="1"/>
      <c r="S231" s="1"/>
      <c r="T231" s="1"/>
      <c r="U231" s="1">
        <v>2102340.0912580467</v>
      </c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>
        <v>4590736.1798653565</v>
      </c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>
        <v>1544984.839725055</v>
      </c>
      <c r="AU231" s="1"/>
      <c r="AV231" s="1"/>
      <c r="AW231" s="1"/>
      <c r="AX231" s="1"/>
      <c r="AY231" s="1"/>
      <c r="AZ231" s="1"/>
      <c r="BA231" s="1"/>
      <c r="BB231" s="1"/>
      <c r="BC231" s="1">
        <v>1040009.3492888487</v>
      </c>
      <c r="BD231" s="1"/>
      <c r="BE231" s="1"/>
      <c r="BF231" s="1"/>
      <c r="BG231" s="1"/>
      <c r="BH231" s="1"/>
      <c r="BI231" s="4">
        <v>10792432.956150714</v>
      </c>
      <c r="BJ231" s="2">
        <v>1025974.5284385711</v>
      </c>
      <c r="BK231" s="2"/>
      <c r="BL231" s="2"/>
      <c r="BM231" s="2"/>
      <c r="BN231" s="2"/>
      <c r="BO231" s="2"/>
      <c r="BP231" s="2"/>
      <c r="BQ231" s="2">
        <v>793688.20296004089</v>
      </c>
      <c r="BR231" s="2"/>
      <c r="BS231" s="2"/>
      <c r="BT231" s="2"/>
      <c r="BU231" s="2"/>
      <c r="BV231" s="2"/>
      <c r="BW231" s="2"/>
      <c r="BX231" s="2"/>
      <c r="BY231" s="2"/>
      <c r="BZ231" s="1">
        <v>2543445.9476447464</v>
      </c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1">
        <v>577922.08667837246</v>
      </c>
      <c r="CU231" s="2"/>
      <c r="CV231" s="2"/>
      <c r="CW231" s="2"/>
      <c r="CX231" s="1">
        <v>1841931.5314216923</v>
      </c>
      <c r="CY231" s="2"/>
      <c r="CZ231" s="2"/>
      <c r="DA231" s="2"/>
      <c r="DB231" s="2"/>
      <c r="DC231" s="2"/>
      <c r="DD231" s="2"/>
      <c r="DE231" s="1">
        <v>1031196.9125560715</v>
      </c>
      <c r="DF231" s="2"/>
      <c r="DG231" s="2"/>
      <c r="DH231" s="2"/>
      <c r="DI231" s="2"/>
      <c r="DJ231" s="2"/>
      <c r="DK231" s="2"/>
      <c r="DL231" s="1">
        <v>1213990.6402284722</v>
      </c>
      <c r="DM231" s="2"/>
      <c r="DN231" s="2"/>
      <c r="DO231" s="2"/>
      <c r="DP231" s="2"/>
      <c r="DQ231" s="2"/>
      <c r="DR231" s="2"/>
      <c r="DS231" s="1">
        <v>949830.07217576227</v>
      </c>
      <c r="DT231" s="2"/>
      <c r="DU231" s="2"/>
      <c r="DV231" s="2"/>
      <c r="DW231" s="2"/>
      <c r="DX231" s="2"/>
      <c r="DY231" s="2"/>
      <c r="DZ231" s="2"/>
      <c r="EA231" s="2"/>
      <c r="EB231" s="1">
        <v>111261.85247789804</v>
      </c>
      <c r="EC231" s="2"/>
      <c r="ED231" s="2"/>
      <c r="EE231" s="1">
        <v>153367.15225199729</v>
      </c>
      <c r="EF231" s="2"/>
      <c r="EG231" s="1">
        <v>549824.02931708773</v>
      </c>
      <c r="EH231" s="2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4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1">
        <v>3348062.6953158421</v>
      </c>
      <c r="LP231" s="1"/>
      <c r="LQ231" s="1"/>
      <c r="LR231" s="1"/>
      <c r="LS231" s="1"/>
      <c r="LT231" s="1"/>
      <c r="LU231" s="1">
        <v>2464084.3064533039</v>
      </c>
      <c r="LV231" s="1"/>
      <c r="LW231" s="1"/>
      <c r="LX231" s="1"/>
      <c r="LY231" s="1"/>
      <c r="LZ231" s="1"/>
      <c r="MA231" s="1"/>
      <c r="MB231" s="1"/>
      <c r="MC231" s="1"/>
      <c r="MD231" s="1"/>
      <c r="ME231" s="1"/>
    </row>
    <row r="232" spans="1:343">
      <c r="A232" s="1">
        <v>1595</v>
      </c>
      <c r="B232" s="1">
        <v>15545686.923878817</v>
      </c>
      <c r="C232" s="1">
        <v>4210112.713840805</v>
      </c>
      <c r="D232" s="1"/>
      <c r="E232" s="1"/>
      <c r="F232" s="1"/>
      <c r="G232" s="1"/>
      <c r="H232" s="1"/>
      <c r="I232" s="1"/>
      <c r="J232" s="1"/>
      <c r="K232" s="1">
        <v>2023645.7362358538</v>
      </c>
      <c r="L232" s="1"/>
      <c r="M232" s="1"/>
      <c r="N232" s="1"/>
      <c r="O232" s="1"/>
      <c r="P232" s="1"/>
      <c r="Q232" s="1"/>
      <c r="R232" s="1"/>
      <c r="S232" s="1"/>
      <c r="T232" s="1"/>
      <c r="U232" s="1">
        <v>2111800.6216687076</v>
      </c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>
        <v>4606344.6828768989</v>
      </c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>
        <v>1550237.7881801203</v>
      </c>
      <c r="AU232" s="1"/>
      <c r="AV232" s="1"/>
      <c r="AW232" s="1"/>
      <c r="AX232" s="1"/>
      <c r="AY232" s="1"/>
      <c r="AZ232" s="1"/>
      <c r="BA232" s="1"/>
      <c r="BB232" s="1"/>
      <c r="BC232" s="1">
        <v>1043545.3810764309</v>
      </c>
      <c r="BD232" s="1"/>
      <c r="BE232" s="1"/>
      <c r="BF232" s="1"/>
      <c r="BG232" s="1"/>
      <c r="BH232" s="1"/>
      <c r="BI232" s="4">
        <v>10844091.647836542</v>
      </c>
      <c r="BJ232" s="2">
        <v>1030181.0240051693</v>
      </c>
      <c r="BK232" s="2"/>
      <c r="BL232" s="2"/>
      <c r="BM232" s="2"/>
      <c r="BN232" s="2"/>
      <c r="BO232" s="2"/>
      <c r="BP232" s="2"/>
      <c r="BQ232" s="2">
        <v>797656.64397484099</v>
      </c>
      <c r="BR232" s="2"/>
      <c r="BS232" s="2"/>
      <c r="BT232" s="2"/>
      <c r="BU232" s="2"/>
      <c r="BV232" s="2"/>
      <c r="BW232" s="2"/>
      <c r="BX232" s="2"/>
      <c r="BY232" s="2"/>
      <c r="BZ232" s="1">
        <v>2561250.0692782593</v>
      </c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1">
        <v>579887.02177307894</v>
      </c>
      <c r="CU232" s="2"/>
      <c r="CV232" s="2"/>
      <c r="CW232" s="2"/>
      <c r="CX232" s="1">
        <v>1848194.0986285263</v>
      </c>
      <c r="CY232" s="2"/>
      <c r="CZ232" s="2"/>
      <c r="DA232" s="2"/>
      <c r="DB232" s="2"/>
      <c r="DC232" s="2"/>
      <c r="DD232" s="2"/>
      <c r="DE232" s="1">
        <v>1034702.9820587622</v>
      </c>
      <c r="DF232" s="2"/>
      <c r="DG232" s="2"/>
      <c r="DH232" s="2"/>
      <c r="DI232" s="2"/>
      <c r="DJ232" s="2"/>
      <c r="DK232" s="2"/>
      <c r="DL232" s="1">
        <v>1218118.2084052491</v>
      </c>
      <c r="DM232" s="2"/>
      <c r="DN232" s="2"/>
      <c r="DO232" s="2"/>
      <c r="DP232" s="2"/>
      <c r="DQ232" s="2"/>
      <c r="DR232" s="2"/>
      <c r="DS232" s="1">
        <v>956478.88268099248</v>
      </c>
      <c r="DT232" s="2"/>
      <c r="DU232" s="2"/>
      <c r="DV232" s="2"/>
      <c r="DW232" s="2"/>
      <c r="DX232" s="2"/>
      <c r="DY232" s="2"/>
      <c r="DZ232" s="2"/>
      <c r="EA232" s="2"/>
      <c r="EB232" s="1">
        <v>112040.6854452433</v>
      </c>
      <c r="EC232" s="2"/>
      <c r="ED232" s="2"/>
      <c r="EE232" s="1">
        <v>153888.60056965408</v>
      </c>
      <c r="EF232" s="2"/>
      <c r="EG232" s="1">
        <v>551693.43101676588</v>
      </c>
      <c r="EH232" s="2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4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1">
        <v>3359446.1084799161</v>
      </c>
      <c r="LP232" s="1"/>
      <c r="LQ232" s="1"/>
      <c r="LR232" s="1"/>
      <c r="LS232" s="1"/>
      <c r="LT232" s="1"/>
      <c r="LU232" s="1">
        <v>2472462.1930952454</v>
      </c>
      <c r="LV232" s="1"/>
      <c r="LW232" s="1"/>
      <c r="LX232" s="1"/>
      <c r="LY232" s="1"/>
      <c r="LZ232" s="1"/>
      <c r="MA232" s="1"/>
      <c r="MB232" s="1"/>
      <c r="MC232" s="1"/>
      <c r="MD232" s="1"/>
      <c r="ME232" s="1"/>
    </row>
    <row r="233" spans="1:343">
      <c r="A233" s="1">
        <v>1596</v>
      </c>
      <c r="B233" s="1">
        <v>15603091.250413699</v>
      </c>
      <c r="C233" s="1">
        <v>4224427.0970678637</v>
      </c>
      <c r="D233" s="1"/>
      <c r="E233" s="1"/>
      <c r="F233" s="1"/>
      <c r="G233" s="1"/>
      <c r="H233" s="1"/>
      <c r="I233" s="1"/>
      <c r="J233" s="1"/>
      <c r="K233" s="1">
        <v>2032752.1420489149</v>
      </c>
      <c r="L233" s="1"/>
      <c r="M233" s="1"/>
      <c r="N233" s="1"/>
      <c r="O233" s="1"/>
      <c r="P233" s="1"/>
      <c r="Q233" s="1"/>
      <c r="R233" s="1"/>
      <c r="S233" s="1"/>
      <c r="T233" s="1"/>
      <c r="U233" s="1">
        <v>2121303.7244662168</v>
      </c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>
        <v>4622006.2547986805</v>
      </c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>
        <v>1555508.5966599328</v>
      </c>
      <c r="AU233" s="1"/>
      <c r="AV233" s="1"/>
      <c r="AW233" s="1"/>
      <c r="AX233" s="1"/>
      <c r="AY233" s="1"/>
      <c r="AZ233" s="1"/>
      <c r="BA233" s="1"/>
      <c r="BB233" s="1"/>
      <c r="BC233" s="1">
        <v>1047093.4353720908</v>
      </c>
      <c r="BD233" s="1"/>
      <c r="BE233" s="1"/>
      <c r="BF233" s="1"/>
      <c r="BG233" s="1"/>
      <c r="BH233" s="1"/>
      <c r="BI233" s="4">
        <v>10896026.107481005</v>
      </c>
      <c r="BJ233" s="2">
        <v>1034404.7662035904</v>
      </c>
      <c r="BK233" s="2"/>
      <c r="BL233" s="2"/>
      <c r="BM233" s="2"/>
      <c r="BN233" s="2"/>
      <c r="BO233" s="2"/>
      <c r="BP233" s="2"/>
      <c r="BQ233" s="2">
        <v>801644.92719471513</v>
      </c>
      <c r="BR233" s="2"/>
      <c r="BS233" s="2"/>
      <c r="BT233" s="2"/>
      <c r="BU233" s="2"/>
      <c r="BV233" s="2"/>
      <c r="BW233" s="2"/>
      <c r="BX233" s="2"/>
      <c r="BY233" s="2"/>
      <c r="BZ233" s="1">
        <v>2579178.8197632069</v>
      </c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1">
        <v>581858.63764710748</v>
      </c>
      <c r="CU233" s="2"/>
      <c r="CV233" s="2"/>
      <c r="CW233" s="2"/>
      <c r="CX233" s="1">
        <v>1854477.9585638635</v>
      </c>
      <c r="CY233" s="2"/>
      <c r="CZ233" s="2"/>
      <c r="DA233" s="2"/>
      <c r="DB233" s="2"/>
      <c r="DC233" s="2"/>
      <c r="DD233" s="2"/>
      <c r="DE233" s="1">
        <v>1038220.9721977621</v>
      </c>
      <c r="DF233" s="2"/>
      <c r="DG233" s="2"/>
      <c r="DH233" s="2"/>
      <c r="DI233" s="2"/>
      <c r="DJ233" s="2"/>
      <c r="DK233" s="2"/>
      <c r="DL233" s="1">
        <v>1222259.8103138269</v>
      </c>
      <c r="DM233" s="2"/>
      <c r="DN233" s="2"/>
      <c r="DO233" s="2"/>
      <c r="DP233" s="2"/>
      <c r="DQ233" s="2"/>
      <c r="DR233" s="2"/>
      <c r="DS233" s="1">
        <v>963174.23485975934</v>
      </c>
      <c r="DT233" s="2"/>
      <c r="DU233" s="2"/>
      <c r="DV233" s="2"/>
      <c r="DW233" s="2"/>
      <c r="DX233" s="2"/>
      <c r="DY233" s="2"/>
      <c r="DZ233" s="2"/>
      <c r="EA233" s="2"/>
      <c r="EB233" s="1">
        <v>112824.97024335999</v>
      </c>
      <c r="EC233" s="2"/>
      <c r="ED233" s="2"/>
      <c r="EE233" s="1">
        <v>154411.82181159093</v>
      </c>
      <c r="EF233" s="2"/>
      <c r="EG233" s="1">
        <v>553569.18868222297</v>
      </c>
      <c r="EH233" s="2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4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1">
        <v>3370868.225248748</v>
      </c>
      <c r="LP233" s="1"/>
      <c r="LQ233" s="1"/>
      <c r="LR233" s="1"/>
      <c r="LS233" s="1"/>
      <c r="LT233" s="1"/>
      <c r="LU233" s="1">
        <v>2480868.5645517693</v>
      </c>
      <c r="LV233" s="1"/>
      <c r="LW233" s="1"/>
      <c r="LX233" s="1"/>
      <c r="LY233" s="1"/>
      <c r="LZ233" s="1"/>
      <c r="MA233" s="1"/>
      <c r="MB233" s="1"/>
      <c r="MC233" s="1"/>
      <c r="MD233" s="1"/>
      <c r="ME233" s="1"/>
    </row>
    <row r="234" spans="1:343">
      <c r="A234" s="1">
        <v>1597</v>
      </c>
      <c r="B234" s="1">
        <v>15660711.222118273</v>
      </c>
      <c r="C234" s="1">
        <v>4238790.1491978951</v>
      </c>
      <c r="D234" s="1"/>
      <c r="E234" s="1"/>
      <c r="F234" s="1"/>
      <c r="G234" s="1"/>
      <c r="H234" s="1"/>
      <c r="I234" s="1"/>
      <c r="J234" s="1"/>
      <c r="K234" s="1">
        <v>2041899.526688135</v>
      </c>
      <c r="L234" s="1"/>
      <c r="M234" s="1"/>
      <c r="N234" s="1"/>
      <c r="O234" s="1"/>
      <c r="P234" s="1"/>
      <c r="Q234" s="1"/>
      <c r="R234" s="1"/>
      <c r="S234" s="1"/>
      <c r="T234" s="1"/>
      <c r="U234" s="1">
        <v>2130849.5912263147</v>
      </c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>
        <v>4637721.0760649964</v>
      </c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>
        <v>1560797.3258885767</v>
      </c>
      <c r="AU234" s="1"/>
      <c r="AV234" s="1"/>
      <c r="AW234" s="1"/>
      <c r="AX234" s="1"/>
      <c r="AY234" s="1"/>
      <c r="AZ234" s="1"/>
      <c r="BA234" s="1"/>
      <c r="BB234" s="1"/>
      <c r="BC234" s="1">
        <v>1050653.553052356</v>
      </c>
      <c r="BD234" s="1"/>
      <c r="BE234" s="1"/>
      <c r="BF234" s="1"/>
      <c r="BG234" s="1"/>
      <c r="BH234" s="1"/>
      <c r="BI234" s="4">
        <v>10948237.952355813</v>
      </c>
      <c r="BJ234" s="2">
        <v>1038645.8257450252</v>
      </c>
      <c r="BK234" s="2"/>
      <c r="BL234" s="2"/>
      <c r="BM234" s="2"/>
      <c r="BN234" s="2"/>
      <c r="BO234" s="2"/>
      <c r="BP234" s="2"/>
      <c r="BQ234" s="2">
        <v>805653.15183068858</v>
      </c>
      <c r="BR234" s="2"/>
      <c r="BS234" s="2"/>
      <c r="BT234" s="2"/>
      <c r="BU234" s="2"/>
      <c r="BV234" s="2"/>
      <c r="BW234" s="2"/>
      <c r="BX234" s="2"/>
      <c r="BY234" s="2"/>
      <c r="BZ234" s="1">
        <v>2597233.0715015489</v>
      </c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1">
        <v>583836.95701510774</v>
      </c>
      <c r="CU234" s="2"/>
      <c r="CV234" s="2"/>
      <c r="CW234" s="2"/>
      <c r="CX234" s="1">
        <v>1860783.1836229807</v>
      </c>
      <c r="CY234" s="2"/>
      <c r="CZ234" s="2"/>
      <c r="DA234" s="2"/>
      <c r="DB234" s="2"/>
      <c r="DC234" s="2"/>
      <c r="DD234" s="2"/>
      <c r="DE234" s="1">
        <v>1041750.9235032345</v>
      </c>
      <c r="DF234" s="2"/>
      <c r="DG234" s="2"/>
      <c r="DH234" s="2"/>
      <c r="DI234" s="2"/>
      <c r="DJ234" s="2"/>
      <c r="DK234" s="2"/>
      <c r="DL234" s="1">
        <v>1226415.4936688941</v>
      </c>
      <c r="DM234" s="2"/>
      <c r="DN234" s="2"/>
      <c r="DO234" s="2"/>
      <c r="DP234" s="2"/>
      <c r="DQ234" s="2"/>
      <c r="DR234" s="2"/>
      <c r="DS234" s="1">
        <v>969916.45450377755</v>
      </c>
      <c r="DT234" s="2"/>
      <c r="DU234" s="2"/>
      <c r="DV234" s="2"/>
      <c r="DW234" s="2"/>
      <c r="DX234" s="2"/>
      <c r="DY234" s="2"/>
      <c r="DZ234" s="2"/>
      <c r="EA234" s="2"/>
      <c r="EB234" s="1">
        <v>113614.74503506349</v>
      </c>
      <c r="EC234" s="2"/>
      <c r="ED234" s="2"/>
      <c r="EE234" s="1">
        <v>154936.82200575035</v>
      </c>
      <c r="EF234" s="2"/>
      <c r="EG234" s="1">
        <v>555451.32392374252</v>
      </c>
      <c r="EH234" s="2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4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1">
        <v>3382329.1772145941</v>
      </c>
      <c r="LP234" s="1"/>
      <c r="LQ234" s="1"/>
      <c r="LR234" s="1"/>
      <c r="LS234" s="1"/>
      <c r="LT234" s="1"/>
      <c r="LU234" s="1">
        <v>2489303.5176712456</v>
      </c>
      <c r="LV234" s="1"/>
      <c r="LW234" s="1"/>
      <c r="LX234" s="1"/>
      <c r="LY234" s="1"/>
      <c r="LZ234" s="1"/>
      <c r="MA234" s="1"/>
      <c r="MB234" s="1"/>
      <c r="MC234" s="1"/>
      <c r="MD234" s="1"/>
      <c r="ME234" s="1"/>
    </row>
    <row r="235" spans="1:343">
      <c r="A235" s="1">
        <v>1598</v>
      </c>
      <c r="B235" s="1">
        <v>15718547.664303182</v>
      </c>
      <c r="C235" s="1">
        <v>4253202.0357051678</v>
      </c>
      <c r="D235" s="1"/>
      <c r="E235" s="1"/>
      <c r="F235" s="1"/>
      <c r="G235" s="1"/>
      <c r="H235" s="1"/>
      <c r="I235" s="1"/>
      <c r="J235" s="1"/>
      <c r="K235" s="1">
        <v>2051088.0745582315</v>
      </c>
      <c r="L235" s="1"/>
      <c r="M235" s="1"/>
      <c r="N235" s="1"/>
      <c r="O235" s="1"/>
      <c r="P235" s="1"/>
      <c r="Q235" s="1"/>
      <c r="R235" s="1"/>
      <c r="S235" s="1"/>
      <c r="T235" s="1"/>
      <c r="U235" s="1">
        <v>2140438.4143868331</v>
      </c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>
        <v>4653489.3277236177</v>
      </c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>
        <v>1566104.036796598</v>
      </c>
      <c r="AU235" s="1"/>
      <c r="AV235" s="1"/>
      <c r="AW235" s="1"/>
      <c r="AX235" s="1"/>
      <c r="AY235" s="1"/>
      <c r="AZ235" s="1"/>
      <c r="BA235" s="1"/>
      <c r="BB235" s="1"/>
      <c r="BC235" s="1">
        <v>1054225.7751327341</v>
      </c>
      <c r="BD235" s="1"/>
      <c r="BE235" s="1"/>
      <c r="BF235" s="1"/>
      <c r="BG235" s="1"/>
      <c r="BH235" s="1"/>
      <c r="BI235" s="4">
        <v>11000728.809890518</v>
      </c>
      <c r="BJ235" s="2">
        <v>1042904.2736305798</v>
      </c>
      <c r="BK235" s="2"/>
      <c r="BL235" s="2"/>
      <c r="BM235" s="2"/>
      <c r="BN235" s="2"/>
      <c r="BO235" s="2"/>
      <c r="BP235" s="2"/>
      <c r="BQ235" s="2">
        <v>809681.41758984199</v>
      </c>
      <c r="BR235" s="2"/>
      <c r="BS235" s="2"/>
      <c r="BT235" s="2"/>
      <c r="BU235" s="2"/>
      <c r="BV235" s="2"/>
      <c r="BW235" s="2"/>
      <c r="BX235" s="2"/>
      <c r="BY235" s="2"/>
      <c r="BZ235" s="1">
        <v>2615413.7030020594</v>
      </c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1">
        <v>585822.00266895909</v>
      </c>
      <c r="CU235" s="2"/>
      <c r="CV235" s="2"/>
      <c r="CW235" s="2"/>
      <c r="CX235" s="1">
        <v>1867109.846447299</v>
      </c>
      <c r="CY235" s="2"/>
      <c r="CZ235" s="2"/>
      <c r="DA235" s="2"/>
      <c r="DB235" s="2"/>
      <c r="DC235" s="2"/>
      <c r="DD235" s="2"/>
      <c r="DE235" s="1">
        <v>1045292.8766431456</v>
      </c>
      <c r="DF235" s="2"/>
      <c r="DG235" s="2"/>
      <c r="DH235" s="2"/>
      <c r="DI235" s="2"/>
      <c r="DJ235" s="2"/>
      <c r="DK235" s="2"/>
      <c r="DL235" s="1">
        <v>1230585.3063473683</v>
      </c>
      <c r="DM235" s="2"/>
      <c r="DN235" s="2"/>
      <c r="DO235" s="2"/>
      <c r="DP235" s="2"/>
      <c r="DQ235" s="2"/>
      <c r="DR235" s="2"/>
      <c r="DS235" s="1">
        <v>976705.86968530389</v>
      </c>
      <c r="DT235" s="2"/>
      <c r="DU235" s="2"/>
      <c r="DV235" s="2"/>
      <c r="DW235" s="2"/>
      <c r="DX235" s="2"/>
      <c r="DY235" s="2"/>
      <c r="DZ235" s="2"/>
      <c r="EA235" s="2"/>
      <c r="EB235" s="1">
        <v>114410.04825030893</v>
      </c>
      <c r="EC235" s="2"/>
      <c r="ED235" s="2"/>
      <c r="EE235" s="1">
        <v>155463.60720056991</v>
      </c>
      <c r="EF235" s="2"/>
      <c r="EG235" s="1">
        <v>557339.85842508322</v>
      </c>
      <c r="EH235" s="2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4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1">
        <v>3393829.0964171239</v>
      </c>
      <c r="LP235" s="1"/>
      <c r="LQ235" s="1"/>
      <c r="LR235" s="1"/>
      <c r="LS235" s="1"/>
      <c r="LT235" s="1"/>
      <c r="LU235" s="1">
        <v>2497767.1496313279</v>
      </c>
      <c r="LV235" s="1"/>
      <c r="LW235" s="1"/>
      <c r="LX235" s="1"/>
      <c r="LY235" s="1"/>
      <c r="LZ235" s="1"/>
      <c r="MA235" s="1"/>
      <c r="MB235" s="1"/>
      <c r="MC235" s="1"/>
      <c r="MD235" s="1"/>
      <c r="ME235" s="1"/>
    </row>
    <row r="236" spans="1:343">
      <c r="A236" s="1">
        <v>1599</v>
      </c>
      <c r="B236" s="1">
        <v>15776601.405499652</v>
      </c>
      <c r="C236" s="1">
        <v>4267662.9226265652</v>
      </c>
      <c r="D236" s="1"/>
      <c r="E236" s="1"/>
      <c r="F236" s="1"/>
      <c r="G236" s="1"/>
      <c r="H236" s="1"/>
      <c r="I236" s="1"/>
      <c r="J236" s="1"/>
      <c r="K236" s="1">
        <v>2060317.9708937434</v>
      </c>
      <c r="L236" s="1"/>
      <c r="M236" s="1"/>
      <c r="N236" s="1"/>
      <c r="O236" s="1"/>
      <c r="P236" s="1"/>
      <c r="Q236" s="1"/>
      <c r="R236" s="1"/>
      <c r="S236" s="1"/>
      <c r="T236" s="1"/>
      <c r="U236" s="1">
        <v>2150070.3872515736</v>
      </c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>
        <v>4669311.1914378786</v>
      </c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>
        <v>1571428.7905217065</v>
      </c>
      <c r="AU236" s="1"/>
      <c r="AV236" s="1"/>
      <c r="AW236" s="1"/>
      <c r="AX236" s="1"/>
      <c r="AY236" s="1"/>
      <c r="AZ236" s="1"/>
      <c r="BA236" s="1"/>
      <c r="BB236" s="1"/>
      <c r="BC236" s="1">
        <v>1057810.1427681854</v>
      </c>
      <c r="BD236" s="1"/>
      <c r="BE236" s="1"/>
      <c r="BF236" s="1"/>
      <c r="BG236" s="1"/>
      <c r="BH236" s="1"/>
      <c r="BI236" s="4">
        <v>11053500.317739209</v>
      </c>
      <c r="BJ236" s="2">
        <v>1047180.1811524652</v>
      </c>
      <c r="BK236" s="2"/>
      <c r="BL236" s="2"/>
      <c r="BM236" s="2"/>
      <c r="BN236" s="2"/>
      <c r="BO236" s="2"/>
      <c r="BP236" s="2"/>
      <c r="BQ236" s="2">
        <v>813729.8246777911</v>
      </c>
      <c r="BR236" s="2"/>
      <c r="BS236" s="2"/>
      <c r="BT236" s="2"/>
      <c r="BU236" s="2"/>
      <c r="BV236" s="2"/>
      <c r="BW236" s="2"/>
      <c r="BX236" s="2"/>
      <c r="BY236" s="2"/>
      <c r="BZ236" s="1">
        <v>2633721.5989230736</v>
      </c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1">
        <v>587813.79747803358</v>
      </c>
      <c r="CU236" s="2"/>
      <c r="CV236" s="2"/>
      <c r="CW236" s="2"/>
      <c r="CX236" s="1">
        <v>1873458.0199252199</v>
      </c>
      <c r="CY236" s="2"/>
      <c r="CZ236" s="2"/>
      <c r="DA236" s="2"/>
      <c r="DB236" s="2"/>
      <c r="DC236" s="2"/>
      <c r="DD236" s="2"/>
      <c r="DE236" s="1">
        <v>1048846.8724237324</v>
      </c>
      <c r="DF236" s="2"/>
      <c r="DG236" s="2"/>
      <c r="DH236" s="2"/>
      <c r="DI236" s="2"/>
      <c r="DJ236" s="2"/>
      <c r="DK236" s="2"/>
      <c r="DL236" s="1">
        <v>1234769.2963889495</v>
      </c>
      <c r="DM236" s="2"/>
      <c r="DN236" s="2"/>
      <c r="DO236" s="2"/>
      <c r="DP236" s="2"/>
      <c r="DQ236" s="2"/>
      <c r="DR236" s="2"/>
      <c r="DS236" s="1">
        <v>983542.81077310094</v>
      </c>
      <c r="DT236" s="2"/>
      <c r="DU236" s="2"/>
      <c r="DV236" s="2"/>
      <c r="DW236" s="2"/>
      <c r="DX236" s="2"/>
      <c r="DY236" s="2"/>
      <c r="DZ236" s="2"/>
      <c r="EA236" s="2"/>
      <c r="EB236" s="1">
        <v>115210.91858806107</v>
      </c>
      <c r="EC236" s="2"/>
      <c r="ED236" s="2"/>
      <c r="EE236" s="1">
        <v>155992.18346505187</v>
      </c>
      <c r="EF236" s="2"/>
      <c r="EG236" s="1">
        <v>559234.81394372857</v>
      </c>
      <c r="EH236" s="2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4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1">
        <v>3405368.1153449425</v>
      </c>
      <c r="LP236" s="1"/>
      <c r="LQ236" s="1"/>
      <c r="LR236" s="1"/>
      <c r="LS236" s="1"/>
      <c r="LT236" s="1"/>
      <c r="LU236" s="1">
        <v>2506259.5579400747</v>
      </c>
      <c r="LV236" s="1"/>
      <c r="LW236" s="1"/>
      <c r="LX236" s="1"/>
      <c r="LY236" s="1"/>
      <c r="LZ236" s="1"/>
      <c r="MA236" s="1"/>
      <c r="MB236" s="1"/>
      <c r="MC236" s="1"/>
      <c r="MD236" s="1"/>
      <c r="ME236" s="1"/>
    </row>
    <row r="237" spans="1:343">
      <c r="A237" s="1">
        <v>1600</v>
      </c>
      <c r="B237" s="1">
        <v>15834873.277472313</v>
      </c>
      <c r="C237" s="1">
        <v>4282172.9765634956</v>
      </c>
      <c r="D237" s="1"/>
      <c r="E237" s="1"/>
      <c r="F237" s="1"/>
      <c r="G237" s="1"/>
      <c r="H237" s="1"/>
      <c r="I237" s="1"/>
      <c r="J237" s="1"/>
      <c r="K237" s="1">
        <v>2069589.4017627651</v>
      </c>
      <c r="L237" s="1"/>
      <c r="M237" s="1"/>
      <c r="N237" s="1"/>
      <c r="O237" s="1"/>
      <c r="P237" s="1"/>
      <c r="Q237" s="1"/>
      <c r="R237" s="1"/>
      <c r="S237" s="1"/>
      <c r="T237" s="1"/>
      <c r="U237" s="1">
        <v>2159745.7039942057</v>
      </c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>
        <v>4685186.8494887678</v>
      </c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>
        <v>1576771.6484094805</v>
      </c>
      <c r="AU237" s="1"/>
      <c r="AV237" s="1"/>
      <c r="AW237" s="1"/>
      <c r="AX237" s="1"/>
      <c r="AY237" s="1"/>
      <c r="AZ237" s="1"/>
      <c r="BA237" s="1"/>
      <c r="BB237" s="1"/>
      <c r="BC237" s="1">
        <v>1061406.6972535972</v>
      </c>
      <c r="BD237" s="1"/>
      <c r="BE237" s="1"/>
      <c r="BF237" s="1"/>
      <c r="BG237" s="1"/>
      <c r="BH237" s="1"/>
      <c r="BI237" s="4">
        <v>11106554.123847637</v>
      </c>
      <c r="BJ237" s="2">
        <v>1051473.6198951902</v>
      </c>
      <c r="BK237" s="2"/>
      <c r="BL237" s="2"/>
      <c r="BM237" s="2"/>
      <c r="BN237" s="2"/>
      <c r="BO237" s="2"/>
      <c r="BP237" s="2"/>
      <c r="BQ237" s="2">
        <v>817798.47380118002</v>
      </c>
      <c r="BR237" s="2"/>
      <c r="BS237" s="2"/>
      <c r="BT237" s="2"/>
      <c r="BU237" s="2"/>
      <c r="BV237" s="2"/>
      <c r="BW237" s="2"/>
      <c r="BX237" s="2"/>
      <c r="BY237" s="2"/>
      <c r="BZ237" s="1">
        <v>2652157.6501155347</v>
      </c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1">
        <v>589812.3643894589</v>
      </c>
      <c r="CU237" s="2"/>
      <c r="CV237" s="2"/>
      <c r="CW237" s="2"/>
      <c r="CX237" s="1">
        <v>1879827.7771929658</v>
      </c>
      <c r="CY237" s="2"/>
      <c r="CZ237" s="2"/>
      <c r="DA237" s="2"/>
      <c r="DB237" s="2"/>
      <c r="DC237" s="2"/>
      <c r="DD237" s="2"/>
      <c r="DE237" s="1">
        <v>1052412.9517899731</v>
      </c>
      <c r="DF237" s="2"/>
      <c r="DG237" s="2"/>
      <c r="DH237" s="2"/>
      <c r="DI237" s="2"/>
      <c r="DJ237" s="2"/>
      <c r="DK237" s="2"/>
      <c r="DL237" s="1">
        <v>1238967.511996672</v>
      </c>
      <c r="DM237" s="2"/>
      <c r="DN237" s="2"/>
      <c r="DO237" s="2"/>
      <c r="DP237" s="2"/>
      <c r="DQ237" s="2"/>
      <c r="DR237" s="2"/>
      <c r="DS237" s="1">
        <v>990427.6104485126</v>
      </c>
      <c r="DT237" s="2"/>
      <c r="DU237" s="2"/>
      <c r="DV237" s="2"/>
      <c r="DW237" s="2"/>
      <c r="DX237" s="2"/>
      <c r="DY237" s="2"/>
      <c r="DZ237" s="2"/>
      <c r="EA237" s="2"/>
      <c r="EB237" s="1">
        <v>116017.39501817749</v>
      </c>
      <c r="EC237" s="2"/>
      <c r="ED237" s="2"/>
      <c r="EE237" s="1">
        <v>156522.55688883306</v>
      </c>
      <c r="EF237" s="2"/>
      <c r="EG237" s="1">
        <v>561136.21231113723</v>
      </c>
      <c r="EH237" s="2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4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1">
        <v>3416946.3669371158</v>
      </c>
      <c r="LP237" s="1"/>
      <c r="LQ237" s="1"/>
      <c r="LR237" s="1"/>
      <c r="LS237" s="1"/>
      <c r="LT237" s="1"/>
      <c r="LU237" s="1">
        <v>2514780.8404370709</v>
      </c>
      <c r="LV237" s="1"/>
      <c r="LW237" s="1"/>
      <c r="LX237" s="1"/>
      <c r="LY237" s="1"/>
      <c r="LZ237" s="1"/>
      <c r="MA237" s="1"/>
      <c r="MB237" s="1"/>
      <c r="MC237" s="1"/>
      <c r="MD237" s="1"/>
      <c r="ME237" s="1"/>
    </row>
    <row r="238" spans="1:343">
      <c r="A238" s="1">
        <v>1601</v>
      </c>
      <c r="B238" s="1">
        <v>15893364.11523205</v>
      </c>
      <c r="C238" s="1">
        <v>4296732.3646838116</v>
      </c>
      <c r="D238" s="1"/>
      <c r="E238" s="1"/>
      <c r="F238" s="1"/>
      <c r="G238" s="1"/>
      <c r="H238" s="1"/>
      <c r="I238" s="1"/>
      <c r="J238" s="1"/>
      <c r="K238" s="1">
        <v>2078902.5540706974</v>
      </c>
      <c r="L238" s="1"/>
      <c r="M238" s="1"/>
      <c r="N238" s="1"/>
      <c r="O238" s="1"/>
      <c r="P238" s="1"/>
      <c r="Q238" s="1"/>
      <c r="R238" s="1"/>
      <c r="S238" s="1"/>
      <c r="T238" s="1"/>
      <c r="U238" s="1">
        <v>2169464.5596621796</v>
      </c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>
        <v>4701116.4847770296</v>
      </c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>
        <v>1582132.6720140728</v>
      </c>
      <c r="AU238" s="1"/>
      <c r="AV238" s="1"/>
      <c r="AW238" s="1"/>
      <c r="AX238" s="1"/>
      <c r="AY238" s="1"/>
      <c r="AZ238" s="1"/>
      <c r="BA238" s="1"/>
      <c r="BB238" s="1"/>
      <c r="BC238" s="1">
        <v>1065015.4800242595</v>
      </c>
      <c r="BD238" s="1"/>
      <c r="BE238" s="1"/>
      <c r="BF238" s="1"/>
      <c r="BG238" s="1"/>
      <c r="BH238" s="1"/>
      <c r="BI238" s="4">
        <v>11159891.886520822</v>
      </c>
      <c r="BJ238" s="2">
        <v>1055784.6617367605</v>
      </c>
      <c r="BK238" s="2"/>
      <c r="BL238" s="2"/>
      <c r="BM238" s="2"/>
      <c r="BN238" s="2"/>
      <c r="BO238" s="2"/>
      <c r="BP238" s="2"/>
      <c r="BQ238" s="2">
        <v>821887.46617018583</v>
      </c>
      <c r="BR238" s="2"/>
      <c r="BS238" s="2"/>
      <c r="BT238" s="2"/>
      <c r="BU238" s="2"/>
      <c r="BV238" s="2"/>
      <c r="BW238" s="2"/>
      <c r="BX238" s="2"/>
      <c r="BY238" s="2"/>
      <c r="BZ238" s="1">
        <v>2670722.7536663432</v>
      </c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1">
        <v>591817.72642838315</v>
      </c>
      <c r="CU238" s="2"/>
      <c r="CV238" s="2"/>
      <c r="CW238" s="2"/>
      <c r="CX238" s="1">
        <v>1886219.1916354222</v>
      </c>
      <c r="CY238" s="2"/>
      <c r="CZ238" s="2"/>
      <c r="DA238" s="2"/>
      <c r="DB238" s="2"/>
      <c r="DC238" s="2"/>
      <c r="DD238" s="2"/>
      <c r="DE238" s="1">
        <v>1055991.1558260589</v>
      </c>
      <c r="DF238" s="2"/>
      <c r="DG238" s="2"/>
      <c r="DH238" s="2"/>
      <c r="DI238" s="2"/>
      <c r="DJ238" s="2"/>
      <c r="DK238" s="2"/>
      <c r="DL238" s="1">
        <v>1243180.0015374608</v>
      </c>
      <c r="DM238" s="2"/>
      <c r="DN238" s="2"/>
      <c r="DO238" s="2"/>
      <c r="DP238" s="2"/>
      <c r="DQ238" s="2"/>
      <c r="DR238" s="2"/>
      <c r="DS238" s="1">
        <v>997360.60372165206</v>
      </c>
      <c r="DT238" s="2"/>
      <c r="DU238" s="2"/>
      <c r="DV238" s="2"/>
      <c r="DW238" s="2"/>
      <c r="DX238" s="2"/>
      <c r="DY238" s="2"/>
      <c r="DZ238" s="2"/>
      <c r="EA238" s="2"/>
      <c r="EB238" s="1">
        <v>116829.51678330472</v>
      </c>
      <c r="EC238" s="2"/>
      <c r="ED238" s="2"/>
      <c r="EE238" s="1">
        <v>157054.73358225511</v>
      </c>
      <c r="EF238" s="2"/>
      <c r="EG238" s="1">
        <v>563044.0754329951</v>
      </c>
      <c r="EH238" s="2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4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1">
        <v>3428563.9845847022</v>
      </c>
      <c r="LP238" s="1"/>
      <c r="LQ238" s="1"/>
      <c r="LR238" s="1"/>
      <c r="LS238" s="1"/>
      <c r="LT238" s="1"/>
      <c r="LU238" s="1">
        <v>2523331.095294557</v>
      </c>
      <c r="LV238" s="1"/>
      <c r="LW238" s="1"/>
      <c r="LX238" s="1"/>
      <c r="LY238" s="1"/>
      <c r="LZ238" s="1"/>
      <c r="MA238" s="1"/>
      <c r="MB238" s="1"/>
      <c r="MC238" s="1"/>
      <c r="MD238" s="1"/>
      <c r="ME238" s="1"/>
    </row>
    <row r="239" spans="1:343">
      <c r="A239" s="1">
        <v>1602</v>
      </c>
      <c r="B239" s="1">
        <v>15952074.757048946</v>
      </c>
      <c r="C239" s="1">
        <v>4311341.254723737</v>
      </c>
      <c r="D239" s="1"/>
      <c r="E239" s="1"/>
      <c r="F239" s="1"/>
      <c r="G239" s="1"/>
      <c r="H239" s="1"/>
      <c r="I239" s="1"/>
      <c r="J239" s="1"/>
      <c r="K239" s="1">
        <v>2088257.6155640155</v>
      </c>
      <c r="L239" s="1"/>
      <c r="M239" s="1"/>
      <c r="N239" s="1"/>
      <c r="O239" s="1"/>
      <c r="P239" s="1"/>
      <c r="Q239" s="1"/>
      <c r="R239" s="1"/>
      <c r="S239" s="1"/>
      <c r="T239" s="1"/>
      <c r="U239" s="1">
        <v>2179227.1501806593</v>
      </c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>
        <v>4717100.2808252722</v>
      </c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>
        <v>1587511.9230989206</v>
      </c>
      <c r="AU239" s="1"/>
      <c r="AV239" s="1"/>
      <c r="AW239" s="1"/>
      <c r="AX239" s="1"/>
      <c r="AY239" s="1"/>
      <c r="AZ239" s="1"/>
      <c r="BA239" s="1"/>
      <c r="BB239" s="1"/>
      <c r="BC239" s="1">
        <v>1068636.532656342</v>
      </c>
      <c r="BD239" s="1"/>
      <c r="BE239" s="1"/>
      <c r="BF239" s="1"/>
      <c r="BG239" s="1"/>
      <c r="BH239" s="1"/>
      <c r="BI239" s="4">
        <v>11213515.274491096</v>
      </c>
      <c r="BJ239" s="2">
        <v>1060113.3788498812</v>
      </c>
      <c r="BK239" s="2"/>
      <c r="BL239" s="2"/>
      <c r="BM239" s="2"/>
      <c r="BN239" s="2"/>
      <c r="BO239" s="2"/>
      <c r="BP239" s="2"/>
      <c r="BQ239" s="2">
        <v>825996.90350103669</v>
      </c>
      <c r="BR239" s="2"/>
      <c r="BS239" s="2"/>
      <c r="BT239" s="2"/>
      <c r="BU239" s="2"/>
      <c r="BV239" s="2"/>
      <c r="BW239" s="2"/>
      <c r="BX239" s="2"/>
      <c r="BY239" s="2"/>
      <c r="BZ239" s="1">
        <v>2689417.8129420071</v>
      </c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1">
        <v>593829.90669823973</v>
      </c>
      <c r="CU239" s="2"/>
      <c r="CV239" s="2"/>
      <c r="CW239" s="2"/>
      <c r="CX239" s="1">
        <v>1892632.3368869827</v>
      </c>
      <c r="CY239" s="2"/>
      <c r="CZ239" s="2"/>
      <c r="DA239" s="2"/>
      <c r="DB239" s="2"/>
      <c r="DC239" s="2"/>
      <c r="DD239" s="2"/>
      <c r="DE239" s="1">
        <v>1059581.5257558676</v>
      </c>
      <c r="DF239" s="2"/>
      <c r="DG239" s="2"/>
      <c r="DH239" s="2"/>
      <c r="DI239" s="2"/>
      <c r="DJ239" s="2"/>
      <c r="DK239" s="2"/>
      <c r="DL239" s="1">
        <v>1247406.8135426883</v>
      </c>
      <c r="DM239" s="2"/>
      <c r="DN239" s="2"/>
      <c r="DO239" s="2"/>
      <c r="DP239" s="2"/>
      <c r="DQ239" s="2"/>
      <c r="DR239" s="2"/>
      <c r="DS239" s="1">
        <v>1004342.1279477035</v>
      </c>
      <c r="DT239" s="2"/>
      <c r="DU239" s="2"/>
      <c r="DV239" s="2"/>
      <c r="DW239" s="2"/>
      <c r="DX239" s="2"/>
      <c r="DY239" s="2"/>
      <c r="DZ239" s="2"/>
      <c r="EA239" s="2"/>
      <c r="EB239" s="1">
        <v>117647.32340078783</v>
      </c>
      <c r="EC239" s="2"/>
      <c r="ED239" s="2"/>
      <c r="EE239" s="1">
        <v>157588.71967643479</v>
      </c>
      <c r="EF239" s="2"/>
      <c r="EG239" s="1">
        <v>564958.42528946733</v>
      </c>
      <c r="EH239" s="2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4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1">
        <v>3440221.1021322906</v>
      </c>
      <c r="LP239" s="1"/>
      <c r="LQ239" s="1"/>
      <c r="LR239" s="1"/>
      <c r="LS239" s="1"/>
      <c r="LT239" s="1"/>
      <c r="LU239" s="1">
        <v>2531910.4210185586</v>
      </c>
      <c r="LV239" s="1"/>
      <c r="LW239" s="1"/>
      <c r="LX239" s="1"/>
      <c r="LY239" s="1"/>
      <c r="LZ239" s="1"/>
      <c r="MA239" s="1"/>
      <c r="MB239" s="1"/>
      <c r="MC239" s="1"/>
      <c r="MD239" s="1"/>
      <c r="ME239" s="1"/>
    </row>
    <row r="240" spans="1:343">
      <c r="A240" s="1">
        <v>1603</v>
      </c>
      <c r="B240" s="1">
        <v>16011006.044465231</v>
      </c>
      <c r="C240" s="1">
        <v>4325999.8149897978</v>
      </c>
      <c r="D240" s="1"/>
      <c r="E240" s="1"/>
      <c r="F240" s="1"/>
      <c r="G240" s="1"/>
      <c r="H240" s="1"/>
      <c r="I240" s="1"/>
      <c r="J240" s="1"/>
      <c r="K240" s="1">
        <v>2097654.7748340536</v>
      </c>
      <c r="L240" s="1"/>
      <c r="M240" s="1"/>
      <c r="N240" s="1"/>
      <c r="O240" s="1"/>
      <c r="P240" s="1"/>
      <c r="Q240" s="1"/>
      <c r="R240" s="1"/>
      <c r="S240" s="1"/>
      <c r="T240" s="1"/>
      <c r="U240" s="1">
        <v>2189033.6723564719</v>
      </c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>
        <v>4733138.4217800787</v>
      </c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>
        <v>1592909.463637457</v>
      </c>
      <c r="AU240" s="1"/>
      <c r="AV240" s="1"/>
      <c r="AW240" s="1"/>
      <c r="AX240" s="1"/>
      <c r="AY240" s="1"/>
      <c r="AZ240" s="1"/>
      <c r="BA240" s="1"/>
      <c r="BB240" s="1"/>
      <c r="BC240" s="1">
        <v>1072269.8968673737</v>
      </c>
      <c r="BD240" s="1"/>
      <c r="BE240" s="1"/>
      <c r="BF240" s="1"/>
      <c r="BG240" s="1"/>
      <c r="BH240" s="1"/>
      <c r="BI240" s="4">
        <v>11267425.96698661</v>
      </c>
      <c r="BJ240" s="2">
        <v>1064459.8437031657</v>
      </c>
      <c r="BK240" s="2"/>
      <c r="BL240" s="2"/>
      <c r="BM240" s="2"/>
      <c r="BN240" s="2"/>
      <c r="BO240" s="2"/>
      <c r="BP240" s="2"/>
      <c r="BQ240" s="2">
        <v>830126.88801854174</v>
      </c>
      <c r="BR240" s="2"/>
      <c r="BS240" s="2"/>
      <c r="BT240" s="2"/>
      <c r="BU240" s="2"/>
      <c r="BV240" s="2"/>
      <c r="BW240" s="2"/>
      <c r="BX240" s="2"/>
      <c r="BY240" s="2"/>
      <c r="BZ240" s="1">
        <v>2708243.7376326011</v>
      </c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1">
        <v>595848.9283810138</v>
      </c>
      <c r="CU240" s="2"/>
      <c r="CV240" s="2"/>
      <c r="CW240" s="2"/>
      <c r="CX240" s="1">
        <v>1899067.2868323985</v>
      </c>
      <c r="CY240" s="2"/>
      <c r="CZ240" s="2"/>
      <c r="DA240" s="2"/>
      <c r="DB240" s="2"/>
      <c r="DC240" s="2"/>
      <c r="DD240" s="2"/>
      <c r="DE240" s="1">
        <v>1063184.1029434376</v>
      </c>
      <c r="DF240" s="2"/>
      <c r="DG240" s="2"/>
      <c r="DH240" s="2"/>
      <c r="DI240" s="2"/>
      <c r="DJ240" s="2"/>
      <c r="DK240" s="2"/>
      <c r="DL240" s="1">
        <v>1251647.9967087335</v>
      </c>
      <c r="DM240" s="2"/>
      <c r="DN240" s="2"/>
      <c r="DO240" s="2"/>
      <c r="DP240" s="2"/>
      <c r="DQ240" s="2"/>
      <c r="DR240" s="2"/>
      <c r="DS240" s="1">
        <v>1011372.5228433373</v>
      </c>
      <c r="DT240" s="2"/>
      <c r="DU240" s="2"/>
      <c r="DV240" s="2"/>
      <c r="DW240" s="2"/>
      <c r="DX240" s="2"/>
      <c r="DY240" s="2"/>
      <c r="DZ240" s="2"/>
      <c r="EA240" s="2"/>
      <c r="EB240" s="1">
        <v>118470.85466459334</v>
      </c>
      <c r="EC240" s="2"/>
      <c r="ED240" s="2"/>
      <c r="EE240" s="1">
        <v>158124.52132333469</v>
      </c>
      <c r="EF240" s="2"/>
      <c r="EG240" s="1">
        <v>566879.28393545153</v>
      </c>
      <c r="EH240" s="2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4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1">
        <v>3451917.8538795407</v>
      </c>
      <c r="LP240" s="1"/>
      <c r="LQ240" s="1"/>
      <c r="LR240" s="1"/>
      <c r="LS240" s="1"/>
      <c r="LT240" s="1"/>
      <c r="LU240" s="1">
        <v>2540518.9164500218</v>
      </c>
      <c r="LV240" s="1"/>
      <c r="LW240" s="1"/>
      <c r="LX240" s="1"/>
      <c r="LY240" s="1"/>
      <c r="LZ240" s="1"/>
      <c r="MA240" s="1"/>
      <c r="MB240" s="1"/>
      <c r="MC240" s="1"/>
      <c r="MD240" s="1"/>
      <c r="ME240" s="1"/>
    </row>
    <row r="241" spans="1:343">
      <c r="A241" s="1">
        <v>1604</v>
      </c>
      <c r="B241" s="1">
        <v>16070158.822308328</v>
      </c>
      <c r="C241" s="1">
        <v>4340708.2143607633</v>
      </c>
      <c r="D241" s="1"/>
      <c r="E241" s="1"/>
      <c r="F241" s="1"/>
      <c r="G241" s="1"/>
      <c r="H241" s="1"/>
      <c r="I241" s="1"/>
      <c r="J241" s="1"/>
      <c r="K241" s="1">
        <v>2107094.2213208065</v>
      </c>
      <c r="L241" s="1"/>
      <c r="M241" s="1"/>
      <c r="N241" s="1"/>
      <c r="O241" s="1"/>
      <c r="P241" s="1"/>
      <c r="Q241" s="1"/>
      <c r="R241" s="1"/>
      <c r="S241" s="1"/>
      <c r="T241" s="1"/>
      <c r="U241" s="1">
        <v>2198884.323882076</v>
      </c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>
        <v>4749231.0924141314</v>
      </c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>
        <v>1598325.3558138246</v>
      </c>
      <c r="AU241" s="1"/>
      <c r="AV241" s="1"/>
      <c r="AW241" s="1"/>
      <c r="AX241" s="1"/>
      <c r="AY241" s="1"/>
      <c r="AZ241" s="1"/>
      <c r="BA241" s="1"/>
      <c r="BB241" s="1"/>
      <c r="BC241" s="1">
        <v>1075915.614516723</v>
      </c>
      <c r="BD241" s="1"/>
      <c r="BE241" s="1"/>
      <c r="BF241" s="1"/>
      <c r="BG241" s="1"/>
      <c r="BH241" s="1"/>
      <c r="BI241" s="4">
        <v>11321625.65380029</v>
      </c>
      <c r="BJ241" s="2">
        <v>1068824.1290623485</v>
      </c>
      <c r="BK241" s="2"/>
      <c r="BL241" s="2"/>
      <c r="BM241" s="2"/>
      <c r="BN241" s="2"/>
      <c r="BO241" s="2"/>
      <c r="BP241" s="2"/>
      <c r="BQ241" s="2">
        <v>834277.52245863434</v>
      </c>
      <c r="BR241" s="2"/>
      <c r="BS241" s="2"/>
      <c r="BT241" s="2"/>
      <c r="BU241" s="2"/>
      <c r="BV241" s="2"/>
      <c r="BW241" s="2"/>
      <c r="BX241" s="2"/>
      <c r="BY241" s="2"/>
      <c r="BZ241" s="1">
        <v>2727201.4437960288</v>
      </c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1">
        <v>597874.81473750924</v>
      </c>
      <c r="CU241" s="2"/>
      <c r="CV241" s="2"/>
      <c r="CW241" s="2"/>
      <c r="CX241" s="1">
        <v>1905524.1156076288</v>
      </c>
      <c r="CY241" s="2"/>
      <c r="CZ241" s="2"/>
      <c r="DA241" s="2"/>
      <c r="DB241" s="2"/>
      <c r="DC241" s="2"/>
      <c r="DD241" s="2"/>
      <c r="DE241" s="1">
        <v>1066798.9288934453</v>
      </c>
      <c r="DF241" s="2"/>
      <c r="DG241" s="2"/>
      <c r="DH241" s="2"/>
      <c r="DI241" s="2"/>
      <c r="DJ241" s="2"/>
      <c r="DK241" s="2"/>
      <c r="DL241" s="1">
        <v>1255903.5998975432</v>
      </c>
      <c r="DM241" s="2"/>
      <c r="DN241" s="2"/>
      <c r="DO241" s="2"/>
      <c r="DP241" s="2"/>
      <c r="DQ241" s="2"/>
      <c r="DR241" s="2"/>
      <c r="DS241" s="1">
        <v>1018452.1305032405</v>
      </c>
      <c r="DT241" s="2"/>
      <c r="DU241" s="2"/>
      <c r="DV241" s="2"/>
      <c r="DW241" s="2"/>
      <c r="DX241" s="2"/>
      <c r="DY241" s="2"/>
      <c r="DZ241" s="2"/>
      <c r="EA241" s="2"/>
      <c r="EB241" s="1">
        <v>119300.15064724548</v>
      </c>
      <c r="EC241" s="2"/>
      <c r="ED241" s="2"/>
      <c r="EE241" s="1">
        <v>158662.14469583402</v>
      </c>
      <c r="EF241" s="2"/>
      <c r="EG241" s="1">
        <v>568806.67350083205</v>
      </c>
      <c r="EH241" s="2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4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1">
        <v>3463654.3745827312</v>
      </c>
      <c r="LP241" s="1"/>
      <c r="LQ241" s="1"/>
      <c r="LR241" s="1"/>
      <c r="LS241" s="1"/>
      <c r="LT241" s="1"/>
      <c r="LU241" s="1">
        <v>2549156.680765952</v>
      </c>
      <c r="LV241" s="1"/>
      <c r="LW241" s="1"/>
      <c r="LX241" s="1"/>
      <c r="LY241" s="1"/>
      <c r="LZ241" s="1"/>
      <c r="MA241" s="1"/>
      <c r="MB241" s="1"/>
      <c r="MC241" s="1"/>
      <c r="MD241" s="1"/>
      <c r="ME241" s="1"/>
    </row>
    <row r="242" spans="1:343">
      <c r="A242" s="1">
        <v>1605</v>
      </c>
      <c r="B242" s="1">
        <v>16129533.938703896</v>
      </c>
      <c r="C242" s="1">
        <v>4355466.6222895905</v>
      </c>
      <c r="D242" s="1"/>
      <c r="E242" s="1"/>
      <c r="F242" s="1"/>
      <c r="G242" s="1"/>
      <c r="H242" s="1"/>
      <c r="I242" s="1"/>
      <c r="J242" s="1"/>
      <c r="K242" s="1">
        <v>2116576.1453167503</v>
      </c>
      <c r="L242" s="1"/>
      <c r="M242" s="1"/>
      <c r="N242" s="1"/>
      <c r="O242" s="1"/>
      <c r="P242" s="1"/>
      <c r="Q242" s="1"/>
      <c r="R242" s="1"/>
      <c r="S242" s="1"/>
      <c r="T242" s="1"/>
      <c r="U242" s="1">
        <v>2208779.3033395451</v>
      </c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>
        <v>4765378.4781283401</v>
      </c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>
        <v>1603759.6620235916</v>
      </c>
      <c r="AU242" s="1"/>
      <c r="AV242" s="1"/>
      <c r="AW242" s="1"/>
      <c r="AX242" s="1"/>
      <c r="AY242" s="1"/>
      <c r="AZ242" s="1"/>
      <c r="BA242" s="1"/>
      <c r="BB242" s="1"/>
      <c r="BC242" s="1">
        <v>1079573.72760608</v>
      </c>
      <c r="BD242" s="1"/>
      <c r="BE242" s="1"/>
      <c r="BF242" s="1"/>
      <c r="BG242" s="1"/>
      <c r="BH242" s="1"/>
      <c r="BI242" s="4">
        <v>11376116.035359297</v>
      </c>
      <c r="BJ242" s="2">
        <v>1073206.3079915042</v>
      </c>
      <c r="BK242" s="2"/>
      <c r="BL242" s="2"/>
      <c r="BM242" s="2"/>
      <c r="BN242" s="2"/>
      <c r="BO242" s="2"/>
      <c r="BP242" s="2"/>
      <c r="BQ242" s="2">
        <v>838448.91007092746</v>
      </c>
      <c r="BR242" s="2"/>
      <c r="BS242" s="2"/>
      <c r="BT242" s="2"/>
      <c r="BU242" s="2"/>
      <c r="BV242" s="2"/>
      <c r="BW242" s="2"/>
      <c r="BX242" s="2"/>
      <c r="BY242" s="2"/>
      <c r="BZ242" s="1">
        <v>2746291.8539026007</v>
      </c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1">
        <v>599907.5891076168</v>
      </c>
      <c r="CU242" s="2"/>
      <c r="CV242" s="2"/>
      <c r="CW242" s="2"/>
      <c r="CX242" s="1">
        <v>1912002.8976006948</v>
      </c>
      <c r="CY242" s="2"/>
      <c r="CZ242" s="2"/>
      <c r="DA242" s="2"/>
      <c r="DB242" s="2"/>
      <c r="DC242" s="2"/>
      <c r="DD242" s="2"/>
      <c r="DE242" s="1">
        <v>1070426.0452516831</v>
      </c>
      <c r="DF242" s="2"/>
      <c r="DG242" s="2"/>
      <c r="DH242" s="2"/>
      <c r="DI242" s="2"/>
      <c r="DJ242" s="2"/>
      <c r="DK242" s="2"/>
      <c r="DL242" s="1">
        <v>1260173.672137195</v>
      </c>
      <c r="DM242" s="2"/>
      <c r="DN242" s="2"/>
      <c r="DO242" s="2"/>
      <c r="DP242" s="2"/>
      <c r="DQ242" s="2"/>
      <c r="DR242" s="2"/>
      <c r="DS242" s="1">
        <v>1025581.2954167631</v>
      </c>
      <c r="DT242" s="2"/>
      <c r="DU242" s="2"/>
      <c r="DV242" s="2"/>
      <c r="DW242" s="2"/>
      <c r="DX242" s="2"/>
      <c r="DY242" s="2"/>
      <c r="DZ242" s="2"/>
      <c r="EA242" s="2"/>
      <c r="EB242" s="1">
        <v>120135.25170177619</v>
      </c>
      <c r="EC242" s="2"/>
      <c r="ED242" s="2"/>
      <c r="EE242" s="1">
        <v>159201.59598779987</v>
      </c>
      <c r="EF242" s="2"/>
      <c r="EG242" s="1">
        <v>570740.6161907349</v>
      </c>
      <c r="EH242" s="2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4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1">
        <v>3475430.7994563128</v>
      </c>
      <c r="LP242" s="1"/>
      <c r="LQ242" s="1"/>
      <c r="LR242" s="1"/>
      <c r="LS242" s="1"/>
      <c r="LT242" s="1"/>
      <c r="LU242" s="1">
        <v>2557823.8134805565</v>
      </c>
      <c r="LV242" s="1"/>
      <c r="LW242" s="1"/>
      <c r="LX242" s="1"/>
      <c r="LY242" s="1"/>
      <c r="LZ242" s="1"/>
      <c r="MA242" s="1"/>
      <c r="MB242" s="1"/>
      <c r="MC242" s="1"/>
      <c r="MD242" s="1"/>
      <c r="ME242" s="1"/>
    </row>
    <row r="243" spans="1:343">
      <c r="A243" s="1">
        <v>1606</v>
      </c>
      <c r="B243" s="1">
        <v>16189132.245089013</v>
      </c>
      <c r="C243" s="1">
        <v>4370275.2088053757</v>
      </c>
      <c r="D243" s="1"/>
      <c r="E243" s="1"/>
      <c r="F243" s="1"/>
      <c r="G243" s="1"/>
      <c r="H243" s="1"/>
      <c r="I243" s="1"/>
      <c r="J243" s="1"/>
      <c r="K243" s="1">
        <v>2126100.7379706753</v>
      </c>
      <c r="L243" s="1"/>
      <c r="M243" s="1"/>
      <c r="N243" s="1"/>
      <c r="O243" s="1"/>
      <c r="P243" s="1"/>
      <c r="Q243" s="1"/>
      <c r="R243" s="1"/>
      <c r="S243" s="1"/>
      <c r="T243" s="1"/>
      <c r="U243" s="1">
        <v>2218718.810204573</v>
      </c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>
        <v>4781580.7649539765</v>
      </c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>
        <v>1609212.444874472</v>
      </c>
      <c r="AU243" s="1"/>
      <c r="AV243" s="1"/>
      <c r="AW243" s="1"/>
      <c r="AX243" s="1"/>
      <c r="AY243" s="1"/>
      <c r="AZ243" s="1"/>
      <c r="BA243" s="1"/>
      <c r="BB243" s="1"/>
      <c r="BC243" s="1">
        <v>1083244.2782799408</v>
      </c>
      <c r="BD243" s="1"/>
      <c r="BE243" s="1"/>
      <c r="BF243" s="1"/>
      <c r="BG243" s="1"/>
      <c r="BH243" s="1"/>
      <c r="BI243" s="4">
        <v>11430898.822794899</v>
      </c>
      <c r="BJ243" s="2">
        <v>1077606.4538542693</v>
      </c>
      <c r="BK243" s="2"/>
      <c r="BL243" s="2"/>
      <c r="BM243" s="2"/>
      <c r="BN243" s="2"/>
      <c r="BO243" s="2"/>
      <c r="BP243" s="2"/>
      <c r="BQ243" s="2">
        <v>842641.15462128201</v>
      </c>
      <c r="BR243" s="2"/>
      <c r="BS243" s="2"/>
      <c r="BT243" s="2"/>
      <c r="BU243" s="2"/>
      <c r="BV243" s="2"/>
      <c r="BW243" s="2"/>
      <c r="BX243" s="2"/>
      <c r="BY243" s="2"/>
      <c r="BZ243" s="1">
        <v>2765515.8968799184</v>
      </c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1">
        <v>601947.2749105827</v>
      </c>
      <c r="CU243" s="2"/>
      <c r="CV243" s="2"/>
      <c r="CW243" s="2"/>
      <c r="CX243" s="1">
        <v>1918503.7074525373</v>
      </c>
      <c r="CY243" s="2"/>
      <c r="CZ243" s="2"/>
      <c r="DA243" s="2"/>
      <c r="DB243" s="2"/>
      <c r="DC243" s="2"/>
      <c r="DD243" s="2"/>
      <c r="DE243" s="1">
        <v>1074065.4938055389</v>
      </c>
      <c r="DF243" s="2"/>
      <c r="DG243" s="2"/>
      <c r="DH243" s="2"/>
      <c r="DI243" s="2"/>
      <c r="DJ243" s="2"/>
      <c r="DK243" s="2"/>
      <c r="DL243" s="1">
        <v>1264458.2626224617</v>
      </c>
      <c r="DM243" s="2"/>
      <c r="DN243" s="2"/>
      <c r="DO243" s="2"/>
      <c r="DP243" s="2"/>
      <c r="DQ243" s="2"/>
      <c r="DR243" s="2"/>
      <c r="DS243" s="1">
        <v>1032760.3644846802</v>
      </c>
      <c r="DT243" s="2"/>
      <c r="DU243" s="2"/>
      <c r="DV243" s="2"/>
      <c r="DW243" s="2"/>
      <c r="DX243" s="2"/>
      <c r="DY243" s="2"/>
      <c r="DZ243" s="2"/>
      <c r="EA243" s="2"/>
      <c r="EB243" s="1">
        <v>120976.1984636886</v>
      </c>
      <c r="EC243" s="2"/>
      <c r="ED243" s="2"/>
      <c r="EE243" s="1">
        <v>159742.88141415839</v>
      </c>
      <c r="EF243" s="2"/>
      <c r="EG243" s="1">
        <v>572681.1342857834</v>
      </c>
      <c r="EH243" s="2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4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1">
        <v>3487247.2641744646</v>
      </c>
      <c r="LP243" s="1"/>
      <c r="LQ243" s="1"/>
      <c r="LR243" s="1"/>
      <c r="LS243" s="1"/>
      <c r="LT243" s="1"/>
      <c r="LU243" s="1">
        <v>2566520.4144463907</v>
      </c>
      <c r="LV243" s="1"/>
      <c r="LW243" s="1"/>
      <c r="LX243" s="1"/>
      <c r="LY243" s="1"/>
      <c r="LZ243" s="1"/>
      <c r="MA243" s="1"/>
      <c r="MB243" s="1"/>
      <c r="MC243" s="1"/>
      <c r="MD243" s="1"/>
      <c r="ME243" s="1"/>
    </row>
    <row r="244" spans="1:343">
      <c r="A244" s="1">
        <v>1607</v>
      </c>
      <c r="B244" s="1">
        <v>16248954.596225308</v>
      </c>
      <c r="C244" s="1">
        <v>4385134.1445153141</v>
      </c>
      <c r="D244" s="1"/>
      <c r="E244" s="1"/>
      <c r="F244" s="1"/>
      <c r="G244" s="1"/>
      <c r="H244" s="1"/>
      <c r="I244" s="1"/>
      <c r="J244" s="1"/>
      <c r="K244" s="1">
        <v>2135668.1912915432</v>
      </c>
      <c r="L244" s="1"/>
      <c r="M244" s="1"/>
      <c r="N244" s="1"/>
      <c r="O244" s="1"/>
      <c r="P244" s="1"/>
      <c r="Q244" s="1"/>
      <c r="R244" s="1"/>
      <c r="S244" s="1"/>
      <c r="T244" s="1"/>
      <c r="U244" s="1">
        <v>2228703.0448504933</v>
      </c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>
        <v>4797838.13955482</v>
      </c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>
        <v>1614683.7671870452</v>
      </c>
      <c r="AU244" s="1"/>
      <c r="AV244" s="1"/>
      <c r="AW244" s="1"/>
      <c r="AX244" s="1"/>
      <c r="AY244" s="1"/>
      <c r="AZ244" s="1"/>
      <c r="BA244" s="1"/>
      <c r="BB244" s="1"/>
      <c r="BC244" s="1">
        <v>1086927.3088260926</v>
      </c>
      <c r="BD244" s="1"/>
      <c r="BE244" s="1"/>
      <c r="BF244" s="1"/>
      <c r="BG244" s="1"/>
      <c r="BH244" s="1"/>
      <c r="BI244" s="4">
        <v>11485975.738012876</v>
      </c>
      <c r="BJ244" s="2">
        <v>1082024.6403150719</v>
      </c>
      <c r="BK244" s="2"/>
      <c r="BL244" s="2"/>
      <c r="BM244" s="2"/>
      <c r="BN244" s="2"/>
      <c r="BO244" s="2"/>
      <c r="BP244" s="2"/>
      <c r="BQ244" s="2">
        <v>846854.36039438832</v>
      </c>
      <c r="BR244" s="2"/>
      <c r="BS244" s="2"/>
      <c r="BT244" s="2"/>
      <c r="BU244" s="2"/>
      <c r="BV244" s="2"/>
      <c r="BW244" s="2"/>
      <c r="BX244" s="2"/>
      <c r="BY244" s="2"/>
      <c r="BZ244" s="1">
        <v>2784874.5081580775</v>
      </c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1">
        <v>603993.89564527874</v>
      </c>
      <c r="CU244" s="2"/>
      <c r="CV244" s="2"/>
      <c r="CW244" s="2"/>
      <c r="CX244" s="1">
        <v>1925026.620057876</v>
      </c>
      <c r="CY244" s="2"/>
      <c r="CZ244" s="2"/>
      <c r="DA244" s="2"/>
      <c r="DB244" s="2"/>
      <c r="DC244" s="2"/>
      <c r="DD244" s="2"/>
      <c r="DE244" s="1">
        <v>1077717.3164844778</v>
      </c>
      <c r="DF244" s="2"/>
      <c r="DG244" s="2"/>
      <c r="DH244" s="2"/>
      <c r="DI244" s="2"/>
      <c r="DJ244" s="2"/>
      <c r="DK244" s="2"/>
      <c r="DL244" s="1">
        <v>1268757.4207153781</v>
      </c>
      <c r="DM244" s="2"/>
      <c r="DN244" s="2"/>
      <c r="DO244" s="2"/>
      <c r="DP244" s="2"/>
      <c r="DQ244" s="2"/>
      <c r="DR244" s="2"/>
      <c r="DS244" s="1">
        <v>1039989.6870360728</v>
      </c>
      <c r="DT244" s="2"/>
      <c r="DU244" s="2"/>
      <c r="DV244" s="2"/>
      <c r="DW244" s="2"/>
      <c r="DX244" s="2"/>
      <c r="DY244" s="2"/>
      <c r="DZ244" s="2"/>
      <c r="EA244" s="2"/>
      <c r="EB244" s="1">
        <v>121823.03185293441</v>
      </c>
      <c r="EC244" s="2"/>
      <c r="ED244" s="2"/>
      <c r="EE244" s="1">
        <v>160286.00721096655</v>
      </c>
      <c r="EF244" s="2"/>
      <c r="EG244" s="1">
        <v>574628.2501423551</v>
      </c>
      <c r="EH244" s="2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4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1">
        <v>3499103.9048726582</v>
      </c>
      <c r="LP244" s="1"/>
      <c r="LQ244" s="1"/>
      <c r="LR244" s="1"/>
      <c r="LS244" s="1"/>
      <c r="LT244" s="1"/>
      <c r="LU244" s="1">
        <v>2575246.5838555088</v>
      </c>
      <c r="LV244" s="1"/>
      <c r="LW244" s="1"/>
      <c r="LX244" s="1"/>
      <c r="LY244" s="1"/>
      <c r="LZ244" s="1"/>
      <c r="MA244" s="1"/>
      <c r="MB244" s="1"/>
      <c r="MC244" s="1"/>
      <c r="MD244" s="1"/>
      <c r="ME244" s="1"/>
    </row>
    <row r="245" spans="1:343">
      <c r="A245" s="1">
        <v>1608</v>
      </c>
      <c r="B245" s="1">
        <v>16309001.850212229</v>
      </c>
      <c r="C245" s="1">
        <v>4400043.6006066669</v>
      </c>
      <c r="D245" s="1"/>
      <c r="E245" s="1"/>
      <c r="F245" s="1"/>
      <c r="G245" s="1"/>
      <c r="H245" s="1"/>
      <c r="I245" s="1"/>
      <c r="J245" s="1"/>
      <c r="K245" s="1">
        <v>2145278.6981523549</v>
      </c>
      <c r="L245" s="1"/>
      <c r="M245" s="1"/>
      <c r="N245" s="1"/>
      <c r="O245" s="1"/>
      <c r="P245" s="1"/>
      <c r="Q245" s="1"/>
      <c r="R245" s="1"/>
      <c r="S245" s="1"/>
      <c r="T245" s="1"/>
      <c r="U245" s="1">
        <v>2238732.2085523205</v>
      </c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>
        <v>4814150.7892293064</v>
      </c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>
        <v>1620173.6919954813</v>
      </c>
      <c r="AU245" s="1"/>
      <c r="AV245" s="1"/>
      <c r="AW245" s="1"/>
      <c r="AX245" s="1"/>
      <c r="AY245" s="1"/>
      <c r="AZ245" s="1"/>
      <c r="BA245" s="1"/>
      <c r="BB245" s="1"/>
      <c r="BC245" s="1">
        <v>1090622.8616761013</v>
      </c>
      <c r="BD245" s="1"/>
      <c r="BE245" s="1"/>
      <c r="BF245" s="1"/>
      <c r="BG245" s="1"/>
      <c r="BH245" s="1"/>
      <c r="BI245" s="4">
        <v>11541348.513764342</v>
      </c>
      <c r="BJ245" s="2">
        <v>1086460.9413403636</v>
      </c>
      <c r="BK245" s="2"/>
      <c r="BL245" s="2"/>
      <c r="BM245" s="2"/>
      <c r="BN245" s="2"/>
      <c r="BO245" s="2"/>
      <c r="BP245" s="2"/>
      <c r="BQ245" s="2">
        <v>851088.63219636015</v>
      </c>
      <c r="BR245" s="2"/>
      <c r="BS245" s="2"/>
      <c r="BT245" s="2"/>
      <c r="BU245" s="2"/>
      <c r="BV245" s="2"/>
      <c r="BW245" s="2"/>
      <c r="BX245" s="2"/>
      <c r="BY245" s="2"/>
      <c r="BZ245" s="1">
        <v>2804368.6297151837</v>
      </c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1">
        <v>606047.47489047272</v>
      </c>
      <c r="CU245" s="2"/>
      <c r="CV245" s="2"/>
      <c r="CW245" s="2"/>
      <c r="CX245" s="1">
        <v>1931571.710566073</v>
      </c>
      <c r="CY245" s="2"/>
      <c r="CZ245" s="2"/>
      <c r="DA245" s="2"/>
      <c r="DB245" s="2"/>
      <c r="DC245" s="2"/>
      <c r="DD245" s="2"/>
      <c r="DE245" s="1">
        <v>1081381.5553605251</v>
      </c>
      <c r="DF245" s="2"/>
      <c r="DG245" s="2"/>
      <c r="DH245" s="2"/>
      <c r="DI245" s="2"/>
      <c r="DJ245" s="2"/>
      <c r="DK245" s="2"/>
      <c r="DL245" s="1">
        <v>1273071.1959458105</v>
      </c>
      <c r="DM245" s="2"/>
      <c r="DN245" s="2"/>
      <c r="DO245" s="2"/>
      <c r="DP245" s="2"/>
      <c r="DQ245" s="2"/>
      <c r="DR245" s="2"/>
      <c r="DS245" s="1">
        <v>1047269.6148453252</v>
      </c>
      <c r="DT245" s="2"/>
      <c r="DU245" s="2"/>
      <c r="DV245" s="2"/>
      <c r="DW245" s="2"/>
      <c r="DX245" s="2"/>
      <c r="DY245" s="2"/>
      <c r="DZ245" s="2"/>
      <c r="EA245" s="2"/>
      <c r="EB245" s="1">
        <v>122675.79307590493</v>
      </c>
      <c r="EC245" s="2"/>
      <c r="ED245" s="2"/>
      <c r="EE245" s="1">
        <v>160830.97963548385</v>
      </c>
      <c r="EF245" s="2"/>
      <c r="EG245" s="1">
        <v>576581.9861928391</v>
      </c>
      <c r="EH245" s="2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4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1">
        <v>3511000.8581492254</v>
      </c>
      <c r="LP245" s="1"/>
      <c r="LQ245" s="1"/>
      <c r="LR245" s="1"/>
      <c r="LS245" s="1"/>
      <c r="LT245" s="1"/>
      <c r="LU245" s="1">
        <v>2584002.4222406177</v>
      </c>
      <c r="LV245" s="1"/>
      <c r="LW245" s="1"/>
      <c r="LX245" s="1"/>
      <c r="LY245" s="1"/>
      <c r="LZ245" s="1"/>
      <c r="MA245" s="1"/>
      <c r="MB245" s="1"/>
      <c r="MC245" s="1"/>
      <c r="MD245" s="1"/>
      <c r="ME245" s="1"/>
    </row>
    <row r="246" spans="1:343">
      <c r="A246" s="1">
        <v>1609</v>
      </c>
      <c r="B246" s="1">
        <v>16369274.868500326</v>
      </c>
      <c r="C246" s="1">
        <v>4415003.7488487298</v>
      </c>
      <c r="D246" s="1"/>
      <c r="E246" s="1"/>
      <c r="F246" s="1"/>
      <c r="G246" s="1"/>
      <c r="H246" s="1"/>
      <c r="I246" s="1"/>
      <c r="J246" s="1"/>
      <c r="K246" s="1">
        <v>2154932.4522940405</v>
      </c>
      <c r="L246" s="1"/>
      <c r="M246" s="1"/>
      <c r="N246" s="1"/>
      <c r="O246" s="1"/>
      <c r="P246" s="1"/>
      <c r="Q246" s="1"/>
      <c r="R246" s="1"/>
      <c r="S246" s="1"/>
      <c r="T246" s="1"/>
      <c r="U246" s="1">
        <v>2248806.5034908056</v>
      </c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>
        <v>4830518.9019126864</v>
      </c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>
        <v>1625682.282548266</v>
      </c>
      <c r="AU246" s="1"/>
      <c r="AV246" s="1"/>
      <c r="AW246" s="1"/>
      <c r="AX246" s="1"/>
      <c r="AY246" s="1"/>
      <c r="AZ246" s="1"/>
      <c r="BA246" s="1"/>
      <c r="BB246" s="1"/>
      <c r="BC246" s="1">
        <v>1094330.9794058001</v>
      </c>
      <c r="BD246" s="1"/>
      <c r="BE246" s="1"/>
      <c r="BF246" s="1"/>
      <c r="BG246" s="1"/>
      <c r="BH246" s="1"/>
      <c r="BI246" s="4">
        <v>11597018.893717084</v>
      </c>
      <c r="BJ246" s="2">
        <v>1090915.4311998591</v>
      </c>
      <c r="BK246" s="2"/>
      <c r="BL246" s="2"/>
      <c r="BM246" s="2"/>
      <c r="BN246" s="2"/>
      <c r="BO246" s="2"/>
      <c r="BP246" s="2"/>
      <c r="BQ246" s="2">
        <v>855344.07535734191</v>
      </c>
      <c r="BR246" s="2"/>
      <c r="BS246" s="2"/>
      <c r="BT246" s="2"/>
      <c r="BU246" s="2"/>
      <c r="BV246" s="2"/>
      <c r="BW246" s="2"/>
      <c r="BX246" s="2"/>
      <c r="BY246" s="2"/>
      <c r="BZ246" s="1">
        <v>2823999.2101231897</v>
      </c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1">
        <v>608108.03630510042</v>
      </c>
      <c r="CU246" s="2"/>
      <c r="CV246" s="2"/>
      <c r="CW246" s="2"/>
      <c r="CX246" s="1">
        <v>1938139.0543819978</v>
      </c>
      <c r="CY246" s="2"/>
      <c r="CZ246" s="2"/>
      <c r="DA246" s="2"/>
      <c r="DB246" s="2"/>
      <c r="DC246" s="2"/>
      <c r="DD246" s="2"/>
      <c r="DE246" s="1">
        <v>1085058.252648751</v>
      </c>
      <c r="DF246" s="2"/>
      <c r="DG246" s="2"/>
      <c r="DH246" s="2"/>
      <c r="DI246" s="2"/>
      <c r="DJ246" s="2"/>
      <c r="DK246" s="2"/>
      <c r="DL246" s="1">
        <v>1277399.6380120264</v>
      </c>
      <c r="DM246" s="2"/>
      <c r="DN246" s="2"/>
      <c r="DO246" s="2"/>
      <c r="DP246" s="2"/>
      <c r="DQ246" s="2"/>
      <c r="DR246" s="2"/>
      <c r="DS246" s="1">
        <v>1054600.5021492424</v>
      </c>
      <c r="DT246" s="2"/>
      <c r="DU246" s="2"/>
      <c r="DV246" s="2"/>
      <c r="DW246" s="2"/>
      <c r="DX246" s="2"/>
      <c r="DY246" s="2"/>
      <c r="DZ246" s="2"/>
      <c r="EA246" s="2"/>
      <c r="EB246" s="1">
        <v>123534.52362743625</v>
      </c>
      <c r="EC246" s="2"/>
      <c r="ED246" s="2"/>
      <c r="EE246" s="1">
        <v>161377.8049662445</v>
      </c>
      <c r="EF246" s="2"/>
      <c r="EG246" s="1">
        <v>578542.36494589481</v>
      </c>
      <c r="EH246" s="2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4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1">
        <v>3522938.2610669332</v>
      </c>
      <c r="LP246" s="1"/>
      <c r="LQ246" s="1"/>
      <c r="LR246" s="1"/>
      <c r="LS246" s="1"/>
      <c r="LT246" s="1"/>
      <c r="LU246" s="1">
        <v>2592788.0304762358</v>
      </c>
      <c r="LV246" s="1"/>
      <c r="LW246" s="1"/>
      <c r="LX246" s="1"/>
      <c r="LY246" s="1"/>
      <c r="LZ246" s="1"/>
      <c r="MA246" s="1"/>
      <c r="MB246" s="1"/>
      <c r="MC246" s="1"/>
      <c r="MD246" s="1"/>
      <c r="ME246" s="1"/>
    </row>
    <row r="247" spans="1:343">
      <c r="A247" s="1">
        <v>1610</v>
      </c>
      <c r="B247" s="1">
        <v>16429774.515904594</v>
      </c>
      <c r="C247" s="1">
        <v>4430014.7615948161</v>
      </c>
      <c r="D247" s="1"/>
      <c r="E247" s="1"/>
      <c r="F247" s="1"/>
      <c r="G247" s="1"/>
      <c r="H247" s="1"/>
      <c r="I247" s="1"/>
      <c r="J247" s="1"/>
      <c r="K247" s="1">
        <v>2164629.6483293637</v>
      </c>
      <c r="L247" s="1"/>
      <c r="M247" s="1"/>
      <c r="N247" s="1"/>
      <c r="O247" s="1"/>
      <c r="P247" s="1"/>
      <c r="Q247" s="1"/>
      <c r="R247" s="1"/>
      <c r="S247" s="1"/>
      <c r="T247" s="1"/>
      <c r="U247" s="1">
        <v>2258926.132756514</v>
      </c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>
        <v>4846942.6661791895</v>
      </c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>
        <v>1631209.6023089301</v>
      </c>
      <c r="AU247" s="1"/>
      <c r="AV247" s="1"/>
      <c r="AW247" s="1"/>
      <c r="AX247" s="1"/>
      <c r="AY247" s="1"/>
      <c r="AZ247" s="1"/>
      <c r="BA247" s="1"/>
      <c r="BB247" s="1"/>
      <c r="BC247" s="1">
        <v>1098051.7047357799</v>
      </c>
      <c r="BD247" s="1"/>
      <c r="BE247" s="1"/>
      <c r="BF247" s="1"/>
      <c r="BG247" s="1"/>
      <c r="BH247" s="1"/>
      <c r="BI247" s="4">
        <v>11652988.632527374</v>
      </c>
      <c r="BJ247" s="2">
        <v>1095388.1844677785</v>
      </c>
      <c r="BK247" s="2"/>
      <c r="BL247" s="2"/>
      <c r="BM247" s="2"/>
      <c r="BN247" s="2"/>
      <c r="BO247" s="2"/>
      <c r="BP247" s="2"/>
      <c r="BQ247" s="2">
        <v>859620.79573412857</v>
      </c>
      <c r="BR247" s="2"/>
      <c r="BS247" s="2"/>
      <c r="BT247" s="2"/>
      <c r="BU247" s="2"/>
      <c r="BV247" s="2"/>
      <c r="BW247" s="2"/>
      <c r="BX247" s="2"/>
      <c r="BY247" s="2"/>
      <c r="BZ247" s="1">
        <v>2843767.2045940519</v>
      </c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1">
        <v>610175.60362853785</v>
      </c>
      <c r="CU247" s="2"/>
      <c r="CV247" s="2"/>
      <c r="CW247" s="2"/>
      <c r="CX247" s="1">
        <v>1944728.7271668967</v>
      </c>
      <c r="CY247" s="2"/>
      <c r="CZ247" s="2"/>
      <c r="DA247" s="2"/>
      <c r="DB247" s="2"/>
      <c r="DC247" s="2"/>
      <c r="DD247" s="2"/>
      <c r="DE247" s="1">
        <v>1088747.4507077569</v>
      </c>
      <c r="DF247" s="2"/>
      <c r="DG247" s="2"/>
      <c r="DH247" s="2"/>
      <c r="DI247" s="2"/>
      <c r="DJ247" s="2"/>
      <c r="DK247" s="2"/>
      <c r="DL247" s="1">
        <v>1281742.7967812675</v>
      </c>
      <c r="DM247" s="2"/>
      <c r="DN247" s="2"/>
      <c r="DO247" s="2"/>
      <c r="DP247" s="2"/>
      <c r="DQ247" s="2"/>
      <c r="DR247" s="2"/>
      <c r="DS247" s="1">
        <v>1061982.7056642871</v>
      </c>
      <c r="DT247" s="2"/>
      <c r="DU247" s="2"/>
      <c r="DV247" s="2"/>
      <c r="DW247" s="2"/>
      <c r="DX247" s="2"/>
      <c r="DY247" s="2"/>
      <c r="DZ247" s="2"/>
      <c r="EA247" s="2"/>
      <c r="EB247" s="1">
        <v>124399.26529282829</v>
      </c>
      <c r="EC247" s="2"/>
      <c r="ED247" s="2"/>
      <c r="EE247" s="1">
        <v>161926.48950312973</v>
      </c>
      <c r="EF247" s="2"/>
      <c r="EG247" s="1">
        <v>580509.40898671094</v>
      </c>
      <c r="EH247" s="2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4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1">
        <v>3534916.2511545611</v>
      </c>
      <c r="LP247" s="1"/>
      <c r="LQ247" s="1"/>
      <c r="LR247" s="1"/>
      <c r="LS247" s="1"/>
      <c r="LT247" s="1"/>
      <c r="LU247" s="1">
        <v>2601603.5097798551</v>
      </c>
      <c r="LV247" s="1"/>
      <c r="LW247" s="1"/>
      <c r="LX247" s="1"/>
      <c r="LY247" s="1"/>
      <c r="LZ247" s="1"/>
      <c r="MA247" s="1"/>
      <c r="MB247" s="1"/>
      <c r="MC247" s="1"/>
      <c r="MD247" s="1"/>
      <c r="ME247" s="1"/>
    </row>
    <row r="248" spans="1:343">
      <c r="A248" s="1">
        <v>1611</v>
      </c>
      <c r="B248" s="1">
        <v>16490501.660617866</v>
      </c>
      <c r="C248" s="1">
        <v>4445076.8117842386</v>
      </c>
      <c r="D248" s="1"/>
      <c r="E248" s="1"/>
      <c r="F248" s="1"/>
      <c r="G248" s="1"/>
      <c r="H248" s="1"/>
      <c r="I248" s="1"/>
      <c r="J248" s="1"/>
      <c r="K248" s="1">
        <v>2174370.4817468459</v>
      </c>
      <c r="L248" s="1"/>
      <c r="M248" s="1"/>
      <c r="N248" s="1"/>
      <c r="O248" s="1"/>
      <c r="P248" s="1"/>
      <c r="Q248" s="1"/>
      <c r="R248" s="1"/>
      <c r="S248" s="1"/>
      <c r="T248" s="1"/>
      <c r="U248" s="1">
        <v>2269091.3003539182</v>
      </c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>
        <v>4863422.271244199</v>
      </c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>
        <v>1636755.7149567807</v>
      </c>
      <c r="AU248" s="1"/>
      <c r="AV248" s="1"/>
      <c r="AW248" s="1"/>
      <c r="AX248" s="1"/>
      <c r="AY248" s="1"/>
      <c r="AZ248" s="1"/>
      <c r="BA248" s="1"/>
      <c r="BB248" s="1"/>
      <c r="BC248" s="1">
        <v>1101785.0805318817</v>
      </c>
      <c r="BD248" s="1"/>
      <c r="BE248" s="1"/>
      <c r="BF248" s="1"/>
      <c r="BG248" s="1"/>
      <c r="BH248" s="1"/>
      <c r="BI248" s="4">
        <v>11709259.495912254</v>
      </c>
      <c r="BJ248" s="2">
        <v>1099879.2760240964</v>
      </c>
      <c r="BK248" s="2"/>
      <c r="BL248" s="2"/>
      <c r="BM248" s="2"/>
      <c r="BN248" s="2"/>
      <c r="BO248" s="2"/>
      <c r="BP248" s="2"/>
      <c r="BQ248" s="2">
        <v>863918.89971279912</v>
      </c>
      <c r="BR248" s="2"/>
      <c r="BS248" s="2"/>
      <c r="BT248" s="2"/>
      <c r="BU248" s="2"/>
      <c r="BV248" s="2"/>
      <c r="BW248" s="2"/>
      <c r="BX248" s="2"/>
      <c r="BY248" s="2"/>
      <c r="BZ248" s="1">
        <v>2863673.5750262099</v>
      </c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1">
        <v>612250.20068087487</v>
      </c>
      <c r="CU248" s="2"/>
      <c r="CV248" s="2"/>
      <c r="CW248" s="2"/>
      <c r="CX248" s="1">
        <v>1951340.8048392644</v>
      </c>
      <c r="CY248" s="2"/>
      <c r="CZ248" s="2"/>
      <c r="DA248" s="2"/>
      <c r="DB248" s="2"/>
      <c r="DC248" s="2"/>
      <c r="DD248" s="2"/>
      <c r="DE248" s="1">
        <v>1092449.1920401633</v>
      </c>
      <c r="DF248" s="2"/>
      <c r="DG248" s="2"/>
      <c r="DH248" s="2"/>
      <c r="DI248" s="2"/>
      <c r="DJ248" s="2"/>
      <c r="DK248" s="2"/>
      <c r="DL248" s="1">
        <v>1286100.7222903238</v>
      </c>
      <c r="DM248" s="2"/>
      <c r="DN248" s="2"/>
      <c r="DO248" s="2"/>
      <c r="DP248" s="2"/>
      <c r="DQ248" s="2"/>
      <c r="DR248" s="2"/>
      <c r="DS248" s="1">
        <v>1069416.5846039369</v>
      </c>
      <c r="DT248" s="2"/>
      <c r="DU248" s="2"/>
      <c r="DV248" s="2"/>
      <c r="DW248" s="2"/>
      <c r="DX248" s="2"/>
      <c r="DY248" s="2"/>
      <c r="DZ248" s="2"/>
      <c r="EA248" s="2"/>
      <c r="EB248" s="1">
        <v>125270.06014987807</v>
      </c>
      <c r="EC248" s="2"/>
      <c r="ED248" s="2"/>
      <c r="EE248" s="1">
        <v>162477.0395674404</v>
      </c>
      <c r="EF248" s="2"/>
      <c r="EG248" s="1">
        <v>582483.14097726578</v>
      </c>
      <c r="EH248" s="2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4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1">
        <v>3546934.9664084869</v>
      </c>
      <c r="LP248" s="1"/>
      <c r="LQ248" s="1"/>
      <c r="LR248" s="1"/>
      <c r="LS248" s="1"/>
      <c r="LT248" s="1"/>
      <c r="LU248" s="1">
        <v>2610448.9617131068</v>
      </c>
      <c r="LV248" s="1"/>
      <c r="LW248" s="1"/>
      <c r="LX248" s="1"/>
      <c r="LY248" s="1"/>
      <c r="LZ248" s="1"/>
      <c r="MA248" s="1"/>
      <c r="MB248" s="1"/>
      <c r="MC248" s="1"/>
      <c r="MD248" s="1"/>
      <c r="ME248" s="1"/>
    </row>
    <row r="249" spans="1:343">
      <c r="A249" s="1">
        <v>1612</v>
      </c>
      <c r="B249" s="1">
        <v>16551457.174224276</v>
      </c>
      <c r="C249" s="1">
        <v>4460190.0729443049</v>
      </c>
      <c r="D249" s="1"/>
      <c r="E249" s="1"/>
      <c r="F249" s="1"/>
      <c r="G249" s="1"/>
      <c r="H249" s="1"/>
      <c r="I249" s="1"/>
      <c r="J249" s="1"/>
      <c r="K249" s="1">
        <v>2184155.1489147064</v>
      </c>
      <c r="L249" s="1"/>
      <c r="M249" s="1"/>
      <c r="N249" s="1"/>
      <c r="O249" s="1"/>
      <c r="P249" s="1"/>
      <c r="Q249" s="1"/>
      <c r="R249" s="1"/>
      <c r="S249" s="1"/>
      <c r="T249" s="1"/>
      <c r="U249" s="1">
        <v>2279302.2112055109</v>
      </c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>
        <v>4879957.9069664292</v>
      </c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>
        <v>1642320.6843876338</v>
      </c>
      <c r="AU249" s="1"/>
      <c r="AV249" s="1"/>
      <c r="AW249" s="1"/>
      <c r="AX249" s="1"/>
      <c r="AY249" s="1"/>
      <c r="AZ249" s="1"/>
      <c r="BA249" s="1"/>
      <c r="BB249" s="1"/>
      <c r="BC249" s="1">
        <v>1105531.1498056902</v>
      </c>
      <c r="BD249" s="1"/>
      <c r="BE249" s="1"/>
      <c r="BF249" s="1"/>
      <c r="BG249" s="1"/>
      <c r="BH249" s="1"/>
      <c r="BI249" s="4">
        <v>11765833.260722319</v>
      </c>
      <c r="BJ249" s="2">
        <v>1104388.7810557953</v>
      </c>
      <c r="BK249" s="2"/>
      <c r="BL249" s="2"/>
      <c r="BM249" s="2"/>
      <c r="BN249" s="2"/>
      <c r="BO249" s="2"/>
      <c r="BP249" s="2"/>
      <c r="BQ249" s="2">
        <v>868238.49421136302</v>
      </c>
      <c r="BR249" s="2"/>
      <c r="BS249" s="2"/>
      <c r="BT249" s="2"/>
      <c r="BU249" s="2"/>
      <c r="BV249" s="2"/>
      <c r="BW249" s="2"/>
      <c r="BX249" s="2"/>
      <c r="BY249" s="2"/>
      <c r="BZ249" s="1">
        <v>2883719.2900513932</v>
      </c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1">
        <v>614331.85136318987</v>
      </c>
      <c r="CU249" s="2"/>
      <c r="CV249" s="2"/>
      <c r="CW249" s="2"/>
      <c r="CX249" s="1">
        <v>1957975.3635757179</v>
      </c>
      <c r="CY249" s="2"/>
      <c r="CZ249" s="2"/>
      <c r="DA249" s="2"/>
      <c r="DB249" s="2"/>
      <c r="DC249" s="2"/>
      <c r="DD249" s="2"/>
      <c r="DE249" s="1">
        <v>1096163.5192930999</v>
      </c>
      <c r="DF249" s="2"/>
      <c r="DG249" s="2"/>
      <c r="DH249" s="2"/>
      <c r="DI249" s="2"/>
      <c r="DJ249" s="2"/>
      <c r="DK249" s="2"/>
      <c r="DL249" s="1">
        <v>1290473.4647461111</v>
      </c>
      <c r="DM249" s="2"/>
      <c r="DN249" s="2"/>
      <c r="DO249" s="2"/>
      <c r="DP249" s="2"/>
      <c r="DQ249" s="2"/>
      <c r="DR249" s="2"/>
      <c r="DS249" s="1">
        <v>1076902.5006961643</v>
      </c>
      <c r="DT249" s="2"/>
      <c r="DU249" s="2"/>
      <c r="DV249" s="2"/>
      <c r="DW249" s="2"/>
      <c r="DX249" s="2"/>
      <c r="DY249" s="2"/>
      <c r="DZ249" s="2"/>
      <c r="EA249" s="2"/>
      <c r="EB249" s="1">
        <v>126146.95057092721</v>
      </c>
      <c r="EC249" s="2"/>
      <c r="ED249" s="2"/>
      <c r="EE249" s="1">
        <v>163029.46150196969</v>
      </c>
      <c r="EF249" s="2"/>
      <c r="EG249" s="1">
        <v>584463.58365658857</v>
      </c>
      <c r="EH249" s="2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4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1">
        <v>3558994.545294276</v>
      </c>
      <c r="LP249" s="1"/>
      <c r="LQ249" s="1"/>
      <c r="LR249" s="1"/>
      <c r="LS249" s="1"/>
      <c r="LT249" s="1"/>
      <c r="LU249" s="1">
        <v>2619324.4881829317</v>
      </c>
      <c r="LV249" s="1"/>
      <c r="LW249" s="1"/>
      <c r="LX249" s="1"/>
      <c r="LY249" s="1"/>
      <c r="LZ249" s="1"/>
      <c r="MA249" s="1"/>
      <c r="MB249" s="1"/>
      <c r="MC249" s="1"/>
      <c r="MD249" s="1"/>
      <c r="ME249" s="1"/>
    </row>
    <row r="250" spans="1:343">
      <c r="A250" s="1">
        <v>1613</v>
      </c>
      <c r="B250" s="1">
        <v>16612641.931712773</v>
      </c>
      <c r="C250" s="1">
        <v>4475354.7191923158</v>
      </c>
      <c r="D250" s="1"/>
      <c r="E250" s="1"/>
      <c r="F250" s="1"/>
      <c r="G250" s="1"/>
      <c r="H250" s="1"/>
      <c r="I250" s="1"/>
      <c r="J250" s="1"/>
      <c r="K250" s="1">
        <v>2193983.8470848226</v>
      </c>
      <c r="L250" s="1"/>
      <c r="M250" s="1"/>
      <c r="N250" s="1"/>
      <c r="O250" s="1"/>
      <c r="P250" s="1"/>
      <c r="Q250" s="1"/>
      <c r="R250" s="1"/>
      <c r="S250" s="1"/>
      <c r="T250" s="1"/>
      <c r="U250" s="1">
        <v>2289559.0711559355</v>
      </c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>
        <v>4896549.7638501152</v>
      </c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>
        <v>1647904.5747145519</v>
      </c>
      <c r="AU250" s="1"/>
      <c r="AV250" s="1"/>
      <c r="AW250" s="1"/>
      <c r="AX250" s="1"/>
      <c r="AY250" s="1"/>
      <c r="AZ250" s="1"/>
      <c r="BA250" s="1"/>
      <c r="BB250" s="1"/>
      <c r="BC250" s="1">
        <v>1109289.9557150295</v>
      </c>
      <c r="BD250" s="1"/>
      <c r="BE250" s="1"/>
      <c r="BF250" s="1"/>
      <c r="BG250" s="1"/>
      <c r="BH250" s="1"/>
      <c r="BI250" s="4">
        <v>11822711.715015</v>
      </c>
      <c r="BJ250" s="2">
        <v>1108916.775058124</v>
      </c>
      <c r="BK250" s="2"/>
      <c r="BL250" s="2"/>
      <c r="BM250" s="2"/>
      <c r="BN250" s="2"/>
      <c r="BO250" s="2"/>
      <c r="BP250" s="2"/>
      <c r="BQ250" s="2">
        <v>872579.68668241974</v>
      </c>
      <c r="BR250" s="2"/>
      <c r="BS250" s="2"/>
      <c r="BT250" s="2"/>
      <c r="BU250" s="2"/>
      <c r="BV250" s="2"/>
      <c r="BW250" s="2"/>
      <c r="BX250" s="2"/>
      <c r="BY250" s="2"/>
      <c r="BZ250" s="1">
        <v>2903905.3250817526</v>
      </c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1">
        <v>616420.57965782471</v>
      </c>
      <c r="CU250" s="2"/>
      <c r="CV250" s="2"/>
      <c r="CW250" s="2"/>
      <c r="CX250" s="1">
        <v>1964632.4798118754</v>
      </c>
      <c r="CY250" s="2"/>
      <c r="CZ250" s="2"/>
      <c r="DA250" s="2"/>
      <c r="DB250" s="2"/>
      <c r="DC250" s="2"/>
      <c r="DD250" s="2"/>
      <c r="DE250" s="1">
        <v>1099890.4752586966</v>
      </c>
      <c r="DF250" s="2"/>
      <c r="DG250" s="2"/>
      <c r="DH250" s="2"/>
      <c r="DI250" s="2"/>
      <c r="DJ250" s="2"/>
      <c r="DK250" s="2"/>
      <c r="DL250" s="1">
        <v>1294861.074526248</v>
      </c>
      <c r="DM250" s="2"/>
      <c r="DN250" s="2"/>
      <c r="DO250" s="2"/>
      <c r="DP250" s="2"/>
      <c r="DQ250" s="2"/>
      <c r="DR250" s="2"/>
      <c r="DS250" s="1">
        <v>1084440.8182010374</v>
      </c>
      <c r="DT250" s="2"/>
      <c r="DU250" s="2"/>
      <c r="DV250" s="2"/>
      <c r="DW250" s="2"/>
      <c r="DX250" s="2"/>
      <c r="DY250" s="2"/>
      <c r="DZ250" s="2"/>
      <c r="EA250" s="2"/>
      <c r="EB250" s="1">
        <v>127029.97922492368</v>
      </c>
      <c r="EC250" s="2"/>
      <c r="ED250" s="2"/>
      <c r="EE250" s="1">
        <v>163583.76167107641</v>
      </c>
      <c r="EF250" s="2"/>
      <c r="EG250" s="1">
        <v>586450.75984102103</v>
      </c>
      <c r="EH250" s="2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4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1">
        <v>3571095.1267482769</v>
      </c>
      <c r="LP250" s="1"/>
      <c r="LQ250" s="1"/>
      <c r="LR250" s="1"/>
      <c r="LS250" s="1"/>
      <c r="LT250" s="1"/>
      <c r="LU250" s="1">
        <v>2628230.1914427537</v>
      </c>
      <c r="LV250" s="1"/>
      <c r="LW250" s="1"/>
      <c r="LX250" s="1"/>
      <c r="LY250" s="1"/>
      <c r="LZ250" s="1"/>
      <c r="MA250" s="1"/>
      <c r="MB250" s="1"/>
      <c r="MC250" s="1"/>
      <c r="MD250" s="1"/>
      <c r="ME250" s="1"/>
    </row>
    <row r="251" spans="1:343">
      <c r="A251" s="1">
        <v>1614</v>
      </c>
      <c r="B251" s="1">
        <v>16674056.811490659</v>
      </c>
      <c r="C251" s="1">
        <v>4490570.92523757</v>
      </c>
      <c r="D251" s="1"/>
      <c r="E251" s="1"/>
      <c r="F251" s="1"/>
      <c r="G251" s="1"/>
      <c r="H251" s="1"/>
      <c r="I251" s="1"/>
      <c r="J251" s="1"/>
      <c r="K251" s="1">
        <v>2203856.774396704</v>
      </c>
      <c r="L251" s="1"/>
      <c r="M251" s="1"/>
      <c r="N251" s="1"/>
      <c r="O251" s="1"/>
      <c r="P251" s="1"/>
      <c r="Q251" s="1"/>
      <c r="R251" s="1"/>
      <c r="S251" s="1"/>
      <c r="T251" s="1"/>
      <c r="U251" s="1">
        <v>2299862.086976137</v>
      </c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>
        <v>4913198.0330472058</v>
      </c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>
        <v>1653507.4502685815</v>
      </c>
      <c r="AU251" s="1"/>
      <c r="AV251" s="1"/>
      <c r="AW251" s="1"/>
      <c r="AX251" s="1"/>
      <c r="AY251" s="1"/>
      <c r="AZ251" s="1"/>
      <c r="BA251" s="1"/>
      <c r="BB251" s="1"/>
      <c r="BC251" s="1">
        <v>1113061.5415644606</v>
      </c>
      <c r="BD251" s="1"/>
      <c r="BE251" s="1"/>
      <c r="BF251" s="1"/>
      <c r="BG251" s="1"/>
      <c r="BH251" s="1"/>
      <c r="BI251" s="4">
        <v>11879896.65812831</v>
      </c>
      <c r="BJ251" s="2">
        <v>1113463.3338358623</v>
      </c>
      <c r="BK251" s="2"/>
      <c r="BL251" s="2"/>
      <c r="BM251" s="2"/>
      <c r="BN251" s="2"/>
      <c r="BO251" s="2"/>
      <c r="BP251" s="2"/>
      <c r="BQ251" s="2">
        <v>876942.58511583169</v>
      </c>
      <c r="BR251" s="2"/>
      <c r="BS251" s="2"/>
      <c r="BT251" s="2"/>
      <c r="BU251" s="2"/>
      <c r="BV251" s="2"/>
      <c r="BW251" s="2"/>
      <c r="BX251" s="2"/>
      <c r="BY251" s="2"/>
      <c r="BZ251" s="1">
        <v>2924232.6623573247</v>
      </c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1">
        <v>618516.40962866135</v>
      </c>
      <c r="CU251" s="2"/>
      <c r="CV251" s="2"/>
      <c r="CW251" s="2"/>
      <c r="CX251" s="1">
        <v>1971312.2302432358</v>
      </c>
      <c r="CY251" s="2"/>
      <c r="CZ251" s="2"/>
      <c r="DA251" s="2"/>
      <c r="DB251" s="2"/>
      <c r="DC251" s="2"/>
      <c r="DD251" s="2"/>
      <c r="DE251" s="1">
        <v>1103630.1028745763</v>
      </c>
      <c r="DF251" s="2"/>
      <c r="DG251" s="2"/>
      <c r="DH251" s="2"/>
      <c r="DI251" s="2"/>
      <c r="DJ251" s="2"/>
      <c r="DK251" s="2"/>
      <c r="DL251" s="1">
        <v>1299263.6021796374</v>
      </c>
      <c r="DM251" s="2"/>
      <c r="DN251" s="2"/>
      <c r="DO251" s="2"/>
      <c r="DP251" s="2"/>
      <c r="DQ251" s="2"/>
      <c r="DR251" s="2"/>
      <c r="DS251" s="1">
        <v>1092031.9039284445</v>
      </c>
      <c r="DT251" s="2"/>
      <c r="DU251" s="2"/>
      <c r="DV251" s="2"/>
      <c r="DW251" s="2"/>
      <c r="DX251" s="2"/>
      <c r="DY251" s="2"/>
      <c r="DZ251" s="2"/>
      <c r="EA251" s="2"/>
      <c r="EB251" s="1">
        <v>127919.18907949813</v>
      </c>
      <c r="EC251" s="2"/>
      <c r="ED251" s="2"/>
      <c r="EE251" s="1">
        <v>164139.94646075807</v>
      </c>
      <c r="EF251" s="2"/>
      <c r="EG251" s="1">
        <v>588444.69242448057</v>
      </c>
      <c r="EH251" s="2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4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1">
        <v>3583236.8501792215</v>
      </c>
      <c r="LP251" s="1"/>
      <c r="LQ251" s="1"/>
      <c r="LR251" s="1"/>
      <c r="LS251" s="1"/>
      <c r="LT251" s="1"/>
      <c r="LU251" s="1">
        <v>2637166.174093659</v>
      </c>
      <c r="LV251" s="1"/>
      <c r="LW251" s="1"/>
      <c r="LX251" s="1"/>
      <c r="LY251" s="1"/>
      <c r="LZ251" s="1"/>
      <c r="MA251" s="1"/>
      <c r="MB251" s="1"/>
      <c r="MC251" s="1"/>
      <c r="MD251" s="1"/>
      <c r="ME251" s="1"/>
    </row>
    <row r="252" spans="1:343">
      <c r="A252" s="1">
        <v>1615</v>
      </c>
      <c r="B252" s="1">
        <v>16735702.695397237</v>
      </c>
      <c r="C252" s="1">
        <v>4505838.8663833784</v>
      </c>
      <c r="D252" s="1"/>
      <c r="E252" s="1"/>
      <c r="F252" s="1"/>
      <c r="G252" s="1"/>
      <c r="H252" s="1"/>
      <c r="I252" s="1"/>
      <c r="J252" s="1"/>
      <c r="K252" s="1">
        <v>2213774.1298814891</v>
      </c>
      <c r="L252" s="1"/>
      <c r="M252" s="1"/>
      <c r="N252" s="1"/>
      <c r="O252" s="1"/>
      <c r="P252" s="1"/>
      <c r="Q252" s="1"/>
      <c r="R252" s="1"/>
      <c r="S252" s="1"/>
      <c r="T252" s="1"/>
      <c r="U252" s="1">
        <v>2310211.4663675297</v>
      </c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>
        <v>4929902.9063595664</v>
      </c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>
        <v>1659129.3755994949</v>
      </c>
      <c r="AU252" s="1"/>
      <c r="AV252" s="1"/>
      <c r="AW252" s="1"/>
      <c r="AX252" s="1"/>
      <c r="AY252" s="1"/>
      <c r="AZ252" s="1"/>
      <c r="BA252" s="1"/>
      <c r="BB252" s="1"/>
      <c r="BC252" s="1">
        <v>1116845.9508057798</v>
      </c>
      <c r="BD252" s="1"/>
      <c r="BE252" s="1"/>
      <c r="BF252" s="1"/>
      <c r="BG252" s="1"/>
      <c r="BH252" s="1"/>
      <c r="BI252" s="4">
        <v>11937389.90075513</v>
      </c>
      <c r="BJ252" s="2">
        <v>1118028.5335045895</v>
      </c>
      <c r="BK252" s="2"/>
      <c r="BL252" s="2"/>
      <c r="BM252" s="2"/>
      <c r="BN252" s="2"/>
      <c r="BO252" s="2"/>
      <c r="BP252" s="2"/>
      <c r="BQ252" s="2">
        <v>881327.29804141074</v>
      </c>
      <c r="BR252" s="2"/>
      <c r="BS252" s="2"/>
      <c r="BT252" s="2"/>
      <c r="BU252" s="2"/>
      <c r="BV252" s="2"/>
      <c r="BW252" s="2"/>
      <c r="BX252" s="2"/>
      <c r="BY252" s="2"/>
      <c r="BZ252" s="1">
        <v>2944702.2909938255</v>
      </c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1">
        <v>620619.36542139889</v>
      </c>
      <c r="CU252" s="2"/>
      <c r="CV252" s="2"/>
      <c r="CW252" s="2"/>
      <c r="CX252" s="1">
        <v>1978014.691826063</v>
      </c>
      <c r="CY252" s="2"/>
      <c r="CZ252" s="2"/>
      <c r="DA252" s="2"/>
      <c r="DB252" s="2"/>
      <c r="DC252" s="2"/>
      <c r="DD252" s="2"/>
      <c r="DE252" s="1">
        <v>1107382.4452243501</v>
      </c>
      <c r="DF252" s="2"/>
      <c r="DG252" s="2"/>
      <c r="DH252" s="2"/>
      <c r="DI252" s="2"/>
      <c r="DJ252" s="2"/>
      <c r="DK252" s="2"/>
      <c r="DL252" s="1">
        <v>1303681.0984270482</v>
      </c>
      <c r="DM252" s="2"/>
      <c r="DN252" s="2"/>
      <c r="DO252" s="2"/>
      <c r="DP252" s="2"/>
      <c r="DQ252" s="2"/>
      <c r="DR252" s="2"/>
      <c r="DS252" s="1">
        <v>1099676.1272559434</v>
      </c>
      <c r="DT252" s="2"/>
      <c r="DU252" s="2"/>
      <c r="DV252" s="2"/>
      <c r="DW252" s="2"/>
      <c r="DX252" s="2"/>
      <c r="DY252" s="2"/>
      <c r="DZ252" s="2"/>
      <c r="EA252" s="2"/>
      <c r="EB252" s="1">
        <v>128814.6234030546</v>
      </c>
      <c r="EC252" s="2"/>
      <c r="ED252" s="2"/>
      <c r="EE252" s="1">
        <v>164698.02227872467</v>
      </c>
      <c r="EF252" s="2"/>
      <c r="EG252" s="1">
        <v>590445.40437872382</v>
      </c>
      <c r="EH252" s="2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4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1">
        <v>3595419.8554698313</v>
      </c>
      <c r="LP252" s="1"/>
      <c r="LQ252" s="1"/>
      <c r="LR252" s="1"/>
      <c r="LS252" s="1"/>
      <c r="LT252" s="1"/>
      <c r="LU252" s="1">
        <v>2646132.5390855777</v>
      </c>
      <c r="LV252" s="1"/>
      <c r="LW252" s="1"/>
      <c r="LX252" s="1"/>
      <c r="LY252" s="1"/>
      <c r="LZ252" s="1"/>
      <c r="MA252" s="1"/>
      <c r="MB252" s="1"/>
      <c r="MC252" s="1"/>
      <c r="MD252" s="1"/>
      <c r="ME252" s="1"/>
    </row>
    <row r="253" spans="1:343">
      <c r="A253" s="1">
        <v>1616</v>
      </c>
      <c r="B253" s="1">
        <v>16797580.468717463</v>
      </c>
      <c r="C253" s="1">
        <v>4521158.7185290819</v>
      </c>
      <c r="D253" s="1"/>
      <c r="E253" s="1"/>
      <c r="F253" s="1"/>
      <c r="G253" s="1"/>
      <c r="H253" s="1"/>
      <c r="I253" s="1"/>
      <c r="J253" s="1"/>
      <c r="K253" s="1">
        <v>2223736.1134659555</v>
      </c>
      <c r="L253" s="1"/>
      <c r="M253" s="1"/>
      <c r="N253" s="1"/>
      <c r="O253" s="1"/>
      <c r="P253" s="1"/>
      <c r="Q253" s="1"/>
      <c r="R253" s="1"/>
      <c r="S253" s="1"/>
      <c r="T253" s="1"/>
      <c r="U253" s="1">
        <v>2320607.4179661833</v>
      </c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>
        <v>4946664.5762411896</v>
      </c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>
        <v>1664770.4154765334</v>
      </c>
      <c r="AU253" s="1"/>
      <c r="AV253" s="1"/>
      <c r="AW253" s="1"/>
      <c r="AX253" s="1"/>
      <c r="AY253" s="1"/>
      <c r="AZ253" s="1"/>
      <c r="BA253" s="1"/>
      <c r="BB253" s="1"/>
      <c r="BC253" s="1">
        <v>1120643.2270385195</v>
      </c>
      <c r="BD253" s="1"/>
      <c r="BE253" s="1"/>
      <c r="BF253" s="1"/>
      <c r="BG253" s="1"/>
      <c r="BH253" s="1"/>
      <c r="BI253" s="4">
        <v>11995193.26501797</v>
      </c>
      <c r="BJ253" s="2">
        <v>1122612.4504919583</v>
      </c>
      <c r="BK253" s="2"/>
      <c r="BL253" s="2"/>
      <c r="BM253" s="2"/>
      <c r="BN253" s="2"/>
      <c r="BO253" s="2"/>
      <c r="BP253" s="2"/>
      <c r="BQ253" s="2">
        <v>885733.93453161768</v>
      </c>
      <c r="BR253" s="2"/>
      <c r="BS253" s="2"/>
      <c r="BT253" s="2"/>
      <c r="BU253" s="2"/>
      <c r="BV253" s="2"/>
      <c r="BW253" s="2"/>
      <c r="BX253" s="2"/>
      <c r="BY253" s="2"/>
      <c r="BZ253" s="1">
        <v>2965315.207030782</v>
      </c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1">
        <v>622729.47126383171</v>
      </c>
      <c r="CU253" s="2"/>
      <c r="CV253" s="2"/>
      <c r="CW253" s="2"/>
      <c r="CX253" s="1">
        <v>1984739.9417782717</v>
      </c>
      <c r="CY253" s="2"/>
      <c r="CZ253" s="2"/>
      <c r="DA253" s="2"/>
      <c r="DB253" s="2"/>
      <c r="DC253" s="2"/>
      <c r="DD253" s="2"/>
      <c r="DE253" s="1">
        <v>1111147.545538113</v>
      </c>
      <c r="DF253" s="2"/>
      <c r="DG253" s="2"/>
      <c r="DH253" s="2"/>
      <c r="DI253" s="2"/>
      <c r="DJ253" s="2"/>
      <c r="DK253" s="2"/>
      <c r="DL253" s="1">
        <v>1308113.6141617002</v>
      </c>
      <c r="DM253" s="2"/>
      <c r="DN253" s="2"/>
      <c r="DO253" s="2"/>
      <c r="DP253" s="2"/>
      <c r="DQ253" s="2"/>
      <c r="DR253" s="2"/>
      <c r="DS253" s="1">
        <v>1107373.8601467349</v>
      </c>
      <c r="DT253" s="2"/>
      <c r="DU253" s="2"/>
      <c r="DV253" s="2"/>
      <c r="DW253" s="2"/>
      <c r="DX253" s="2"/>
      <c r="DY253" s="2"/>
      <c r="DZ253" s="2"/>
      <c r="EA253" s="2"/>
      <c r="EB253" s="1">
        <v>129716.32576687598</v>
      </c>
      <c r="EC253" s="2"/>
      <c r="ED253" s="2"/>
      <c r="EE253" s="1">
        <v>165257.99555447235</v>
      </c>
      <c r="EF253" s="2"/>
      <c r="EG253" s="1">
        <v>592452.91875361151</v>
      </c>
      <c r="EH253" s="2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4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1">
        <v>3607644.282978429</v>
      </c>
      <c r="LP253" s="1"/>
      <c r="LQ253" s="1"/>
      <c r="LR253" s="1"/>
      <c r="LS253" s="1"/>
      <c r="LT253" s="1"/>
      <c r="LU253" s="1">
        <v>2655129.3897184688</v>
      </c>
      <c r="LV253" s="1"/>
      <c r="LW253" s="1"/>
      <c r="LX253" s="1"/>
      <c r="LY253" s="1"/>
      <c r="LZ253" s="1"/>
      <c r="MA253" s="1"/>
      <c r="MB253" s="1"/>
      <c r="MC253" s="1"/>
      <c r="MD253" s="1"/>
      <c r="ME253" s="1"/>
    </row>
    <row r="254" spans="1:343">
      <c r="A254" s="1">
        <v>1617</v>
      </c>
      <c r="B254" s="1">
        <v>16859691.020195678</v>
      </c>
      <c r="C254" s="1">
        <v>4536530.6581720812</v>
      </c>
      <c r="D254" s="1"/>
      <c r="E254" s="1"/>
      <c r="F254" s="1"/>
      <c r="G254" s="1"/>
      <c r="H254" s="1"/>
      <c r="I254" s="1"/>
      <c r="J254" s="1"/>
      <c r="K254" s="1">
        <v>2233742.9259765521</v>
      </c>
      <c r="L254" s="1"/>
      <c r="M254" s="1"/>
      <c r="N254" s="1"/>
      <c r="O254" s="1"/>
      <c r="P254" s="1"/>
      <c r="Q254" s="1"/>
      <c r="R254" s="1"/>
      <c r="S254" s="1"/>
      <c r="T254" s="1"/>
      <c r="U254" s="1">
        <v>2331050.1513470309</v>
      </c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>
        <v>4963483.2358004097</v>
      </c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>
        <v>1670430.6348891538</v>
      </c>
      <c r="AU254" s="1"/>
      <c r="AV254" s="1"/>
      <c r="AW254" s="1"/>
      <c r="AX254" s="1"/>
      <c r="AY254" s="1"/>
      <c r="AZ254" s="1"/>
      <c r="BA254" s="1"/>
      <c r="BB254" s="1"/>
      <c r="BC254" s="1">
        <v>1124453.4140104505</v>
      </c>
      <c r="BD254" s="1"/>
      <c r="BE254" s="1"/>
      <c r="BF254" s="1"/>
      <c r="BG254" s="1"/>
      <c r="BH254" s="1"/>
      <c r="BI254" s="4">
        <v>12053308.584544228</v>
      </c>
      <c r="BJ254" s="2">
        <v>1127215.1615389753</v>
      </c>
      <c r="BK254" s="2"/>
      <c r="BL254" s="2"/>
      <c r="BM254" s="2"/>
      <c r="BN254" s="2"/>
      <c r="BO254" s="2"/>
      <c r="BP254" s="2"/>
      <c r="BQ254" s="2">
        <v>890162.60420427565</v>
      </c>
      <c r="BR254" s="2"/>
      <c r="BS254" s="2"/>
      <c r="BT254" s="2"/>
      <c r="BU254" s="2"/>
      <c r="BV254" s="2"/>
      <c r="BW254" s="2"/>
      <c r="BX254" s="2"/>
      <c r="BY254" s="2"/>
      <c r="BZ254" s="1">
        <v>2986072.4134799973</v>
      </c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1">
        <v>624846.75146612874</v>
      </c>
      <c r="CU254" s="2"/>
      <c r="CV254" s="2"/>
      <c r="CW254" s="2"/>
      <c r="CX254" s="1">
        <v>1991488.0575803181</v>
      </c>
      <c r="CY254" s="2"/>
      <c r="CZ254" s="2"/>
      <c r="DA254" s="2"/>
      <c r="DB254" s="2"/>
      <c r="DC254" s="2"/>
      <c r="DD254" s="2"/>
      <c r="DE254" s="1">
        <v>1114925.4471929427</v>
      </c>
      <c r="DF254" s="2"/>
      <c r="DG254" s="2"/>
      <c r="DH254" s="2"/>
      <c r="DI254" s="2"/>
      <c r="DJ254" s="2"/>
      <c r="DK254" s="2"/>
      <c r="DL254" s="1">
        <v>1312561.2004498502</v>
      </c>
      <c r="DM254" s="2"/>
      <c r="DN254" s="2"/>
      <c r="DO254" s="2"/>
      <c r="DP254" s="2"/>
      <c r="DQ254" s="2"/>
      <c r="DR254" s="2"/>
      <c r="DS254" s="1">
        <v>1115125.4771677619</v>
      </c>
      <c r="DT254" s="2"/>
      <c r="DU254" s="2"/>
      <c r="DV254" s="2"/>
      <c r="DW254" s="2"/>
      <c r="DX254" s="2"/>
      <c r="DY254" s="2"/>
      <c r="DZ254" s="2"/>
      <c r="EA254" s="2"/>
      <c r="EB254" s="1">
        <v>130624.3400472441</v>
      </c>
      <c r="EC254" s="2"/>
      <c r="ED254" s="2"/>
      <c r="EE254" s="1">
        <v>165819.87273935755</v>
      </c>
      <c r="EF254" s="2"/>
      <c r="EG254" s="1">
        <v>594467.25867737387</v>
      </c>
      <c r="EH254" s="2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4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1">
        <v>3619910.273540556</v>
      </c>
      <c r="LP254" s="1"/>
      <c r="LQ254" s="1"/>
      <c r="LR254" s="1"/>
      <c r="LS254" s="1"/>
      <c r="LT254" s="1"/>
      <c r="LU254" s="1">
        <v>2664156.8296435117</v>
      </c>
      <c r="LV254" s="1"/>
      <c r="LW254" s="1"/>
      <c r="LX254" s="1"/>
      <c r="LY254" s="1"/>
      <c r="LZ254" s="1"/>
      <c r="MA254" s="1"/>
      <c r="MB254" s="1"/>
      <c r="MC254" s="1"/>
      <c r="MD254" s="1"/>
      <c r="ME254" s="1"/>
    </row>
    <row r="255" spans="1:343">
      <c r="A255" s="1">
        <v>1618</v>
      </c>
      <c r="B255" s="1">
        <v>16922035.2420494</v>
      </c>
      <c r="C255" s="1">
        <v>4551954.8624098664</v>
      </c>
      <c r="D255" s="1"/>
      <c r="E255" s="1"/>
      <c r="F255" s="1"/>
      <c r="G255" s="1"/>
      <c r="H255" s="1"/>
      <c r="I255" s="1"/>
      <c r="J255" s="1"/>
      <c r="K255" s="1">
        <v>2243794.7691434463</v>
      </c>
      <c r="L255" s="1"/>
      <c r="M255" s="1"/>
      <c r="N255" s="1"/>
      <c r="O255" s="1"/>
      <c r="P255" s="1"/>
      <c r="Q255" s="1"/>
      <c r="R255" s="1"/>
      <c r="S255" s="1"/>
      <c r="T255" s="1"/>
      <c r="U255" s="1">
        <v>2341539.8770280923</v>
      </c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>
        <v>4980359.0788021311</v>
      </c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>
        <v>1676110.099047777</v>
      </c>
      <c r="AU255" s="1"/>
      <c r="AV255" s="1"/>
      <c r="AW255" s="1"/>
      <c r="AX255" s="1"/>
      <c r="AY255" s="1"/>
      <c r="AZ255" s="1"/>
      <c r="BA255" s="1"/>
      <c r="BB255" s="1"/>
      <c r="BC255" s="1">
        <v>1128276.5556180861</v>
      </c>
      <c r="BD255" s="1"/>
      <c r="BE255" s="1"/>
      <c r="BF255" s="1"/>
      <c r="BG255" s="1"/>
      <c r="BH255" s="1"/>
      <c r="BI255" s="4">
        <v>12111737.704541983</v>
      </c>
      <c r="BJ255" s="2">
        <v>1131836.7437012852</v>
      </c>
      <c r="BK255" s="2"/>
      <c r="BL255" s="2"/>
      <c r="BM255" s="2"/>
      <c r="BN255" s="2"/>
      <c r="BO255" s="2"/>
      <c r="BP255" s="2"/>
      <c r="BQ255" s="2">
        <v>894613.41722529696</v>
      </c>
      <c r="BR255" s="2"/>
      <c r="BS255" s="2"/>
      <c r="BT255" s="2"/>
      <c r="BU255" s="2"/>
      <c r="BV255" s="2"/>
      <c r="BW255" s="2"/>
      <c r="BX255" s="2"/>
      <c r="BY255" s="2"/>
      <c r="BZ255" s="1">
        <v>3006974.9203743571</v>
      </c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1">
        <v>626971.23042111367</v>
      </c>
      <c r="CU255" s="2"/>
      <c r="CV255" s="2"/>
      <c r="CW255" s="2"/>
      <c r="CX255" s="1">
        <v>1998259.1169760914</v>
      </c>
      <c r="CY255" s="2"/>
      <c r="CZ255" s="2"/>
      <c r="DA255" s="2"/>
      <c r="DB255" s="2"/>
      <c r="DC255" s="2"/>
      <c r="DD255" s="2"/>
      <c r="DE255" s="1">
        <v>1118716.1937133989</v>
      </c>
      <c r="DF255" s="2"/>
      <c r="DG255" s="2"/>
      <c r="DH255" s="2"/>
      <c r="DI255" s="2"/>
      <c r="DJ255" s="2"/>
      <c r="DK255" s="2"/>
      <c r="DL255" s="1">
        <v>1317023.9085313797</v>
      </c>
      <c r="DM255" s="2"/>
      <c r="DN255" s="2"/>
      <c r="DO255" s="2"/>
      <c r="DP255" s="2"/>
      <c r="DQ255" s="2"/>
      <c r="DR255" s="2"/>
      <c r="DS255" s="1">
        <v>1122931.3555079361</v>
      </c>
      <c r="DT255" s="2"/>
      <c r="DU255" s="2"/>
      <c r="DV255" s="2"/>
      <c r="DW255" s="2"/>
      <c r="DX255" s="2"/>
      <c r="DY255" s="2"/>
      <c r="DZ255" s="2"/>
      <c r="EA255" s="2"/>
      <c r="EB255" s="1">
        <v>131538.71042757478</v>
      </c>
      <c r="EC255" s="2"/>
      <c r="ED255" s="2"/>
      <c r="EE255" s="1">
        <v>166383.66030667137</v>
      </c>
      <c r="EF255" s="2"/>
      <c r="EG255" s="1">
        <v>596488.44735687703</v>
      </c>
      <c r="EH255" s="2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4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1">
        <v>3632217.9684705939</v>
      </c>
      <c r="LP255" s="1"/>
      <c r="LQ255" s="1"/>
      <c r="LR255" s="1"/>
      <c r="LS255" s="1"/>
      <c r="LT255" s="1"/>
      <c r="LU255" s="1">
        <v>2673214.9628642998</v>
      </c>
      <c r="LV255" s="1"/>
      <c r="LW255" s="1"/>
      <c r="LX255" s="1"/>
      <c r="LY255" s="1"/>
      <c r="LZ255" s="1"/>
      <c r="MA255" s="1"/>
      <c r="MB255" s="1"/>
      <c r="MC255" s="1"/>
      <c r="MD255" s="1"/>
      <c r="ME255" s="1"/>
    </row>
    <row r="256" spans="1:343">
      <c r="A256" s="1">
        <v>1619</v>
      </c>
      <c r="B256" s="1">
        <v>16984614.029983155</v>
      </c>
      <c r="C256" s="1">
        <v>4567431.5089420602</v>
      </c>
      <c r="D256" s="1"/>
      <c r="E256" s="1"/>
      <c r="F256" s="1"/>
      <c r="G256" s="1"/>
      <c r="H256" s="1"/>
      <c r="I256" s="1"/>
      <c r="J256" s="1"/>
      <c r="K256" s="1">
        <v>2253891.8456045915</v>
      </c>
      <c r="L256" s="1"/>
      <c r="M256" s="1"/>
      <c r="N256" s="1"/>
      <c r="O256" s="1"/>
      <c r="P256" s="1"/>
      <c r="Q256" s="1"/>
      <c r="R256" s="1"/>
      <c r="S256" s="1"/>
      <c r="T256" s="1"/>
      <c r="U256" s="1">
        <v>2352076.8064747187</v>
      </c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>
        <v>4997292.2996700583</v>
      </c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>
        <v>1681808.8733845395</v>
      </c>
      <c r="AU256" s="1"/>
      <c r="AV256" s="1"/>
      <c r="AW256" s="1"/>
      <c r="AX256" s="1"/>
      <c r="AY256" s="1"/>
      <c r="AZ256" s="1"/>
      <c r="BA256" s="1"/>
      <c r="BB256" s="1"/>
      <c r="BC256" s="1">
        <v>1132112.6959071876</v>
      </c>
      <c r="BD256" s="1"/>
      <c r="BE256" s="1"/>
      <c r="BF256" s="1"/>
      <c r="BG256" s="1"/>
      <c r="BH256" s="1"/>
      <c r="BI256" s="4">
        <v>12170482.481876289</v>
      </c>
      <c r="BJ256" s="2">
        <v>1136477.2743504604</v>
      </c>
      <c r="BK256" s="2"/>
      <c r="BL256" s="2"/>
      <c r="BM256" s="2"/>
      <c r="BN256" s="2"/>
      <c r="BO256" s="2"/>
      <c r="BP256" s="2"/>
      <c r="BQ256" s="2">
        <v>899086.48431142338</v>
      </c>
      <c r="BR256" s="2"/>
      <c r="BS256" s="2"/>
      <c r="BT256" s="2"/>
      <c r="BU256" s="2"/>
      <c r="BV256" s="2"/>
      <c r="BW256" s="2"/>
      <c r="BX256" s="2"/>
      <c r="BY256" s="2"/>
      <c r="BZ256" s="1">
        <v>3028023.7448169775</v>
      </c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1">
        <v>629102.93260454549</v>
      </c>
      <c r="CU256" s="2"/>
      <c r="CV256" s="2"/>
      <c r="CW256" s="2"/>
      <c r="CX256" s="1">
        <v>2005053.1979738104</v>
      </c>
      <c r="CY256" s="2"/>
      <c r="CZ256" s="2"/>
      <c r="DA256" s="2"/>
      <c r="DB256" s="2"/>
      <c r="DC256" s="2"/>
      <c r="DD256" s="2"/>
      <c r="DE256" s="1">
        <v>1122519.8287720245</v>
      </c>
      <c r="DF256" s="2"/>
      <c r="DG256" s="2"/>
      <c r="DH256" s="2"/>
      <c r="DI256" s="2"/>
      <c r="DJ256" s="2"/>
      <c r="DK256" s="2"/>
      <c r="DL256" s="1">
        <v>1321501.7898203863</v>
      </c>
      <c r="DM256" s="2"/>
      <c r="DN256" s="2"/>
      <c r="DO256" s="2"/>
      <c r="DP256" s="2"/>
      <c r="DQ256" s="2"/>
      <c r="DR256" s="2"/>
      <c r="DS256" s="1">
        <v>1130791.8749964915</v>
      </c>
      <c r="DT256" s="2"/>
      <c r="DU256" s="2"/>
      <c r="DV256" s="2"/>
      <c r="DW256" s="2"/>
      <c r="DX256" s="2"/>
      <c r="DY256" s="2"/>
      <c r="DZ256" s="2"/>
      <c r="EA256" s="2"/>
      <c r="EB256" s="1">
        <v>132459.48140056781</v>
      </c>
      <c r="EC256" s="2"/>
      <c r="ED256" s="2"/>
      <c r="EE256" s="1">
        <v>166949.36475171408</v>
      </c>
      <c r="EF256" s="2"/>
      <c r="EG256" s="1">
        <v>598516.5080778905</v>
      </c>
      <c r="EH256" s="2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4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1">
        <v>3644567.5095633944</v>
      </c>
      <c r="LP256" s="1"/>
      <c r="LQ256" s="1"/>
      <c r="LR256" s="1"/>
      <c r="LS256" s="1"/>
      <c r="LT256" s="1"/>
      <c r="LU256" s="1">
        <v>2682303.8937380384</v>
      </c>
      <c r="LV256" s="1"/>
      <c r="LW256" s="1"/>
      <c r="LX256" s="1"/>
      <c r="LY256" s="1"/>
      <c r="LZ256" s="1"/>
      <c r="MA256" s="1"/>
      <c r="MB256" s="1"/>
      <c r="MC256" s="1"/>
      <c r="MD256" s="1"/>
      <c r="ME256" s="1"/>
    </row>
    <row r="257" spans="1:343">
      <c r="A257" s="1">
        <v>1620</v>
      </c>
      <c r="B257" s="1">
        <v>17047428.283202387</v>
      </c>
      <c r="C257" s="1">
        <v>4582960.776072464</v>
      </c>
      <c r="D257" s="1"/>
      <c r="E257" s="1"/>
      <c r="F257" s="1"/>
      <c r="G257" s="1"/>
      <c r="H257" s="1"/>
      <c r="I257" s="1"/>
      <c r="J257" s="1"/>
      <c r="K257" s="1">
        <v>2264034.3589098123</v>
      </c>
      <c r="L257" s="1"/>
      <c r="M257" s="1"/>
      <c r="N257" s="1"/>
      <c r="O257" s="1"/>
      <c r="P257" s="1"/>
      <c r="Q257" s="1"/>
      <c r="R257" s="1"/>
      <c r="S257" s="1"/>
      <c r="T257" s="1"/>
      <c r="U257" s="1">
        <v>2362661.1521038548</v>
      </c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>
        <v>5014283.0934889372</v>
      </c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>
        <v>1687527.0235540471</v>
      </c>
      <c r="AU257" s="1"/>
      <c r="AV257" s="1"/>
      <c r="AW257" s="1"/>
      <c r="AX257" s="1"/>
      <c r="AY257" s="1"/>
      <c r="AZ257" s="1"/>
      <c r="BA257" s="1"/>
      <c r="BB257" s="1"/>
      <c r="BC257" s="1">
        <v>1135961.8790732722</v>
      </c>
      <c r="BD257" s="1"/>
      <c r="BE257" s="1"/>
      <c r="BF257" s="1"/>
      <c r="BG257" s="1"/>
      <c r="BH257" s="1"/>
      <c r="BI257" s="4">
        <v>12229544.785145987</v>
      </c>
      <c r="BJ257" s="2">
        <v>1141136.8311752973</v>
      </c>
      <c r="BK257" s="2"/>
      <c r="BL257" s="2"/>
      <c r="BM257" s="2"/>
      <c r="BN257" s="2"/>
      <c r="BO257" s="2"/>
      <c r="BP257" s="2"/>
      <c r="BQ257" s="2">
        <v>903581.9167329804</v>
      </c>
      <c r="BR257" s="2"/>
      <c r="BS257" s="2"/>
      <c r="BT257" s="2"/>
      <c r="BU257" s="2"/>
      <c r="BV257" s="2"/>
      <c r="BW257" s="2"/>
      <c r="BX257" s="2"/>
      <c r="BY257" s="2"/>
      <c r="BZ257" s="1">
        <v>3049219.9110306962</v>
      </c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1">
        <v>631241.88257540099</v>
      </c>
      <c r="CU257" s="2"/>
      <c r="CV257" s="2"/>
      <c r="CW257" s="2"/>
      <c r="CX257" s="1">
        <v>2011870.3788469215</v>
      </c>
      <c r="CY257" s="2"/>
      <c r="CZ257" s="2"/>
      <c r="DA257" s="2"/>
      <c r="DB257" s="2"/>
      <c r="DC257" s="2"/>
      <c r="DD257" s="2"/>
      <c r="DE257" s="1">
        <v>1126336.3961898494</v>
      </c>
      <c r="DF257" s="2"/>
      <c r="DG257" s="2"/>
      <c r="DH257" s="2"/>
      <c r="DI257" s="2"/>
      <c r="DJ257" s="2"/>
      <c r="DK257" s="2"/>
      <c r="DL257" s="1">
        <v>1325994.8959057757</v>
      </c>
      <c r="DM257" s="2"/>
      <c r="DN257" s="2"/>
      <c r="DO257" s="2"/>
      <c r="DP257" s="2"/>
      <c r="DQ257" s="2"/>
      <c r="DR257" s="2"/>
      <c r="DS257" s="1">
        <v>1138707.4181214669</v>
      </c>
      <c r="DT257" s="2"/>
      <c r="DU257" s="2"/>
      <c r="DV257" s="2"/>
      <c r="DW257" s="2"/>
      <c r="DX257" s="2"/>
      <c r="DY257" s="2"/>
      <c r="DZ257" s="2"/>
      <c r="EA257" s="2"/>
      <c r="EB257" s="1">
        <v>133386.69777037177</v>
      </c>
      <c r="EC257" s="2"/>
      <c r="ED257" s="2"/>
      <c r="EE257" s="1">
        <v>167516.99259186993</v>
      </c>
      <c r="EF257" s="2"/>
      <c r="EG257" s="1">
        <v>600551.46420535538</v>
      </c>
      <c r="EH257" s="2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4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1">
        <v>3656959.0390959103</v>
      </c>
      <c r="LP257" s="1"/>
      <c r="LQ257" s="1"/>
      <c r="LR257" s="1"/>
      <c r="LS257" s="1"/>
      <c r="LT257" s="1"/>
      <c r="LU257" s="1">
        <v>2691423.7269767481</v>
      </c>
      <c r="LV257" s="1"/>
      <c r="LW257" s="1"/>
      <c r="LX257" s="1"/>
      <c r="LY257" s="1"/>
      <c r="LZ257" s="1"/>
      <c r="MA257" s="1"/>
      <c r="MB257" s="1"/>
      <c r="MC257" s="1"/>
      <c r="MD257" s="1"/>
      <c r="ME257" s="1"/>
    </row>
    <row r="258" spans="1:343">
      <c r="A258" s="1">
        <v>1621</v>
      </c>
      <c r="B258" s="1">
        <v>17110478.904427391</v>
      </c>
      <c r="C258" s="1">
        <v>4598542.8427111106</v>
      </c>
      <c r="D258" s="1"/>
      <c r="E258" s="1"/>
      <c r="F258" s="1"/>
      <c r="G258" s="1"/>
      <c r="H258" s="1"/>
      <c r="I258" s="1"/>
      <c r="J258" s="1"/>
      <c r="K258" s="1">
        <v>2274222.5135249062</v>
      </c>
      <c r="L258" s="1"/>
      <c r="M258" s="1"/>
      <c r="N258" s="1"/>
      <c r="O258" s="1"/>
      <c r="P258" s="1"/>
      <c r="Q258" s="1"/>
      <c r="R258" s="1"/>
      <c r="S258" s="1"/>
      <c r="T258" s="1"/>
      <c r="U258" s="1">
        <v>2373293.127288322</v>
      </c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>
        <v>5031331.6560068</v>
      </c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>
        <v>1693264.6154341309</v>
      </c>
      <c r="AU258" s="1"/>
      <c r="AV258" s="1"/>
      <c r="AW258" s="1"/>
      <c r="AX258" s="1"/>
      <c r="AY258" s="1"/>
      <c r="AZ258" s="1"/>
      <c r="BA258" s="1"/>
      <c r="BB258" s="1"/>
      <c r="BC258" s="1">
        <v>1139824.1494621215</v>
      </c>
      <c r="BD258" s="1"/>
      <c r="BE258" s="1"/>
      <c r="BF258" s="1"/>
      <c r="BG258" s="1"/>
      <c r="BH258" s="1"/>
      <c r="BI258" s="4">
        <v>12288926.494760998</v>
      </c>
      <c r="BJ258" s="2">
        <v>1145815.492183116</v>
      </c>
      <c r="BK258" s="2"/>
      <c r="BL258" s="2"/>
      <c r="BM258" s="2"/>
      <c r="BN258" s="2"/>
      <c r="BO258" s="2"/>
      <c r="BP258" s="2"/>
      <c r="BQ258" s="2">
        <v>908099.82631664525</v>
      </c>
      <c r="BR258" s="2"/>
      <c r="BS258" s="2"/>
      <c r="BT258" s="2"/>
      <c r="BU258" s="2"/>
      <c r="BV258" s="2"/>
      <c r="BW258" s="2"/>
      <c r="BX258" s="2"/>
      <c r="BY258" s="2"/>
      <c r="BZ258" s="1">
        <v>3070564.4504079106</v>
      </c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1">
        <v>633388.10497615742</v>
      </c>
      <c r="CU258" s="2"/>
      <c r="CV258" s="2"/>
      <c r="CW258" s="2"/>
      <c r="CX258" s="1">
        <v>2018710.7381350012</v>
      </c>
      <c r="CY258" s="2"/>
      <c r="CZ258" s="2"/>
      <c r="DA258" s="2"/>
      <c r="DB258" s="2"/>
      <c r="DC258" s="2"/>
      <c r="DD258" s="2"/>
      <c r="DE258" s="1">
        <v>1130165.9399368949</v>
      </c>
      <c r="DF258" s="2"/>
      <c r="DG258" s="2"/>
      <c r="DH258" s="2"/>
      <c r="DI258" s="2"/>
      <c r="DJ258" s="2"/>
      <c r="DK258" s="2"/>
      <c r="DL258" s="1">
        <v>1330503.2785518554</v>
      </c>
      <c r="DM258" s="2"/>
      <c r="DN258" s="2"/>
      <c r="DO258" s="2"/>
      <c r="DP258" s="2"/>
      <c r="DQ258" s="2"/>
      <c r="DR258" s="2"/>
      <c r="DS258" s="1">
        <v>1146678.3700483171</v>
      </c>
      <c r="DT258" s="2"/>
      <c r="DU258" s="2"/>
      <c r="DV258" s="2"/>
      <c r="DW258" s="2"/>
      <c r="DX258" s="2"/>
      <c r="DY258" s="2"/>
      <c r="DZ258" s="2"/>
      <c r="EA258" s="2"/>
      <c r="EB258" s="1">
        <v>134320.40465476437</v>
      </c>
      <c r="EC258" s="2"/>
      <c r="ED258" s="2"/>
      <c r="EE258" s="1">
        <v>168086.55036668229</v>
      </c>
      <c r="EF258" s="2"/>
      <c r="EG258" s="1">
        <v>602593.33918365359</v>
      </c>
      <c r="EH258" s="2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4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1">
        <v>3669392.6998288366</v>
      </c>
      <c r="LP258" s="1"/>
      <c r="LQ258" s="1"/>
      <c r="LR258" s="1"/>
      <c r="LS258" s="1"/>
      <c r="LT258" s="1"/>
      <c r="LU258" s="1">
        <v>2700574.567648469</v>
      </c>
      <c r="LV258" s="1"/>
      <c r="LW258" s="1"/>
      <c r="LX258" s="1"/>
      <c r="LY258" s="1"/>
      <c r="LZ258" s="1"/>
      <c r="MA258" s="1"/>
      <c r="MB258" s="1"/>
      <c r="MC258" s="1"/>
      <c r="MD258" s="1"/>
      <c r="ME258" s="1"/>
    </row>
    <row r="259" spans="1:343">
      <c r="A259" s="1">
        <v>1622</v>
      </c>
      <c r="B259" s="1">
        <v>17173766.799907342</v>
      </c>
      <c r="C259" s="1">
        <v>4614177.8883763291</v>
      </c>
      <c r="D259" s="1"/>
      <c r="E259" s="1"/>
      <c r="F259" s="1"/>
      <c r="G259" s="1"/>
      <c r="H259" s="1"/>
      <c r="I259" s="1"/>
      <c r="J259" s="1"/>
      <c r="K259" s="1">
        <v>2284456.5148357684</v>
      </c>
      <c r="L259" s="1"/>
      <c r="M259" s="1"/>
      <c r="N259" s="1"/>
      <c r="O259" s="1"/>
      <c r="P259" s="1"/>
      <c r="Q259" s="1"/>
      <c r="R259" s="1"/>
      <c r="S259" s="1"/>
      <c r="T259" s="1"/>
      <c r="U259" s="1">
        <v>2383972.9463611194</v>
      </c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>
        <v>5048438.1836372232</v>
      </c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>
        <v>1699021.7151266071</v>
      </c>
      <c r="AU259" s="1"/>
      <c r="AV259" s="1"/>
      <c r="AW259" s="1"/>
      <c r="AX259" s="1"/>
      <c r="AY259" s="1"/>
      <c r="AZ259" s="1"/>
      <c r="BA259" s="1"/>
      <c r="BB259" s="1"/>
      <c r="BC259" s="1">
        <v>1143699.5515702928</v>
      </c>
      <c r="BD259" s="1"/>
      <c r="BE259" s="1"/>
      <c r="BF259" s="1"/>
      <c r="BG259" s="1"/>
      <c r="BH259" s="1"/>
      <c r="BI259" s="4">
        <v>12348629.50302022</v>
      </c>
      <c r="BJ259" s="2">
        <v>1150513.3357010668</v>
      </c>
      <c r="BK259" s="2"/>
      <c r="BL259" s="2"/>
      <c r="BM259" s="2"/>
      <c r="BN259" s="2"/>
      <c r="BO259" s="2"/>
      <c r="BP259" s="2"/>
      <c r="BQ259" s="2">
        <v>912640.3254482284</v>
      </c>
      <c r="BR259" s="2"/>
      <c r="BS259" s="2"/>
      <c r="BT259" s="2"/>
      <c r="BU259" s="2"/>
      <c r="BV259" s="2"/>
      <c r="BW259" s="2"/>
      <c r="BX259" s="2"/>
      <c r="BY259" s="2"/>
      <c r="BZ259" s="1">
        <v>3092058.4015607657</v>
      </c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1">
        <v>635541.62453307642</v>
      </c>
      <c r="CU259" s="2"/>
      <c r="CV259" s="2"/>
      <c r="CW259" s="2"/>
      <c r="CX259" s="1">
        <v>2025574.3546446604</v>
      </c>
      <c r="CY259" s="2"/>
      <c r="CZ259" s="2"/>
      <c r="DA259" s="2"/>
      <c r="DB259" s="2"/>
      <c r="DC259" s="2"/>
      <c r="DD259" s="2"/>
      <c r="DE259" s="1">
        <v>1134008.5041326804</v>
      </c>
      <c r="DF259" s="2"/>
      <c r="DG259" s="2"/>
      <c r="DH259" s="2"/>
      <c r="DI259" s="2"/>
      <c r="DJ259" s="2"/>
      <c r="DK259" s="2"/>
      <c r="DL259" s="1">
        <v>1335026.9896989318</v>
      </c>
      <c r="DM259" s="2"/>
      <c r="DN259" s="2"/>
      <c r="DO259" s="2"/>
      <c r="DP259" s="2"/>
      <c r="DQ259" s="2"/>
      <c r="DR259" s="2"/>
      <c r="DS259" s="1">
        <v>1154705.1186386552</v>
      </c>
      <c r="DT259" s="2"/>
      <c r="DU259" s="2"/>
      <c r="DV259" s="2"/>
      <c r="DW259" s="2"/>
      <c r="DX259" s="2"/>
      <c r="DY259" s="2"/>
      <c r="DZ259" s="2"/>
      <c r="EA259" s="2"/>
      <c r="EB259" s="1">
        <v>135260.64748734771</v>
      </c>
      <c r="EC259" s="2"/>
      <c r="ED259" s="2"/>
      <c r="EE259" s="1">
        <v>168658.04463792904</v>
      </c>
      <c r="EF259" s="2"/>
      <c r="EG259" s="1">
        <v>604642.15653687809</v>
      </c>
      <c r="EH259" s="2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4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1">
        <v>3681868.635008255</v>
      </c>
      <c r="LP259" s="1"/>
      <c r="LQ259" s="1"/>
      <c r="LR259" s="1"/>
      <c r="LS259" s="1"/>
      <c r="LT259" s="1"/>
      <c r="LU259" s="1">
        <v>2709756.5211784742</v>
      </c>
      <c r="LV259" s="1"/>
      <c r="LW259" s="1"/>
      <c r="LX259" s="1"/>
      <c r="LY259" s="1"/>
      <c r="LZ259" s="1"/>
      <c r="MA259" s="1"/>
      <c r="MB259" s="1"/>
      <c r="MC259" s="1"/>
      <c r="MD259" s="1"/>
      <c r="ME259" s="1"/>
    </row>
    <row r="260" spans="1:343">
      <c r="A260" s="1">
        <v>1623</v>
      </c>
      <c r="B260" s="1">
        <v>17237292.87943434</v>
      </c>
      <c r="C260" s="1">
        <v>4629866.0931968093</v>
      </c>
      <c r="D260" s="1"/>
      <c r="E260" s="1"/>
      <c r="F260" s="1"/>
      <c r="G260" s="1"/>
      <c r="H260" s="1"/>
      <c r="I260" s="1"/>
      <c r="J260" s="1"/>
      <c r="K260" s="1">
        <v>2294736.5691525294</v>
      </c>
      <c r="L260" s="1"/>
      <c r="M260" s="1"/>
      <c r="N260" s="1"/>
      <c r="O260" s="1"/>
      <c r="P260" s="1"/>
      <c r="Q260" s="1"/>
      <c r="R260" s="1"/>
      <c r="S260" s="1"/>
      <c r="T260" s="1"/>
      <c r="U260" s="1">
        <v>2394700.8246197444</v>
      </c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>
        <v>5065602.8734615901</v>
      </c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>
        <v>1704798.3889580376</v>
      </c>
      <c r="AU260" s="1"/>
      <c r="AV260" s="1"/>
      <c r="AW260" s="1"/>
      <c r="AX260" s="1"/>
      <c r="AY260" s="1"/>
      <c r="AZ260" s="1"/>
      <c r="BA260" s="1"/>
      <c r="BB260" s="1"/>
      <c r="BC260" s="1">
        <v>1147588.1300456319</v>
      </c>
      <c r="BD260" s="1"/>
      <c r="BE260" s="1"/>
      <c r="BF260" s="1"/>
      <c r="BG260" s="1"/>
      <c r="BH260" s="1"/>
      <c r="BI260" s="4">
        <v>12408655.71418987</v>
      </c>
      <c r="BJ260" s="2">
        <v>1155230.4403774412</v>
      </c>
      <c r="BK260" s="2"/>
      <c r="BL260" s="2"/>
      <c r="BM260" s="2"/>
      <c r="BN260" s="2"/>
      <c r="BO260" s="2"/>
      <c r="BP260" s="2"/>
      <c r="BQ260" s="2">
        <v>917203.52707546949</v>
      </c>
      <c r="BR260" s="2"/>
      <c r="BS260" s="2"/>
      <c r="BT260" s="2"/>
      <c r="BU260" s="2"/>
      <c r="BV260" s="2"/>
      <c r="BW260" s="2"/>
      <c r="BX260" s="2"/>
      <c r="BY260" s="2"/>
      <c r="BZ260" s="1">
        <v>3113702.8103716909</v>
      </c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1">
        <v>637702.46605648892</v>
      </c>
      <c r="CU260" s="2"/>
      <c r="CV260" s="2"/>
      <c r="CW260" s="2"/>
      <c r="CX260" s="1">
        <v>2032461.3074504524</v>
      </c>
      <c r="CY260" s="2"/>
      <c r="CZ260" s="2"/>
      <c r="DA260" s="2"/>
      <c r="DB260" s="2"/>
      <c r="DC260" s="2"/>
      <c r="DD260" s="2"/>
      <c r="DE260" s="1">
        <v>1137864.1330467316</v>
      </c>
      <c r="DF260" s="2"/>
      <c r="DG260" s="2"/>
      <c r="DH260" s="2"/>
      <c r="DI260" s="2"/>
      <c r="DJ260" s="2"/>
      <c r="DK260" s="2"/>
      <c r="DL260" s="1">
        <v>1339566.0814639083</v>
      </c>
      <c r="DM260" s="2"/>
      <c r="DN260" s="2"/>
      <c r="DO260" s="2"/>
      <c r="DP260" s="2"/>
      <c r="DQ260" s="2"/>
      <c r="DR260" s="2"/>
      <c r="DS260" s="1">
        <v>1162788.0544691256</v>
      </c>
      <c r="DT260" s="2"/>
      <c r="DU260" s="2"/>
      <c r="DV260" s="2"/>
      <c r="DW260" s="2"/>
      <c r="DX260" s="2"/>
      <c r="DY260" s="2"/>
      <c r="DZ260" s="2"/>
      <c r="EA260" s="2"/>
      <c r="EB260" s="1">
        <v>136207.47201975912</v>
      </c>
      <c r="EC260" s="2"/>
      <c r="ED260" s="2"/>
      <c r="EE260" s="1">
        <v>169231.48198969802</v>
      </c>
      <c r="EF260" s="2"/>
      <c r="EG260" s="1">
        <v>606697.93986910349</v>
      </c>
      <c r="EH260" s="2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4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1">
        <v>3694386.9883672833</v>
      </c>
      <c r="LP260" s="1"/>
      <c r="LQ260" s="1"/>
      <c r="LR260" s="1"/>
      <c r="LS260" s="1"/>
      <c r="LT260" s="1"/>
      <c r="LU260" s="1">
        <v>2718969.6933504813</v>
      </c>
      <c r="LV260" s="1"/>
      <c r="LW260" s="1"/>
      <c r="LX260" s="1"/>
      <c r="LY260" s="1"/>
      <c r="LZ260" s="1"/>
      <c r="MA260" s="1"/>
      <c r="MB260" s="1"/>
      <c r="MC260" s="1"/>
      <c r="MD260" s="1"/>
      <c r="ME260" s="1"/>
    </row>
    <row r="261" spans="1:343">
      <c r="A261" s="1">
        <v>1624</v>
      </c>
      <c r="B261" s="1">
        <v>17301058.05635757</v>
      </c>
      <c r="C261" s="1">
        <v>4645607.6379136788</v>
      </c>
      <c r="D261" s="1"/>
      <c r="E261" s="1"/>
      <c r="F261" s="1"/>
      <c r="G261" s="1"/>
      <c r="H261" s="1"/>
      <c r="I261" s="1"/>
      <c r="J261" s="1"/>
      <c r="K261" s="1">
        <v>2305062.8837137157</v>
      </c>
      <c r="L261" s="1"/>
      <c r="M261" s="1"/>
      <c r="N261" s="1"/>
      <c r="O261" s="1"/>
      <c r="P261" s="1"/>
      <c r="Q261" s="1"/>
      <c r="R261" s="1"/>
      <c r="S261" s="1"/>
      <c r="T261" s="1"/>
      <c r="U261" s="1">
        <v>2405476.978330533</v>
      </c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>
        <v>5082825.9232313596</v>
      </c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>
        <v>1710594.7034804951</v>
      </c>
      <c r="AU261" s="1"/>
      <c r="AV261" s="1"/>
      <c r="AW261" s="1"/>
      <c r="AX261" s="1"/>
      <c r="AY261" s="1"/>
      <c r="AZ261" s="1"/>
      <c r="BA261" s="1"/>
      <c r="BB261" s="1"/>
      <c r="BC261" s="1">
        <v>1151489.9296877871</v>
      </c>
      <c r="BD261" s="1"/>
      <c r="BE261" s="1"/>
      <c r="BF261" s="1"/>
      <c r="BG261" s="1"/>
      <c r="BH261" s="1"/>
      <c r="BI261" s="4">
        <v>12469007.044582397</v>
      </c>
      <c r="BJ261" s="2">
        <v>1159966.8851829888</v>
      </c>
      <c r="BK261" s="2"/>
      <c r="BL261" s="2"/>
      <c r="BM261" s="2"/>
      <c r="BN261" s="2"/>
      <c r="BO261" s="2"/>
      <c r="BP261" s="2"/>
      <c r="BQ261" s="2">
        <v>921789.54471084673</v>
      </c>
      <c r="BR261" s="2"/>
      <c r="BS261" s="2"/>
      <c r="BT261" s="2"/>
      <c r="BU261" s="2"/>
      <c r="BV261" s="2"/>
      <c r="BW261" s="2"/>
      <c r="BX261" s="2"/>
      <c r="BY261" s="2"/>
      <c r="BZ261" s="1">
        <v>3135498.7300442923</v>
      </c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1">
        <v>639870.65444108099</v>
      </c>
      <c r="CU261" s="2"/>
      <c r="CV261" s="2"/>
      <c r="CW261" s="2"/>
      <c r="CX261" s="1">
        <v>2039371.6758957841</v>
      </c>
      <c r="CY261" s="2"/>
      <c r="CZ261" s="2"/>
      <c r="DA261" s="2"/>
      <c r="DB261" s="2"/>
      <c r="DC261" s="2"/>
      <c r="DD261" s="2"/>
      <c r="DE261" s="1">
        <v>1141732.8710990904</v>
      </c>
      <c r="DF261" s="2"/>
      <c r="DG261" s="2"/>
      <c r="DH261" s="2"/>
      <c r="DI261" s="2"/>
      <c r="DJ261" s="2"/>
      <c r="DK261" s="2"/>
      <c r="DL261" s="1">
        <v>1344120.6061408857</v>
      </c>
      <c r="DM261" s="2"/>
      <c r="DN261" s="2"/>
      <c r="DO261" s="2"/>
      <c r="DP261" s="2"/>
      <c r="DQ261" s="2"/>
      <c r="DR261" s="2"/>
      <c r="DS261" s="1">
        <v>1170927.5708504093</v>
      </c>
      <c r="DT261" s="2"/>
      <c r="DU261" s="2"/>
      <c r="DV261" s="2"/>
      <c r="DW261" s="2"/>
      <c r="DX261" s="2"/>
      <c r="DY261" s="2"/>
      <c r="DZ261" s="2"/>
      <c r="EA261" s="2"/>
      <c r="EB261" s="1">
        <v>137160.92432389743</v>
      </c>
      <c r="EC261" s="2"/>
      <c r="ED261" s="2"/>
      <c r="EE261" s="1">
        <v>169806.869028463</v>
      </c>
      <c r="EF261" s="2"/>
      <c r="EG261" s="1">
        <v>608760.71286465845</v>
      </c>
      <c r="EH261" s="2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4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1">
        <v>3706947.9041277324</v>
      </c>
      <c r="LP261" s="1"/>
      <c r="LQ261" s="1"/>
      <c r="LR261" s="1"/>
      <c r="LS261" s="1"/>
      <c r="LT261" s="1"/>
      <c r="LU261" s="1">
        <v>2728214.1903078733</v>
      </c>
      <c r="LV261" s="1"/>
      <c r="LW261" s="1"/>
      <c r="LX261" s="1"/>
      <c r="LY261" s="1"/>
      <c r="LZ261" s="1"/>
      <c r="MA261" s="1"/>
      <c r="MB261" s="1"/>
      <c r="MC261" s="1"/>
      <c r="MD261" s="1"/>
      <c r="ME261" s="1"/>
    </row>
    <row r="262" spans="1:343">
      <c r="A262" s="1">
        <v>1625</v>
      </c>
      <c r="B262" s="1">
        <v>17365063.247597434</v>
      </c>
      <c r="C262" s="1">
        <v>4661402.7038825853</v>
      </c>
      <c r="D262" s="1"/>
      <c r="E262" s="1"/>
      <c r="F262" s="1"/>
      <c r="G262" s="1"/>
      <c r="H262" s="1"/>
      <c r="I262" s="1"/>
      <c r="J262" s="1"/>
      <c r="K262" s="1">
        <v>2315435.6666904273</v>
      </c>
      <c r="L262" s="1"/>
      <c r="M262" s="1"/>
      <c r="N262" s="1"/>
      <c r="O262" s="1"/>
      <c r="P262" s="1"/>
      <c r="Q262" s="1"/>
      <c r="R262" s="1"/>
      <c r="S262" s="1"/>
      <c r="T262" s="1"/>
      <c r="U262" s="1">
        <v>2416301.6247330201</v>
      </c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>
        <v>5100107.5313703464</v>
      </c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>
        <v>1716410.725472329</v>
      </c>
      <c r="AU262" s="1"/>
      <c r="AV262" s="1"/>
      <c r="AW262" s="1"/>
      <c r="AX262" s="1"/>
      <c r="AY262" s="1"/>
      <c r="AZ262" s="1"/>
      <c r="BA262" s="1"/>
      <c r="BB262" s="1"/>
      <c r="BC262" s="1">
        <v>1155404.9954487255</v>
      </c>
      <c r="BD262" s="1"/>
      <c r="BE262" s="1"/>
      <c r="BF262" s="1"/>
      <c r="BG262" s="1"/>
      <c r="BH262" s="1"/>
      <c r="BI262" s="4">
        <v>12529685.422635932</v>
      </c>
      <c r="BJ262" s="2">
        <v>1164722.7494122391</v>
      </c>
      <c r="BK262" s="2"/>
      <c r="BL262" s="2"/>
      <c r="BM262" s="2"/>
      <c r="BN262" s="2"/>
      <c r="BO262" s="2"/>
      <c r="BP262" s="2"/>
      <c r="BQ262" s="2">
        <v>926398.49243440083</v>
      </c>
      <c r="BR262" s="2"/>
      <c r="BS262" s="2"/>
      <c r="BT262" s="2"/>
      <c r="BU262" s="2"/>
      <c r="BV262" s="2"/>
      <c r="BW262" s="2"/>
      <c r="BX262" s="2"/>
      <c r="BY262" s="2"/>
      <c r="BZ262" s="1">
        <v>3157447.2211546018</v>
      </c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1">
        <v>642046.21466618066</v>
      </c>
      <c r="CU262" s="2"/>
      <c r="CV262" s="2"/>
      <c r="CW262" s="2"/>
      <c r="CX262" s="1">
        <v>2046305.5395938298</v>
      </c>
      <c r="CY262" s="2"/>
      <c r="CZ262" s="2"/>
      <c r="DA262" s="2"/>
      <c r="DB262" s="2"/>
      <c r="DC262" s="2"/>
      <c r="DD262" s="2"/>
      <c r="DE262" s="1">
        <v>1145614.7628608274</v>
      </c>
      <c r="DF262" s="2"/>
      <c r="DG262" s="2"/>
      <c r="DH262" s="2"/>
      <c r="DI262" s="2"/>
      <c r="DJ262" s="2"/>
      <c r="DK262" s="2"/>
      <c r="DL262" s="1">
        <v>1348690.6162017649</v>
      </c>
      <c r="DM262" s="2"/>
      <c r="DN262" s="2"/>
      <c r="DO262" s="2"/>
      <c r="DP262" s="2"/>
      <c r="DQ262" s="2"/>
      <c r="DR262" s="2"/>
      <c r="DS262" s="1">
        <v>1179124.0638463621</v>
      </c>
      <c r="DT262" s="2"/>
      <c r="DU262" s="2"/>
      <c r="DV262" s="2"/>
      <c r="DW262" s="2"/>
      <c r="DX262" s="2"/>
      <c r="DY262" s="2"/>
      <c r="DZ262" s="2"/>
      <c r="EA262" s="2"/>
      <c r="EB262" s="1">
        <v>138121.05079416471</v>
      </c>
      <c r="EC262" s="2"/>
      <c r="ED262" s="2"/>
      <c r="EE262" s="1">
        <v>170384.21238315979</v>
      </c>
      <c r="EF262" s="2"/>
      <c r="EG262" s="1">
        <v>610830.49928839831</v>
      </c>
      <c r="EH262" s="2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4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1">
        <v>3719551.527001767</v>
      </c>
      <c r="LP262" s="1"/>
      <c r="LQ262" s="1"/>
      <c r="LR262" s="1"/>
      <c r="LS262" s="1"/>
      <c r="LT262" s="1"/>
      <c r="LU262" s="1">
        <v>2737490.1185549204</v>
      </c>
      <c r="LV262" s="1"/>
      <c r="LW262" s="1"/>
      <c r="LX262" s="1"/>
      <c r="LY262" s="1"/>
      <c r="LZ262" s="1"/>
      <c r="MA262" s="1"/>
      <c r="MB262" s="1"/>
      <c r="MC262" s="1"/>
      <c r="MD262" s="1"/>
      <c r="ME262" s="1"/>
    </row>
    <row r="263" spans="1:343">
      <c r="A263" s="1">
        <v>1626</v>
      </c>
      <c r="B263" s="1">
        <v>17429309.373659831</v>
      </c>
      <c r="C263" s="1">
        <v>4677251.4730757866</v>
      </c>
      <c r="D263" s="1"/>
      <c r="E263" s="1"/>
      <c r="F263" s="1"/>
      <c r="G263" s="1"/>
      <c r="H263" s="1"/>
      <c r="I263" s="1"/>
      <c r="J263" s="1"/>
      <c r="K263" s="1">
        <v>2325855.127190534</v>
      </c>
      <c r="L263" s="1"/>
      <c r="M263" s="1"/>
      <c r="N263" s="1"/>
      <c r="O263" s="1"/>
      <c r="P263" s="1"/>
      <c r="Q263" s="1"/>
      <c r="R263" s="1"/>
      <c r="S263" s="1"/>
      <c r="T263" s="1"/>
      <c r="U263" s="1">
        <v>2427174.9820443187</v>
      </c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>
        <v>5117447.8969770055</v>
      </c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>
        <v>1722246.5219389349</v>
      </c>
      <c r="AU263" s="1"/>
      <c r="AV263" s="1"/>
      <c r="AW263" s="1"/>
      <c r="AX263" s="1"/>
      <c r="AY263" s="1"/>
      <c r="AZ263" s="1"/>
      <c r="BA263" s="1"/>
      <c r="BB263" s="1"/>
      <c r="BC263" s="1">
        <v>1159333.3724332512</v>
      </c>
      <c r="BD263" s="1"/>
      <c r="BE263" s="1"/>
      <c r="BF263" s="1"/>
      <c r="BG263" s="1"/>
      <c r="BH263" s="1"/>
      <c r="BI263" s="4">
        <v>12590692.788994238</v>
      </c>
      <c r="BJ263" s="2">
        <v>1169498.1126848292</v>
      </c>
      <c r="BK263" s="2"/>
      <c r="BL263" s="2"/>
      <c r="BM263" s="2"/>
      <c r="BN263" s="2"/>
      <c r="BO263" s="2"/>
      <c r="BP263" s="2"/>
      <c r="BQ263" s="2">
        <v>931030.48489657277</v>
      </c>
      <c r="BR263" s="2"/>
      <c r="BS263" s="2"/>
      <c r="BT263" s="2"/>
      <c r="BU263" s="2"/>
      <c r="BV263" s="2"/>
      <c r="BW263" s="2"/>
      <c r="BX263" s="2"/>
      <c r="BY263" s="2"/>
      <c r="BZ263" s="1">
        <v>3179549.3517026836</v>
      </c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1">
        <v>644229.17179604573</v>
      </c>
      <c r="CU263" s="2"/>
      <c r="CV263" s="2"/>
      <c r="CW263" s="2"/>
      <c r="CX263" s="1">
        <v>2053262.978428449</v>
      </c>
      <c r="CY263" s="2"/>
      <c r="CZ263" s="2"/>
      <c r="DA263" s="2"/>
      <c r="DB263" s="2"/>
      <c r="DC263" s="2"/>
      <c r="DD263" s="2"/>
      <c r="DE263" s="1">
        <v>1149509.8530545542</v>
      </c>
      <c r="DF263" s="2"/>
      <c r="DG263" s="2"/>
      <c r="DH263" s="2"/>
      <c r="DI263" s="2"/>
      <c r="DJ263" s="2"/>
      <c r="DK263" s="2"/>
      <c r="DL263" s="1">
        <v>1353276.164296851</v>
      </c>
      <c r="DM263" s="2"/>
      <c r="DN263" s="2"/>
      <c r="DO263" s="2"/>
      <c r="DP263" s="2"/>
      <c r="DQ263" s="2"/>
      <c r="DR263" s="2"/>
      <c r="DS263" s="1">
        <v>1187377.9322932865</v>
      </c>
      <c r="DT263" s="2"/>
      <c r="DU263" s="2"/>
      <c r="DV263" s="2"/>
      <c r="DW263" s="2"/>
      <c r="DX263" s="2"/>
      <c r="DY263" s="2"/>
      <c r="DZ263" s="2"/>
      <c r="EA263" s="2"/>
      <c r="EB263" s="1">
        <v>139087.89814972386</v>
      </c>
      <c r="EC263" s="2"/>
      <c r="ED263" s="2"/>
      <c r="EE263" s="1">
        <v>170963.51870526254</v>
      </c>
      <c r="EF263" s="2"/>
      <c r="EG263" s="1">
        <v>612907.32298597891</v>
      </c>
      <c r="EH263" s="2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4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1">
        <v>3732198.0021935734</v>
      </c>
      <c r="LP263" s="1"/>
      <c r="LQ263" s="1"/>
      <c r="LR263" s="1"/>
      <c r="LS263" s="1"/>
      <c r="LT263" s="1"/>
      <c r="LU263" s="1">
        <v>2746797.5849580076</v>
      </c>
      <c r="LV263" s="1"/>
      <c r="LW263" s="1"/>
      <c r="LX263" s="1"/>
      <c r="LY263" s="1"/>
      <c r="LZ263" s="1"/>
      <c r="MA263" s="1"/>
      <c r="MB263" s="1"/>
      <c r="MC263" s="1"/>
      <c r="MD263" s="1"/>
      <c r="ME263" s="1"/>
    </row>
    <row r="264" spans="1:343">
      <c r="A264" s="1">
        <v>1627</v>
      </c>
      <c r="B264" s="1">
        <v>17493797.358650435</v>
      </c>
      <c r="C264" s="1">
        <v>4693154.1280842442</v>
      </c>
      <c r="D264" s="1"/>
      <c r="E264" s="1"/>
      <c r="F264" s="1"/>
      <c r="G264" s="1"/>
      <c r="H264" s="1"/>
      <c r="I264" s="1"/>
      <c r="J264" s="1"/>
      <c r="K264" s="1">
        <v>2336321.4752628915</v>
      </c>
      <c r="L264" s="1"/>
      <c r="M264" s="1"/>
      <c r="N264" s="1"/>
      <c r="O264" s="1"/>
      <c r="P264" s="1"/>
      <c r="Q264" s="1"/>
      <c r="R264" s="1"/>
      <c r="S264" s="1"/>
      <c r="T264" s="1"/>
      <c r="U264" s="1">
        <v>2438097.2694635182</v>
      </c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>
        <v>5134847.2198267281</v>
      </c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>
        <v>1728102.1601135274</v>
      </c>
      <c r="AU264" s="1"/>
      <c r="AV264" s="1"/>
      <c r="AW264" s="1"/>
      <c r="AX264" s="1"/>
      <c r="AY264" s="1"/>
      <c r="AZ264" s="1"/>
      <c r="BA264" s="1"/>
      <c r="BB264" s="1"/>
      <c r="BC264" s="1">
        <v>1163275.1058995244</v>
      </c>
      <c r="BD264" s="1"/>
      <c r="BE264" s="1"/>
      <c r="BF264" s="1"/>
      <c r="BG264" s="1"/>
      <c r="BH264" s="1"/>
      <c r="BI264" s="4">
        <v>12652031.096587257</v>
      </c>
      <c r="BJ264" s="2">
        <v>1174293.054946837</v>
      </c>
      <c r="BK264" s="2"/>
      <c r="BL264" s="2"/>
      <c r="BM264" s="2"/>
      <c r="BN264" s="2"/>
      <c r="BO264" s="2"/>
      <c r="BP264" s="2"/>
      <c r="BQ264" s="2">
        <v>935685.63732105552</v>
      </c>
      <c r="BR264" s="2"/>
      <c r="BS264" s="2"/>
      <c r="BT264" s="2"/>
      <c r="BU264" s="2"/>
      <c r="BV264" s="2"/>
      <c r="BW264" s="2"/>
      <c r="BX264" s="2"/>
      <c r="BY264" s="2"/>
      <c r="BZ264" s="1">
        <v>3201806.1971646021</v>
      </c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1">
        <v>646419.55098015233</v>
      </c>
      <c r="CU264" s="2"/>
      <c r="CV264" s="2"/>
      <c r="CW264" s="2"/>
      <c r="CX264" s="1">
        <v>2060244.0725551059</v>
      </c>
      <c r="CY264" s="2"/>
      <c r="CZ264" s="2"/>
      <c r="DA264" s="2"/>
      <c r="DB264" s="2"/>
      <c r="DC264" s="2"/>
      <c r="DD264" s="2"/>
      <c r="DE264" s="1">
        <v>1153418.1865549397</v>
      </c>
      <c r="DF264" s="2"/>
      <c r="DG264" s="2"/>
      <c r="DH264" s="2"/>
      <c r="DI264" s="2"/>
      <c r="DJ264" s="2"/>
      <c r="DK264" s="2"/>
      <c r="DL264" s="1">
        <v>1357877.3032554605</v>
      </c>
      <c r="DM264" s="2"/>
      <c r="DN264" s="2"/>
      <c r="DO264" s="2"/>
      <c r="DP264" s="2"/>
      <c r="DQ264" s="2"/>
      <c r="DR264" s="2"/>
      <c r="DS264" s="1">
        <v>1195689.5778193395</v>
      </c>
      <c r="DT264" s="2"/>
      <c r="DU264" s="2"/>
      <c r="DV264" s="2"/>
      <c r="DW264" s="2"/>
      <c r="DX264" s="2"/>
      <c r="DY264" s="2"/>
      <c r="DZ264" s="2"/>
      <c r="EA264" s="2"/>
      <c r="EB264" s="1">
        <v>140061.5134367719</v>
      </c>
      <c r="EC264" s="2"/>
      <c r="ED264" s="2"/>
      <c r="EE264" s="1">
        <v>171544.79466886044</v>
      </c>
      <c r="EF264" s="2"/>
      <c r="EG264" s="1">
        <v>614991.20788413123</v>
      </c>
      <c r="EH264" s="2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4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1">
        <v>3744887.4754010318</v>
      </c>
      <c r="LP264" s="1"/>
      <c r="LQ264" s="1"/>
      <c r="LR264" s="1"/>
      <c r="LS264" s="1"/>
      <c r="LT264" s="1"/>
      <c r="LU264" s="1">
        <v>2756136.6967468648</v>
      </c>
      <c r="LV264" s="1"/>
      <c r="LW264" s="1"/>
      <c r="LX264" s="1"/>
      <c r="LY264" s="1"/>
      <c r="LZ264" s="1"/>
      <c r="MA264" s="1"/>
      <c r="MB264" s="1"/>
      <c r="MC264" s="1"/>
      <c r="MD264" s="1"/>
      <c r="ME264" s="1"/>
    </row>
    <row r="265" spans="1:343">
      <c r="A265" s="1">
        <v>1628</v>
      </c>
      <c r="B265" s="1">
        <v>17558528.130289044</v>
      </c>
      <c r="C265" s="1">
        <v>4709110.8521197308</v>
      </c>
      <c r="D265" s="1"/>
      <c r="E265" s="1"/>
      <c r="F265" s="1"/>
      <c r="G265" s="1"/>
      <c r="H265" s="1"/>
      <c r="I265" s="1"/>
      <c r="J265" s="1"/>
      <c r="K265" s="1">
        <v>2346834.9219015744</v>
      </c>
      <c r="L265" s="1"/>
      <c r="M265" s="1"/>
      <c r="N265" s="1"/>
      <c r="O265" s="1"/>
      <c r="P265" s="1"/>
      <c r="Q265" s="1"/>
      <c r="R265" s="1"/>
      <c r="S265" s="1"/>
      <c r="T265" s="1"/>
      <c r="U265" s="1">
        <v>2449068.7071761037</v>
      </c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>
        <v>5152305.7003741395</v>
      </c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>
        <v>1733977.7074579136</v>
      </c>
      <c r="AU265" s="1"/>
      <c r="AV265" s="1"/>
      <c r="AW265" s="1"/>
      <c r="AX265" s="1"/>
      <c r="AY265" s="1"/>
      <c r="AZ265" s="1"/>
      <c r="BA265" s="1"/>
      <c r="BB265" s="1"/>
      <c r="BC265" s="1">
        <v>1167230.2412595828</v>
      </c>
      <c r="BD265" s="1"/>
      <c r="BE265" s="1"/>
      <c r="BF265" s="1"/>
      <c r="BG265" s="1"/>
      <c r="BH265" s="1"/>
      <c r="BI265" s="4">
        <v>12713702.310712142</v>
      </c>
      <c r="BJ265" s="2">
        <v>1179107.656472119</v>
      </c>
      <c r="BK265" s="2"/>
      <c r="BL265" s="2"/>
      <c r="BM265" s="2"/>
      <c r="BN265" s="2"/>
      <c r="BO265" s="2"/>
      <c r="BP265" s="2"/>
      <c r="BQ265" s="2">
        <v>940364.06550766074</v>
      </c>
      <c r="BR265" s="2"/>
      <c r="BS265" s="2"/>
      <c r="BT265" s="2"/>
      <c r="BU265" s="2"/>
      <c r="BV265" s="2"/>
      <c r="BW265" s="2"/>
      <c r="BX265" s="2"/>
      <c r="BY265" s="2"/>
      <c r="BZ265" s="1">
        <v>3224218.8405447542</v>
      </c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1">
        <v>648617.37745348492</v>
      </c>
      <c r="CU265" s="2"/>
      <c r="CV265" s="2"/>
      <c r="CW265" s="2"/>
      <c r="CX265" s="1">
        <v>2067248.9024017935</v>
      </c>
      <c r="CY265" s="2"/>
      <c r="CZ265" s="2"/>
      <c r="DA265" s="2"/>
      <c r="DB265" s="2"/>
      <c r="DC265" s="2"/>
      <c r="DD265" s="2"/>
      <c r="DE265" s="1">
        <v>1157339.8083892267</v>
      </c>
      <c r="DF265" s="2"/>
      <c r="DG265" s="2"/>
      <c r="DH265" s="2"/>
      <c r="DI265" s="2"/>
      <c r="DJ265" s="2"/>
      <c r="DK265" s="2"/>
      <c r="DL265" s="1">
        <v>1362494.0860865291</v>
      </c>
      <c r="DM265" s="2"/>
      <c r="DN265" s="2"/>
      <c r="DO265" s="2"/>
      <c r="DP265" s="2"/>
      <c r="DQ265" s="2"/>
      <c r="DR265" s="2"/>
      <c r="DS265" s="1">
        <v>1204059.4048640747</v>
      </c>
      <c r="DT265" s="2"/>
      <c r="DU265" s="2"/>
      <c r="DV265" s="2"/>
      <c r="DW265" s="2"/>
      <c r="DX265" s="2"/>
      <c r="DY265" s="2"/>
      <c r="DZ265" s="2"/>
      <c r="EA265" s="2"/>
      <c r="EB265" s="1">
        <v>141041.9440308293</v>
      </c>
      <c r="EC265" s="2"/>
      <c r="ED265" s="2"/>
      <c r="EE265" s="1">
        <v>172128.04697073458</v>
      </c>
      <c r="EF265" s="2"/>
      <c r="EG265" s="1">
        <v>617082.17799093737</v>
      </c>
      <c r="EH265" s="2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4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1">
        <v>3757620.0928173955</v>
      </c>
      <c r="LP265" s="1"/>
      <c r="LQ265" s="1"/>
      <c r="LR265" s="1"/>
      <c r="LS265" s="1"/>
      <c r="LT265" s="1"/>
      <c r="LU265" s="1">
        <v>2765507.5615158044</v>
      </c>
      <c r="LV265" s="1"/>
      <c r="LW265" s="1"/>
      <c r="LX265" s="1"/>
      <c r="LY265" s="1"/>
      <c r="LZ265" s="1"/>
      <c r="MA265" s="1"/>
      <c r="MB265" s="1"/>
      <c r="MC265" s="1"/>
      <c r="MD265" s="1"/>
      <c r="ME265" s="1"/>
    </row>
    <row r="266" spans="1:343">
      <c r="A266" s="1">
        <v>1629</v>
      </c>
      <c r="B266" s="1">
        <v>17623502.619924013</v>
      </c>
      <c r="C266" s="1">
        <v>4725121.8290169379</v>
      </c>
      <c r="D266" s="1"/>
      <c r="E266" s="1"/>
      <c r="F266" s="1"/>
      <c r="G266" s="1"/>
      <c r="H266" s="1"/>
      <c r="I266" s="1"/>
      <c r="J266" s="1"/>
      <c r="K266" s="1">
        <v>2357395.6790501312</v>
      </c>
      <c r="L266" s="1"/>
      <c r="M266" s="1"/>
      <c r="N266" s="1"/>
      <c r="O266" s="1"/>
      <c r="P266" s="1"/>
      <c r="Q266" s="1"/>
      <c r="R266" s="1"/>
      <c r="S266" s="1"/>
      <c r="T266" s="1"/>
      <c r="U266" s="1">
        <v>2460089.516358396</v>
      </c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>
        <v>5169823.5397554114</v>
      </c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>
        <v>1739873.2316632706</v>
      </c>
      <c r="AU266" s="1"/>
      <c r="AV266" s="1"/>
      <c r="AW266" s="1"/>
      <c r="AX266" s="1"/>
      <c r="AY266" s="1"/>
      <c r="AZ266" s="1"/>
      <c r="BA266" s="1"/>
      <c r="BB266" s="1"/>
      <c r="BC266" s="1">
        <v>1171198.8240798654</v>
      </c>
      <c r="BD266" s="1"/>
      <c r="BE266" s="1"/>
      <c r="BF266" s="1"/>
      <c r="BG266" s="1"/>
      <c r="BH266" s="1"/>
      <c r="BI266" s="4">
        <v>12775708.40911489</v>
      </c>
      <c r="BJ266" s="2">
        <v>1183941.9978636547</v>
      </c>
      <c r="BK266" s="2"/>
      <c r="BL266" s="2"/>
      <c r="BM266" s="2"/>
      <c r="BN266" s="2"/>
      <c r="BO266" s="2"/>
      <c r="BP266" s="2"/>
      <c r="BQ266" s="2">
        <v>945065.88583519892</v>
      </c>
      <c r="BR266" s="2"/>
      <c r="BS266" s="2"/>
      <c r="BT266" s="2"/>
      <c r="BU266" s="2"/>
      <c r="BV266" s="2"/>
      <c r="BW266" s="2"/>
      <c r="BX266" s="2"/>
      <c r="BY266" s="2"/>
      <c r="BZ266" s="1">
        <v>3246788.3724285671</v>
      </c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1">
        <v>650822.67653682677</v>
      </c>
      <c r="CU266" s="2"/>
      <c r="CV266" s="2"/>
      <c r="CW266" s="2"/>
      <c r="CX266" s="1">
        <v>2074277.5486699597</v>
      </c>
      <c r="CY266" s="2"/>
      <c r="CZ266" s="2"/>
      <c r="DA266" s="2"/>
      <c r="DB266" s="2"/>
      <c r="DC266" s="2"/>
      <c r="DD266" s="2"/>
      <c r="DE266" s="1">
        <v>1161274.7637377502</v>
      </c>
      <c r="DF266" s="2"/>
      <c r="DG266" s="2"/>
      <c r="DH266" s="2"/>
      <c r="DI266" s="2"/>
      <c r="DJ266" s="2"/>
      <c r="DK266" s="2"/>
      <c r="DL266" s="1">
        <v>1367126.5659792235</v>
      </c>
      <c r="DM266" s="2"/>
      <c r="DN266" s="2"/>
      <c r="DO266" s="2"/>
      <c r="DP266" s="2"/>
      <c r="DQ266" s="2"/>
      <c r="DR266" s="2"/>
      <c r="DS266" s="1">
        <v>1212487.820698123</v>
      </c>
      <c r="DT266" s="2"/>
      <c r="DU266" s="2"/>
      <c r="DV266" s="2"/>
      <c r="DW266" s="2"/>
      <c r="DX266" s="2"/>
      <c r="DY266" s="2"/>
      <c r="DZ266" s="2"/>
      <c r="EA266" s="2"/>
      <c r="EB266" s="1">
        <v>142029.23763904508</v>
      </c>
      <c r="EC266" s="2"/>
      <c r="ED266" s="2"/>
      <c r="EE266" s="1">
        <v>172713.28233043509</v>
      </c>
      <c r="EF266" s="2"/>
      <c r="EG266" s="1">
        <v>619180.25739610661</v>
      </c>
      <c r="EH266" s="2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4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1">
        <v>3770396.0011329749</v>
      </c>
      <c r="LP266" s="1"/>
      <c r="LQ266" s="1"/>
      <c r="LR266" s="1"/>
      <c r="LS266" s="1"/>
      <c r="LT266" s="1"/>
      <c r="LU266" s="1">
        <v>2774910.2872249582</v>
      </c>
      <c r="LV266" s="1"/>
      <c r="LW266" s="1"/>
      <c r="LX266" s="1"/>
      <c r="LY266" s="1"/>
      <c r="LZ266" s="1"/>
      <c r="MA266" s="1"/>
      <c r="MB266" s="1"/>
      <c r="MC266" s="1"/>
      <c r="MD266" s="1"/>
      <c r="ME266" s="1"/>
    </row>
    <row r="267" spans="1:343">
      <c r="A267" s="1">
        <v>1630</v>
      </c>
      <c r="B267" s="1">
        <v>17688721.762546703</v>
      </c>
      <c r="C267" s="1">
        <v>4741187.2432355955</v>
      </c>
      <c r="D267" s="1"/>
      <c r="E267" s="1"/>
      <c r="F267" s="1"/>
      <c r="G267" s="1"/>
      <c r="H267" s="1"/>
      <c r="I267" s="1"/>
      <c r="J267" s="1"/>
      <c r="K267" s="1">
        <v>2368003.9596058568</v>
      </c>
      <c r="L267" s="1"/>
      <c r="M267" s="1"/>
      <c r="N267" s="1"/>
      <c r="O267" s="1"/>
      <c r="P267" s="1"/>
      <c r="Q267" s="1"/>
      <c r="R267" s="1"/>
      <c r="S267" s="1"/>
      <c r="T267" s="1"/>
      <c r="U267" s="1">
        <v>2471159.9191820086</v>
      </c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>
        <v>5187400.9397905804</v>
      </c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>
        <v>1745788.8006509258</v>
      </c>
      <c r="AU267" s="1"/>
      <c r="AV267" s="1"/>
      <c r="AW267" s="1"/>
      <c r="AX267" s="1"/>
      <c r="AY267" s="1"/>
      <c r="AZ267" s="1"/>
      <c r="BA267" s="1"/>
      <c r="BB267" s="1"/>
      <c r="BC267" s="1">
        <v>1175180.900081737</v>
      </c>
      <c r="BD267" s="1"/>
      <c r="BE267" s="1"/>
      <c r="BF267" s="1"/>
      <c r="BG267" s="1"/>
      <c r="BH267" s="1"/>
      <c r="BI267" s="4">
        <v>12838051.382072479</v>
      </c>
      <c r="BJ267" s="2">
        <v>1188796.1600548958</v>
      </c>
      <c r="BK267" s="2"/>
      <c r="BL267" s="2"/>
      <c r="BM267" s="2"/>
      <c r="BN267" s="2"/>
      <c r="BO267" s="2"/>
      <c r="BP267" s="2"/>
      <c r="BQ267" s="2">
        <v>949791.21526437486</v>
      </c>
      <c r="BR267" s="2"/>
      <c r="BS267" s="2"/>
      <c r="BT267" s="2"/>
      <c r="BU267" s="2"/>
      <c r="BV267" s="2"/>
      <c r="BW267" s="2"/>
      <c r="BX267" s="2"/>
      <c r="BY267" s="2"/>
      <c r="BZ267" s="1">
        <v>3269515.8910355666</v>
      </c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1">
        <v>653035.473637052</v>
      </c>
      <c r="CU267" s="2"/>
      <c r="CV267" s="2"/>
      <c r="CW267" s="2"/>
      <c r="CX267" s="1">
        <v>2081330.0923354377</v>
      </c>
      <c r="CY267" s="2"/>
      <c r="CZ267" s="2"/>
      <c r="DA267" s="2"/>
      <c r="DB267" s="2"/>
      <c r="DC267" s="2"/>
      <c r="DD267" s="2"/>
      <c r="DE267" s="1">
        <v>1165223.0979344586</v>
      </c>
      <c r="DF267" s="2"/>
      <c r="DG267" s="2"/>
      <c r="DH267" s="2"/>
      <c r="DI267" s="2"/>
      <c r="DJ267" s="2"/>
      <c r="DK267" s="2"/>
      <c r="DL267" s="1">
        <v>1371774.7963035528</v>
      </c>
      <c r="DM267" s="2"/>
      <c r="DN267" s="2"/>
      <c r="DO267" s="2"/>
      <c r="DP267" s="2"/>
      <c r="DQ267" s="2"/>
      <c r="DR267" s="2"/>
      <c r="DS267" s="1">
        <v>1220975.2354430098</v>
      </c>
      <c r="DT267" s="2"/>
      <c r="DU267" s="2"/>
      <c r="DV267" s="2"/>
      <c r="DW267" s="2"/>
      <c r="DX267" s="2"/>
      <c r="DY267" s="2"/>
      <c r="DZ267" s="2"/>
      <c r="EA267" s="2"/>
      <c r="EB267" s="1">
        <v>143023.44230251838</v>
      </c>
      <c r="EC267" s="2"/>
      <c r="ED267" s="2"/>
      <c r="EE267" s="1">
        <v>173300.50749035858</v>
      </c>
      <c r="EF267" s="2"/>
      <c r="EG267" s="1">
        <v>621285.47027125338</v>
      </c>
      <c r="EH267" s="2"/>
      <c r="EI267" s="1">
        <v>24900000</v>
      </c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4">
        <v>19300000</v>
      </c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1">
        <v>3783215.3475368274</v>
      </c>
      <c r="LP267" s="1"/>
      <c r="LQ267" s="1"/>
      <c r="LR267" s="1"/>
      <c r="LS267" s="1"/>
      <c r="LT267" s="1"/>
      <c r="LU267" s="1">
        <v>2784344.9822015231</v>
      </c>
      <c r="LV267" s="1"/>
      <c r="LW267" s="1"/>
      <c r="LX267" s="1"/>
      <c r="LY267" s="1"/>
      <c r="LZ267" s="1"/>
      <c r="MA267" s="1"/>
      <c r="MB267" s="1"/>
      <c r="MC267" s="1"/>
      <c r="MD267" s="1"/>
      <c r="ME267" s="1"/>
    </row>
    <row r="268" spans="1:343">
      <c r="A268" s="1">
        <v>1631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4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4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</row>
    <row r="269" spans="1:343">
      <c r="A269" s="1">
        <v>1632</v>
      </c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4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4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</row>
    <row r="270" spans="1:343">
      <c r="A270" s="1">
        <v>1633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4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4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</row>
    <row r="271" spans="1:343">
      <c r="A271" s="1">
        <v>1634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4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4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</row>
    <row r="272" spans="1:343">
      <c r="A272" s="1">
        <v>1635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4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4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</row>
    <row r="273" spans="1:343">
      <c r="A273" s="1">
        <v>1636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4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4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</row>
    <row r="274" spans="1:343">
      <c r="A274" s="1">
        <v>1637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4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4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</row>
    <row r="275" spans="1:343">
      <c r="A275" s="1">
        <v>1638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4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4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</row>
    <row r="276" spans="1:343">
      <c r="A276" s="1">
        <v>1639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4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4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</row>
    <row r="277" spans="1:343">
      <c r="A277" s="1">
        <v>1640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>
        <v>956384</v>
      </c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4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4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</row>
    <row r="278" spans="1:343">
      <c r="A278" s="1">
        <v>1641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4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4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1"/>
      <c r="LP278" s="1">
        <v>256089</v>
      </c>
      <c r="LQ278" s="1"/>
      <c r="LR278" s="1">
        <v>1033356</v>
      </c>
      <c r="LS278" s="1"/>
      <c r="LT278" s="1"/>
      <c r="LU278" s="1">
        <v>2548776</v>
      </c>
      <c r="LV278" s="1"/>
      <c r="LW278" s="1"/>
      <c r="LX278" s="1"/>
      <c r="LY278" s="1"/>
      <c r="LZ278" s="1"/>
      <c r="MA278" s="1"/>
      <c r="MB278" s="1"/>
      <c r="MC278" s="1"/>
      <c r="MD278" s="1"/>
      <c r="ME278" s="1"/>
    </row>
    <row r="279" spans="1:343">
      <c r="A279" s="1">
        <v>1642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4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4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</row>
    <row r="280" spans="1:343">
      <c r="A280" s="1">
        <v>1643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4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4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</row>
    <row r="281" spans="1:343">
      <c r="A281" s="1">
        <v>1644</v>
      </c>
      <c r="B281" s="1">
        <v>14787771.393489044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4">
        <v>10732610.955412591</v>
      </c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1">
        <v>19900000</v>
      </c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4">
        <v>19300000</v>
      </c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1">
        <v>3163110.0849003606</v>
      </c>
      <c r="LP281" s="19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</row>
    <row r="282" spans="1:343">
      <c r="A282" s="1">
        <v>1645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4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4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</row>
    <row r="283" spans="1:343">
      <c r="A283" s="1">
        <v>1646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4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4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</row>
    <row r="284" spans="1:343">
      <c r="A284" s="1">
        <v>1647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4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4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</row>
    <row r="285" spans="1:343">
      <c r="A285" s="1">
        <v>1648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4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4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</row>
    <row r="286" spans="1:343">
      <c r="A286" s="1">
        <v>1649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4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4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</row>
    <row r="287" spans="1:343">
      <c r="A287" s="1">
        <v>1650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4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4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</row>
    <row r="288" spans="1:343">
      <c r="A288" s="1">
        <v>1651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4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4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</row>
    <row r="289" spans="1:343">
      <c r="A289" s="1">
        <v>1652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4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4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</row>
    <row r="290" spans="1:343">
      <c r="A290" s="1">
        <v>1653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4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4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</row>
    <row r="291" spans="1:343">
      <c r="A291" s="1">
        <v>1654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4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4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</row>
    <row r="292" spans="1:343">
      <c r="A292" s="1">
        <v>1655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4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17"/>
      <c r="CR292" s="2"/>
      <c r="CS292" s="2"/>
      <c r="CT292" s="2"/>
      <c r="CU292" s="2"/>
      <c r="CV292" s="2"/>
      <c r="CW292" s="2"/>
      <c r="CX292" s="17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4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</row>
    <row r="293" spans="1:343">
      <c r="A293" s="1">
        <v>1656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4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4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</row>
    <row r="294" spans="1:343">
      <c r="A294" s="1">
        <v>1657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4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4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</row>
    <row r="295" spans="1:343">
      <c r="A295" s="1">
        <v>1658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4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4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</row>
    <row r="296" spans="1:343">
      <c r="A296" s="1">
        <v>1659</v>
      </c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4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4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</row>
    <row r="297" spans="1:343">
      <c r="A297" s="1">
        <v>1660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4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4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</row>
    <row r="298" spans="1:343">
      <c r="A298" s="1">
        <v>1661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4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4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</row>
    <row r="299" spans="1:343">
      <c r="A299" s="1">
        <v>1662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4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4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</row>
    <row r="300" spans="1:343">
      <c r="A300" s="1">
        <v>1663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4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4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</row>
    <row r="301" spans="1:343">
      <c r="A301" s="1">
        <v>1664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4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4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</row>
    <row r="302" spans="1:343">
      <c r="A302" s="1">
        <v>1665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4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4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</row>
    <row r="303" spans="1:343">
      <c r="A303" s="1">
        <v>1666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4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4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</row>
    <row r="304" spans="1:343">
      <c r="A304" s="1">
        <v>1667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4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4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</row>
    <row r="305" spans="1:343">
      <c r="A305" s="1">
        <v>1668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4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4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</row>
    <row r="306" spans="1:343">
      <c r="A306" s="1">
        <v>1669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4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4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</row>
    <row r="307" spans="1:343">
      <c r="A307" s="1">
        <v>1670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4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4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</row>
    <row r="308" spans="1:343">
      <c r="A308" s="1">
        <v>1671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4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4"/>
      <c r="HX308" s="2"/>
      <c r="HY308" s="2"/>
      <c r="HZ308" s="2"/>
      <c r="IA308" s="2"/>
      <c r="IB308" s="2"/>
      <c r="IC308" s="2"/>
      <c r="ID308" s="2"/>
      <c r="IE308" s="2"/>
      <c r="IF308" s="18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18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</row>
    <row r="309" spans="1:343">
      <c r="A309" s="1">
        <v>1672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4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4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</row>
    <row r="310" spans="1:343">
      <c r="A310" s="1">
        <v>1673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4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4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</row>
    <row r="311" spans="1:343">
      <c r="A311" s="1">
        <v>1674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4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4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</row>
    <row r="312" spans="1:343">
      <c r="A312" s="1">
        <v>1675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4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4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</row>
    <row r="313" spans="1:343">
      <c r="A313" s="1">
        <v>1676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4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4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</row>
    <row r="314" spans="1:343">
      <c r="A314" s="1">
        <v>1677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4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4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</row>
    <row r="315" spans="1:343">
      <c r="A315" s="1">
        <v>1678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4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4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</row>
    <row r="316" spans="1:343">
      <c r="A316" s="1">
        <v>1679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4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4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</row>
    <row r="317" spans="1:343">
      <c r="A317" s="1">
        <v>1680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>
        <v>465132</v>
      </c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4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4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1"/>
      <c r="LP317" s="1"/>
      <c r="LQ317" s="1"/>
      <c r="LR317" s="1">
        <v>499063</v>
      </c>
      <c r="LS317" s="1"/>
      <c r="LT317" s="1"/>
      <c r="LU317" s="1">
        <v>1529818</v>
      </c>
      <c r="LV317" s="1"/>
      <c r="LW317" s="1"/>
      <c r="LX317" s="1"/>
      <c r="LY317" s="1"/>
      <c r="LZ317" s="1"/>
      <c r="MA317" s="1"/>
      <c r="MB317" s="1"/>
      <c r="MC317" s="1"/>
      <c r="MD317" s="1"/>
      <c r="ME317" s="1"/>
    </row>
    <row r="318" spans="1:343">
      <c r="A318" s="1">
        <v>1681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4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4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</row>
    <row r="319" spans="1:343">
      <c r="A319" s="1">
        <v>1682</v>
      </c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4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4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</row>
    <row r="320" spans="1:343">
      <c r="A320" s="1">
        <v>1683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4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4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</row>
    <row r="321" spans="1:343">
      <c r="A321" s="1">
        <v>1684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4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4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</row>
    <row r="322" spans="1:343">
      <c r="A322" s="1">
        <v>1685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4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4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</row>
    <row r="323" spans="1:343">
      <c r="A323" s="1">
        <v>1686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4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4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</row>
    <row r="324" spans="1:343">
      <c r="A324" s="1">
        <v>1687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4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4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  <c r="LC324" s="2"/>
      <c r="LD324" s="2"/>
      <c r="LE324" s="2"/>
      <c r="LF324" s="2"/>
      <c r="LG324" s="2"/>
      <c r="LH324" s="2"/>
      <c r="LI324" s="2"/>
      <c r="LJ324" s="2"/>
      <c r="LK324" s="2"/>
      <c r="LL324" s="2"/>
      <c r="LM324" s="2"/>
      <c r="LN324" s="2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</row>
    <row r="325" spans="1:343">
      <c r="A325" s="1">
        <v>1688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4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4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/>
      <c r="KW325" s="2"/>
      <c r="KX325" s="2"/>
      <c r="KY325" s="2"/>
      <c r="KZ325" s="2"/>
      <c r="LA325" s="2"/>
      <c r="LB325" s="2"/>
      <c r="LC325" s="2"/>
      <c r="LD325" s="2"/>
      <c r="LE325" s="2"/>
      <c r="LF325" s="2"/>
      <c r="LG325" s="2"/>
      <c r="LH325" s="2"/>
      <c r="LI325" s="2"/>
      <c r="LJ325" s="2"/>
      <c r="LK325" s="2"/>
      <c r="LL325" s="2"/>
      <c r="LM325" s="2"/>
      <c r="LN325" s="2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</row>
    <row r="326" spans="1:343">
      <c r="A326" s="1">
        <v>1689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4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4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r="KW326" s="2"/>
      <c r="KX326" s="2"/>
      <c r="KY326" s="2"/>
      <c r="KZ326" s="2"/>
      <c r="LA326" s="2"/>
      <c r="LB326" s="2"/>
      <c r="LC326" s="2"/>
      <c r="LD326" s="2"/>
      <c r="LE326" s="2"/>
      <c r="LF326" s="2"/>
      <c r="LG326" s="2"/>
      <c r="LH326" s="2"/>
      <c r="LI326" s="2"/>
      <c r="LJ326" s="2"/>
      <c r="LK326" s="2"/>
      <c r="LL326" s="2"/>
      <c r="LM326" s="2"/>
      <c r="LN326" s="2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</row>
    <row r="327" spans="1:343">
      <c r="A327" s="1">
        <v>1690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4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4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  <c r="KX327" s="2"/>
      <c r="KY327" s="2"/>
      <c r="KZ327" s="2"/>
      <c r="LA327" s="2"/>
      <c r="LB327" s="2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</row>
    <row r="328" spans="1:343">
      <c r="A328" s="1">
        <v>1691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4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4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</row>
    <row r="329" spans="1:343">
      <c r="A329" s="1">
        <v>1692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4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4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</row>
    <row r="330" spans="1:343">
      <c r="A330" s="1">
        <v>1693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4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4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/>
      <c r="KZ330" s="2"/>
      <c r="LA330" s="2"/>
      <c r="LB330" s="2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</row>
    <row r="331" spans="1:343">
      <c r="A331" s="1">
        <v>1694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4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4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</row>
    <row r="332" spans="1:343">
      <c r="A332" s="1">
        <v>1695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4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4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</row>
    <row r="333" spans="1:343">
      <c r="A333" s="1">
        <v>1696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4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4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</row>
    <row r="334" spans="1:343">
      <c r="A334" s="1">
        <v>1697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4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4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/>
      <c r="KZ334" s="2"/>
      <c r="LA334" s="2"/>
      <c r="LB334" s="2"/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</row>
    <row r="335" spans="1:343">
      <c r="A335" s="1">
        <v>1698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4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4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  <c r="KX335" s="2"/>
      <c r="KY335" s="2"/>
      <c r="KZ335" s="2"/>
      <c r="LA335" s="2"/>
      <c r="LB335" s="2"/>
      <c r="LC335" s="2"/>
      <c r="LD335" s="2"/>
      <c r="LE335" s="2"/>
      <c r="LF335" s="2"/>
      <c r="LG335" s="2"/>
      <c r="LH335" s="2"/>
      <c r="LI335" s="2"/>
      <c r="LJ335" s="2"/>
      <c r="LK335" s="2"/>
      <c r="LL335" s="2"/>
      <c r="LM335" s="2"/>
      <c r="LN335" s="2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</row>
    <row r="336" spans="1:343">
      <c r="A336" s="1">
        <v>1699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4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4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  <c r="LC336" s="2"/>
      <c r="LD336" s="2"/>
      <c r="LE336" s="2"/>
      <c r="LF336" s="2"/>
      <c r="LG336" s="2"/>
      <c r="LH336" s="2"/>
      <c r="LI336" s="2"/>
      <c r="LJ336" s="2"/>
      <c r="LK336" s="2"/>
      <c r="LL336" s="2"/>
      <c r="LM336" s="2"/>
      <c r="LN336" s="2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</row>
    <row r="337" spans="1:343">
      <c r="A337" s="1">
        <v>1700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4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4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U337" s="2"/>
      <c r="KV337" s="2"/>
      <c r="KW337" s="2"/>
      <c r="KX337" s="2"/>
      <c r="KY337" s="2"/>
      <c r="KZ337" s="2"/>
      <c r="LA337" s="2"/>
      <c r="LB337" s="2"/>
      <c r="LC337" s="2"/>
      <c r="LD337" s="2"/>
      <c r="LE337" s="2"/>
      <c r="LF337" s="2"/>
      <c r="LG337" s="2"/>
      <c r="LH337" s="2"/>
      <c r="LI337" s="2"/>
      <c r="LJ337" s="2"/>
      <c r="LK337" s="2"/>
      <c r="LL337" s="2"/>
      <c r="LM337" s="2"/>
      <c r="LN337" s="2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</row>
    <row r="338" spans="1:343">
      <c r="A338" s="1">
        <v>1701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4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4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  <c r="LC338" s="2"/>
      <c r="LD338" s="2"/>
      <c r="LE338" s="2"/>
      <c r="LF338" s="2"/>
      <c r="LG338" s="2"/>
      <c r="LH338" s="2"/>
      <c r="LI338" s="2"/>
      <c r="LJ338" s="2"/>
      <c r="LK338" s="2"/>
      <c r="LL338" s="2"/>
      <c r="LM338" s="2"/>
      <c r="LN338" s="2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</row>
    <row r="339" spans="1:343">
      <c r="A339" s="1">
        <v>1702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4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4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  <c r="KX339" s="2"/>
      <c r="KY339" s="2"/>
      <c r="KZ339" s="2"/>
      <c r="LA339" s="2"/>
      <c r="LB339" s="2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</row>
    <row r="340" spans="1:343">
      <c r="A340" s="1">
        <v>1703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4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4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</row>
    <row r="341" spans="1:343">
      <c r="A341" s="1">
        <v>1704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4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4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</row>
    <row r="342" spans="1:343">
      <c r="A342" s="1">
        <v>1705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4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4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  <c r="KX342" s="2"/>
      <c r="KY342" s="2"/>
      <c r="KZ342" s="2"/>
      <c r="LA342" s="2"/>
      <c r="LB342" s="2"/>
      <c r="LC342" s="2"/>
      <c r="LD342" s="2"/>
      <c r="LE342" s="2"/>
      <c r="LF342" s="2"/>
      <c r="LG342" s="2"/>
      <c r="LH342" s="2"/>
      <c r="LI342" s="2"/>
      <c r="LJ342" s="2"/>
      <c r="LK342" s="2"/>
      <c r="LL342" s="2"/>
      <c r="LM342" s="2"/>
      <c r="LN342" s="2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</row>
    <row r="343" spans="1:343">
      <c r="A343" s="1">
        <v>1706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4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4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  <c r="LC343" s="2"/>
      <c r="LD343" s="2"/>
      <c r="LE343" s="2"/>
      <c r="LF343" s="2"/>
      <c r="LG343" s="2"/>
      <c r="LH343" s="2"/>
      <c r="LI343" s="2"/>
      <c r="LJ343" s="2"/>
      <c r="LK343" s="2"/>
      <c r="LL343" s="2"/>
      <c r="LM343" s="2"/>
      <c r="LN343" s="2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</row>
    <row r="344" spans="1:343">
      <c r="A344" s="1">
        <v>1707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4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4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  <c r="KO344" s="2"/>
      <c r="KP344" s="2"/>
      <c r="KQ344" s="2"/>
      <c r="KR344" s="2"/>
      <c r="KS344" s="2"/>
      <c r="KT344" s="2"/>
      <c r="KU344" s="2"/>
      <c r="KV344" s="2"/>
      <c r="KW344" s="2"/>
      <c r="KX344" s="2"/>
      <c r="KY344" s="2"/>
      <c r="KZ344" s="2"/>
      <c r="LA344" s="2"/>
      <c r="LB344" s="2"/>
      <c r="LC344" s="2"/>
      <c r="LD344" s="2"/>
      <c r="LE344" s="2"/>
      <c r="LF344" s="2"/>
      <c r="LG344" s="2"/>
      <c r="LH344" s="2"/>
      <c r="LI344" s="2"/>
      <c r="LJ344" s="2"/>
      <c r="LK344" s="2"/>
      <c r="LL344" s="2"/>
      <c r="LM344" s="2"/>
      <c r="LN344" s="2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</row>
    <row r="345" spans="1:343">
      <c r="A345" s="1">
        <v>1708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4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4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/>
      <c r="KJ345" s="2"/>
      <c r="KK345" s="2"/>
      <c r="KL345" s="2"/>
      <c r="KM345" s="2"/>
      <c r="KN345" s="2"/>
      <c r="KO345" s="2"/>
      <c r="KP345" s="2"/>
      <c r="KQ345" s="2"/>
      <c r="KR345" s="2"/>
      <c r="KS345" s="2"/>
      <c r="KT345" s="2"/>
      <c r="KU345" s="2"/>
      <c r="KV345" s="2"/>
      <c r="KW345" s="2"/>
      <c r="KX345" s="2"/>
      <c r="KY345" s="2"/>
      <c r="KZ345" s="2"/>
      <c r="LA345" s="2"/>
      <c r="LB345" s="2"/>
      <c r="LC345" s="2"/>
      <c r="LD345" s="2"/>
      <c r="LE345" s="2"/>
      <c r="LF345" s="2"/>
      <c r="LG345" s="2"/>
      <c r="LH345" s="2"/>
      <c r="LI345" s="2"/>
      <c r="LJ345" s="2"/>
      <c r="LK345" s="2"/>
      <c r="LL345" s="2"/>
      <c r="LM345" s="2"/>
      <c r="LN345" s="2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</row>
    <row r="346" spans="1:343">
      <c r="A346" s="1">
        <v>1709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4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4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  <c r="KO346" s="2"/>
      <c r="KP346" s="2"/>
      <c r="KQ346" s="2"/>
      <c r="KR346" s="2"/>
      <c r="KS346" s="2"/>
      <c r="KT346" s="2"/>
      <c r="KU346" s="2"/>
      <c r="KV346" s="2"/>
      <c r="KW346" s="2"/>
      <c r="KX346" s="2"/>
      <c r="KY346" s="2"/>
      <c r="KZ346" s="2"/>
      <c r="LA346" s="2"/>
      <c r="LB346" s="2"/>
      <c r="LC346" s="2"/>
      <c r="LD346" s="2"/>
      <c r="LE346" s="2"/>
      <c r="LF346" s="2"/>
      <c r="LG346" s="2"/>
      <c r="LH346" s="2"/>
      <c r="LI346" s="2"/>
      <c r="LJ346" s="2"/>
      <c r="LK346" s="2"/>
      <c r="LL346" s="2"/>
      <c r="LM346" s="2"/>
      <c r="LN346" s="2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</row>
    <row r="347" spans="1:343">
      <c r="A347" s="1">
        <v>1710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4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4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/>
      <c r="KW347" s="2"/>
      <c r="KX347" s="2"/>
      <c r="KY347" s="2"/>
      <c r="KZ347" s="2"/>
      <c r="LA347" s="2"/>
      <c r="LB347" s="2"/>
      <c r="LC347" s="2"/>
      <c r="LD347" s="2"/>
      <c r="LE347" s="2"/>
      <c r="LF347" s="2"/>
      <c r="LG347" s="2"/>
      <c r="LH347" s="2"/>
      <c r="LI347" s="2"/>
      <c r="LJ347" s="2"/>
      <c r="LK347" s="2"/>
      <c r="LL347" s="2"/>
      <c r="LM347" s="2"/>
      <c r="LN347" s="2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</row>
    <row r="348" spans="1:343">
      <c r="A348" s="1">
        <v>1711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4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4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/>
      <c r="KZ348" s="2"/>
      <c r="LA348" s="2"/>
      <c r="LB348" s="2"/>
      <c r="LC348" s="2"/>
      <c r="LD348" s="2"/>
      <c r="LE348" s="2"/>
      <c r="LF348" s="2"/>
      <c r="LG348" s="2"/>
      <c r="LH348" s="2"/>
      <c r="LI348" s="2"/>
      <c r="LJ348" s="2"/>
      <c r="LK348" s="2"/>
      <c r="LL348" s="2"/>
      <c r="LM348" s="2"/>
      <c r="LN348" s="2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</row>
    <row r="349" spans="1:343">
      <c r="A349" s="1">
        <v>1712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4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4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JY349" s="2"/>
      <c r="JZ349" s="2"/>
      <c r="KA349" s="2"/>
      <c r="KB349" s="2"/>
      <c r="KC349" s="2"/>
      <c r="KD349" s="2"/>
      <c r="KE349" s="2"/>
      <c r="KF349" s="2"/>
      <c r="KG349" s="2"/>
      <c r="KH349" s="2"/>
      <c r="KI349" s="2"/>
      <c r="KJ349" s="2"/>
      <c r="KK349" s="2"/>
      <c r="KL349" s="2"/>
      <c r="KM349" s="2"/>
      <c r="KN349" s="2"/>
      <c r="KO349" s="2"/>
      <c r="KP349" s="2"/>
      <c r="KQ349" s="2"/>
      <c r="KR349" s="2"/>
      <c r="KS349" s="2"/>
      <c r="KT349" s="2"/>
      <c r="KU349" s="2"/>
      <c r="KV349" s="2"/>
      <c r="KW349" s="2"/>
      <c r="KX349" s="2"/>
      <c r="KY349" s="2"/>
      <c r="KZ349" s="2"/>
      <c r="LA349" s="2"/>
      <c r="LB349" s="2"/>
      <c r="LC349" s="2"/>
      <c r="LD349" s="2"/>
      <c r="LE349" s="2"/>
      <c r="LF349" s="2"/>
      <c r="LG349" s="2"/>
      <c r="LH349" s="2"/>
      <c r="LI349" s="2"/>
      <c r="LJ349" s="2"/>
      <c r="LK349" s="2"/>
      <c r="LL349" s="2"/>
      <c r="LM349" s="2"/>
      <c r="LN349" s="2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</row>
    <row r="350" spans="1:343">
      <c r="A350" s="1">
        <v>1713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4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4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/>
      <c r="KZ350" s="2"/>
      <c r="LA350" s="2"/>
      <c r="LB350" s="2"/>
      <c r="LC350" s="2"/>
      <c r="LD350" s="2"/>
      <c r="LE350" s="2"/>
      <c r="LF350" s="2"/>
      <c r="LG350" s="2"/>
      <c r="LH350" s="2"/>
      <c r="LI350" s="2"/>
      <c r="LJ350" s="2"/>
      <c r="LK350" s="2"/>
      <c r="LL350" s="2"/>
      <c r="LM350" s="2"/>
      <c r="LN350" s="2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</row>
    <row r="351" spans="1:343">
      <c r="A351" s="1">
        <v>1714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4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4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  <c r="KO351" s="2"/>
      <c r="KP351" s="2"/>
      <c r="KQ351" s="2"/>
      <c r="KR351" s="2"/>
      <c r="KS351" s="2"/>
      <c r="KT351" s="2"/>
      <c r="KU351" s="2"/>
      <c r="KV351" s="2"/>
      <c r="KW351" s="2"/>
      <c r="KX351" s="2"/>
      <c r="KY351" s="2"/>
      <c r="KZ351" s="2"/>
      <c r="LA351" s="2"/>
      <c r="LB351" s="2"/>
      <c r="LC351" s="2"/>
      <c r="LD351" s="2"/>
      <c r="LE351" s="2"/>
      <c r="LF351" s="2"/>
      <c r="LG351" s="2"/>
      <c r="LH351" s="2"/>
      <c r="LI351" s="2"/>
      <c r="LJ351" s="2"/>
      <c r="LK351" s="2"/>
      <c r="LL351" s="2"/>
      <c r="LM351" s="2"/>
      <c r="LN351" s="2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</row>
    <row r="352" spans="1:343">
      <c r="A352" s="1">
        <v>1715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4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4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  <c r="LC352" s="2"/>
      <c r="LD352" s="2"/>
      <c r="LE352" s="2"/>
      <c r="LF352" s="2"/>
      <c r="LG352" s="2"/>
      <c r="LH352" s="2"/>
      <c r="LI352" s="2"/>
      <c r="LJ352" s="2"/>
      <c r="LK352" s="2"/>
      <c r="LL352" s="2"/>
      <c r="LM352" s="2"/>
      <c r="LN352" s="2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</row>
    <row r="353" spans="1:343">
      <c r="A353" s="1">
        <v>1716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4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4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  <c r="KT353" s="2"/>
      <c r="KU353" s="2"/>
      <c r="KV353" s="2"/>
      <c r="KW353" s="2"/>
      <c r="KX353" s="2"/>
      <c r="KY353" s="2"/>
      <c r="KZ353" s="2"/>
      <c r="LA353" s="2"/>
      <c r="LB353" s="2"/>
      <c r="LC353" s="2"/>
      <c r="LD353" s="2"/>
      <c r="LE353" s="2"/>
      <c r="LF353" s="2"/>
      <c r="LG353" s="2"/>
      <c r="LH353" s="2"/>
      <c r="LI353" s="2"/>
      <c r="LJ353" s="2"/>
      <c r="LK353" s="2"/>
      <c r="LL353" s="2"/>
      <c r="LM353" s="2"/>
      <c r="LN353" s="2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</row>
    <row r="354" spans="1:343">
      <c r="A354" s="1">
        <v>1717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4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4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  <c r="KA354" s="2"/>
      <c r="KB354" s="2"/>
      <c r="KC354" s="2"/>
      <c r="KD354" s="2"/>
      <c r="KE354" s="2"/>
      <c r="KF354" s="2"/>
      <c r="KG354" s="2"/>
      <c r="KH354" s="2"/>
      <c r="KI354" s="2"/>
      <c r="KJ354" s="2"/>
      <c r="KK354" s="2"/>
      <c r="KL354" s="2"/>
      <c r="KM354" s="2"/>
      <c r="KN354" s="2"/>
      <c r="KO354" s="2"/>
      <c r="KP354" s="2"/>
      <c r="KQ354" s="2"/>
      <c r="KR354" s="2"/>
      <c r="KS354" s="2"/>
      <c r="KT354" s="2"/>
      <c r="KU354" s="2"/>
      <c r="KV354" s="2"/>
      <c r="KW354" s="2"/>
      <c r="KX354" s="2"/>
      <c r="KY354" s="2"/>
      <c r="KZ354" s="2"/>
      <c r="LA354" s="2"/>
      <c r="LB354" s="2"/>
      <c r="LC354" s="2"/>
      <c r="LD354" s="2"/>
      <c r="LE354" s="2"/>
      <c r="LF354" s="2"/>
      <c r="LG354" s="2"/>
      <c r="LH354" s="2"/>
      <c r="LI354" s="2"/>
      <c r="LJ354" s="2"/>
      <c r="LK354" s="2"/>
      <c r="LL354" s="2"/>
      <c r="LM354" s="2"/>
      <c r="LN354" s="2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</row>
    <row r="355" spans="1:343">
      <c r="A355" s="1">
        <v>1718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4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4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/>
      <c r="KW355" s="2"/>
      <c r="KX355" s="2"/>
      <c r="KY355" s="2"/>
      <c r="KZ355" s="2"/>
      <c r="LA355" s="2"/>
      <c r="LB355" s="2"/>
      <c r="LC355" s="2"/>
      <c r="LD355" s="2"/>
      <c r="LE355" s="2"/>
      <c r="LF355" s="2"/>
      <c r="LG355" s="2"/>
      <c r="LH355" s="2"/>
      <c r="LI355" s="2"/>
      <c r="LJ355" s="2"/>
      <c r="LK355" s="2"/>
      <c r="LL355" s="2"/>
      <c r="LM355" s="2"/>
      <c r="LN355" s="2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</row>
    <row r="356" spans="1:343">
      <c r="A356" s="1">
        <v>1719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4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4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/>
      <c r="KJ356" s="2"/>
      <c r="KK356" s="2"/>
      <c r="KL356" s="2"/>
      <c r="KM356" s="2"/>
      <c r="KN356" s="2"/>
      <c r="KO356" s="2"/>
      <c r="KP356" s="2"/>
      <c r="KQ356" s="2"/>
      <c r="KR356" s="2"/>
      <c r="KS356" s="2"/>
      <c r="KT356" s="2"/>
      <c r="KU356" s="2"/>
      <c r="KV356" s="2"/>
      <c r="KW356" s="2"/>
      <c r="KX356" s="2"/>
      <c r="KY356" s="2"/>
      <c r="KZ356" s="2"/>
      <c r="LA356" s="2"/>
      <c r="LB356" s="2"/>
      <c r="LC356" s="2"/>
      <c r="LD356" s="2"/>
      <c r="LE356" s="2"/>
      <c r="LF356" s="2"/>
      <c r="LG356" s="2"/>
      <c r="LH356" s="2"/>
      <c r="LI356" s="2"/>
      <c r="LJ356" s="2"/>
      <c r="LK356" s="2"/>
      <c r="LL356" s="2"/>
      <c r="LM356" s="2"/>
      <c r="LN356" s="2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</row>
    <row r="357" spans="1:343">
      <c r="A357" s="1">
        <v>1720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4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4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  <c r="LC357" s="2"/>
      <c r="LD357" s="2"/>
      <c r="LE357" s="2"/>
      <c r="LF357" s="2"/>
      <c r="LG357" s="2"/>
      <c r="LH357" s="2"/>
      <c r="LI357" s="2"/>
      <c r="LJ357" s="2"/>
      <c r="LK357" s="2"/>
      <c r="LL357" s="2"/>
      <c r="LM357" s="2"/>
      <c r="LN357" s="2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</row>
    <row r="358" spans="1:343">
      <c r="A358" s="1">
        <v>1721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4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4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/>
      <c r="KZ358" s="2"/>
      <c r="LA358" s="2"/>
      <c r="LB358" s="2"/>
      <c r="LC358" s="2"/>
      <c r="LD358" s="2"/>
      <c r="LE358" s="2"/>
      <c r="LF358" s="2"/>
      <c r="LG358" s="2"/>
      <c r="LH358" s="2"/>
      <c r="LI358" s="2"/>
      <c r="LJ358" s="2"/>
      <c r="LK358" s="2"/>
      <c r="LL358" s="2"/>
      <c r="LM358" s="2"/>
      <c r="LN358" s="2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</row>
    <row r="359" spans="1:343">
      <c r="A359" s="1">
        <v>1722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4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4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/>
      <c r="KW359" s="2"/>
      <c r="KX359" s="2"/>
      <c r="KY359" s="2"/>
      <c r="KZ359" s="2"/>
      <c r="LA359" s="2"/>
      <c r="LB359" s="2"/>
      <c r="LC359" s="2"/>
      <c r="LD359" s="2"/>
      <c r="LE359" s="2"/>
      <c r="LF359" s="2"/>
      <c r="LG359" s="2"/>
      <c r="LH359" s="2"/>
      <c r="LI359" s="2"/>
      <c r="LJ359" s="2"/>
      <c r="LK359" s="2"/>
      <c r="LL359" s="2"/>
      <c r="LM359" s="2"/>
      <c r="LN359" s="2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</row>
    <row r="360" spans="1:343">
      <c r="A360" s="1">
        <v>1723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4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4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2"/>
      <c r="KZ360" s="2"/>
      <c r="LA360" s="2"/>
      <c r="LB360" s="2"/>
      <c r="LC360" s="2"/>
      <c r="LD360" s="2"/>
      <c r="LE360" s="2"/>
      <c r="LF360" s="2"/>
      <c r="LG360" s="2"/>
      <c r="LH360" s="2"/>
      <c r="LI360" s="2"/>
      <c r="LJ360" s="2"/>
      <c r="LK360" s="2"/>
      <c r="LL360" s="2"/>
      <c r="LM360" s="2"/>
      <c r="LN360" s="2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</row>
    <row r="361" spans="1:343">
      <c r="A361" s="1">
        <v>1724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4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4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2"/>
      <c r="KI361" s="2"/>
      <c r="KJ361" s="2"/>
      <c r="KK361" s="2"/>
      <c r="KL361" s="2"/>
      <c r="KM361" s="2"/>
      <c r="KN361" s="2"/>
      <c r="KO361" s="2"/>
      <c r="KP361" s="2"/>
      <c r="KQ361" s="2"/>
      <c r="KR361" s="2"/>
      <c r="KS361" s="2"/>
      <c r="KT361" s="2"/>
      <c r="KU361" s="2"/>
      <c r="KV361" s="2"/>
      <c r="KW361" s="2"/>
      <c r="KX361" s="2"/>
      <c r="KY361" s="2"/>
      <c r="KZ361" s="2"/>
      <c r="LA361" s="2"/>
      <c r="LB361" s="2"/>
      <c r="LC361" s="2"/>
      <c r="LD361" s="2"/>
      <c r="LE361" s="2"/>
      <c r="LF361" s="2"/>
      <c r="LG361" s="2"/>
      <c r="LH361" s="2"/>
      <c r="LI361" s="2"/>
      <c r="LJ361" s="2"/>
      <c r="LK361" s="2"/>
      <c r="LL361" s="2"/>
      <c r="LM361" s="2"/>
      <c r="LN361" s="2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</row>
    <row r="362" spans="1:343">
      <c r="A362" s="1">
        <v>1725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4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4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/>
      <c r="KZ362" s="2"/>
      <c r="LA362" s="2"/>
      <c r="LB362" s="2"/>
      <c r="LC362" s="2"/>
      <c r="LD362" s="2"/>
      <c r="LE362" s="2"/>
      <c r="LF362" s="2"/>
      <c r="LG362" s="2"/>
      <c r="LH362" s="2"/>
      <c r="LI362" s="2"/>
      <c r="LJ362" s="2"/>
      <c r="LK362" s="2"/>
      <c r="LL362" s="2"/>
      <c r="LM362" s="2"/>
      <c r="LN362" s="2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</row>
    <row r="363" spans="1:343">
      <c r="A363" s="1">
        <v>1726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4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4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  <c r="KT363" s="2"/>
      <c r="KU363" s="2"/>
      <c r="KV363" s="2"/>
      <c r="KW363" s="2"/>
      <c r="KX363" s="2"/>
      <c r="KY363" s="2"/>
      <c r="KZ363" s="2"/>
      <c r="LA363" s="2"/>
      <c r="LB363" s="2"/>
      <c r="LC363" s="2"/>
      <c r="LD363" s="2"/>
      <c r="LE363" s="2"/>
      <c r="LF363" s="2"/>
      <c r="LG363" s="2"/>
      <c r="LH363" s="2"/>
      <c r="LI363" s="2"/>
      <c r="LJ363" s="2"/>
      <c r="LK363" s="2"/>
      <c r="LL363" s="2"/>
      <c r="LM363" s="2"/>
      <c r="LN363" s="2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</row>
    <row r="364" spans="1:343">
      <c r="A364" s="1">
        <v>1727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4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4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2"/>
      <c r="LA364" s="2"/>
      <c r="LB364" s="2"/>
      <c r="LC364" s="2"/>
      <c r="LD364" s="2"/>
      <c r="LE364" s="2"/>
      <c r="LF364" s="2"/>
      <c r="LG364" s="2"/>
      <c r="LH364" s="2"/>
      <c r="LI364" s="2"/>
      <c r="LJ364" s="2"/>
      <c r="LK364" s="2"/>
      <c r="LL364" s="2"/>
      <c r="LM364" s="2"/>
      <c r="LN364" s="2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</row>
    <row r="365" spans="1:343">
      <c r="A365" s="1">
        <v>1728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4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4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  <c r="KA365" s="2"/>
      <c r="KB365" s="2"/>
      <c r="KC365" s="2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  <c r="KO365" s="2"/>
      <c r="KP365" s="2"/>
      <c r="KQ365" s="2"/>
      <c r="KR365" s="2"/>
      <c r="KS365" s="2"/>
      <c r="KT365" s="2"/>
      <c r="KU365" s="2"/>
      <c r="KV365" s="2"/>
      <c r="KW365" s="2"/>
      <c r="KX365" s="2"/>
      <c r="KY365" s="2"/>
      <c r="KZ365" s="2"/>
      <c r="LA365" s="2"/>
      <c r="LB365" s="2"/>
      <c r="LC365" s="2"/>
      <c r="LD365" s="2"/>
      <c r="LE365" s="2"/>
      <c r="LF365" s="2"/>
      <c r="LG365" s="2"/>
      <c r="LH365" s="2"/>
      <c r="LI365" s="2"/>
      <c r="LJ365" s="2"/>
      <c r="LK365" s="2"/>
      <c r="LL365" s="2"/>
      <c r="LM365" s="2"/>
      <c r="LN365" s="2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</row>
    <row r="366" spans="1:343">
      <c r="A366" s="1">
        <v>1729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4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4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  <c r="KO366" s="2"/>
      <c r="KP366" s="2"/>
      <c r="KQ366" s="2"/>
      <c r="KR366" s="2"/>
      <c r="KS366" s="2"/>
      <c r="KT366" s="2"/>
      <c r="KU366" s="2"/>
      <c r="KV366" s="2"/>
      <c r="KW366" s="2"/>
      <c r="KX366" s="2"/>
      <c r="KY366" s="2"/>
      <c r="KZ366" s="2"/>
      <c r="LA366" s="2"/>
      <c r="LB366" s="2"/>
      <c r="LC366" s="2"/>
      <c r="LD366" s="2"/>
      <c r="LE366" s="2"/>
      <c r="LF366" s="2"/>
      <c r="LG366" s="2"/>
      <c r="LH366" s="2"/>
      <c r="LI366" s="2"/>
      <c r="LJ366" s="2"/>
      <c r="LK366" s="2"/>
      <c r="LL366" s="2"/>
      <c r="LM366" s="2"/>
      <c r="LN366" s="2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</row>
    <row r="367" spans="1:343">
      <c r="A367" s="1">
        <v>1730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4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4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2"/>
      <c r="KI367" s="2"/>
      <c r="KJ367" s="2"/>
      <c r="KK367" s="2"/>
      <c r="KL367" s="2"/>
      <c r="KM367" s="2"/>
      <c r="KN367" s="2"/>
      <c r="KO367" s="2"/>
      <c r="KP367" s="2"/>
      <c r="KQ367" s="2"/>
      <c r="KR367" s="2"/>
      <c r="KS367" s="2"/>
      <c r="KT367" s="2"/>
      <c r="KU367" s="2"/>
      <c r="KV367" s="2"/>
      <c r="KW367" s="2"/>
      <c r="KX367" s="2"/>
      <c r="KY367" s="2"/>
      <c r="KZ367" s="2"/>
      <c r="LA367" s="2"/>
      <c r="LB367" s="2"/>
      <c r="LC367" s="2"/>
      <c r="LD367" s="2"/>
      <c r="LE367" s="2"/>
      <c r="LF367" s="2"/>
      <c r="LG367" s="2"/>
      <c r="LH367" s="2"/>
      <c r="LI367" s="2"/>
      <c r="LJ367" s="2"/>
      <c r="LK367" s="2"/>
      <c r="LL367" s="2"/>
      <c r="LM367" s="2"/>
      <c r="LN367" s="2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</row>
    <row r="368" spans="1:343">
      <c r="A368" s="1">
        <v>1731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4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4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  <c r="KO368" s="2"/>
      <c r="KP368" s="2"/>
      <c r="KQ368" s="2"/>
      <c r="KR368" s="2"/>
      <c r="KS368" s="2"/>
      <c r="KT368" s="2"/>
      <c r="KU368" s="2"/>
      <c r="KV368" s="2"/>
      <c r="KW368" s="2"/>
      <c r="KX368" s="2"/>
      <c r="KY368" s="2"/>
      <c r="KZ368" s="2"/>
      <c r="LA368" s="2"/>
      <c r="LB368" s="2"/>
      <c r="LC368" s="2"/>
      <c r="LD368" s="2"/>
      <c r="LE368" s="2"/>
      <c r="LF368" s="2"/>
      <c r="LG368" s="2"/>
      <c r="LH368" s="2"/>
      <c r="LI368" s="2"/>
      <c r="LJ368" s="2"/>
      <c r="LK368" s="2"/>
      <c r="LL368" s="2"/>
      <c r="LM368" s="2"/>
      <c r="LN368" s="2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</row>
    <row r="369" spans="1:343">
      <c r="A369" s="1">
        <v>1732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4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4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JY369" s="2"/>
      <c r="JZ369" s="2"/>
      <c r="KA369" s="2"/>
      <c r="KB369" s="2"/>
      <c r="KC369" s="2"/>
      <c r="KD369" s="2"/>
      <c r="KE369" s="2"/>
      <c r="KF369" s="2"/>
      <c r="KG369" s="2"/>
      <c r="KH369" s="2"/>
      <c r="KI369" s="2"/>
      <c r="KJ369" s="2"/>
      <c r="KK369" s="2"/>
      <c r="KL369" s="2"/>
      <c r="KM369" s="2"/>
      <c r="KN369" s="2"/>
      <c r="KO369" s="2"/>
      <c r="KP369" s="2"/>
      <c r="KQ369" s="2"/>
      <c r="KR369" s="2"/>
      <c r="KS369" s="2"/>
      <c r="KT369" s="2"/>
      <c r="KU369" s="2"/>
      <c r="KV369" s="2"/>
      <c r="KW369" s="2"/>
      <c r="KX369" s="2"/>
      <c r="KY369" s="2"/>
      <c r="KZ369" s="2"/>
      <c r="LA369" s="2"/>
      <c r="LB369" s="2"/>
      <c r="LC369" s="2"/>
      <c r="LD369" s="2"/>
      <c r="LE369" s="2"/>
      <c r="LF369" s="2"/>
      <c r="LG369" s="2"/>
      <c r="LH369" s="2"/>
      <c r="LI369" s="2"/>
      <c r="LJ369" s="2"/>
      <c r="LK369" s="2"/>
      <c r="LL369" s="2"/>
      <c r="LM369" s="2"/>
      <c r="LN369" s="2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</row>
    <row r="370" spans="1:343">
      <c r="A370" s="1">
        <v>1733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4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4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  <c r="KT370" s="2"/>
      <c r="KU370" s="2"/>
      <c r="KV370" s="2"/>
      <c r="KW370" s="2"/>
      <c r="KX370" s="2"/>
      <c r="KY370" s="2"/>
      <c r="KZ370" s="2"/>
      <c r="LA370" s="2"/>
      <c r="LB370" s="2"/>
      <c r="LC370" s="2"/>
      <c r="LD370" s="2"/>
      <c r="LE370" s="2"/>
      <c r="LF370" s="2"/>
      <c r="LG370" s="2"/>
      <c r="LH370" s="2"/>
      <c r="LI370" s="2"/>
      <c r="LJ370" s="2"/>
      <c r="LK370" s="2"/>
      <c r="LL370" s="2"/>
      <c r="LM370" s="2"/>
      <c r="LN370" s="2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</row>
    <row r="371" spans="1:343">
      <c r="A371" s="1">
        <v>1734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4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4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  <c r="KX371" s="2"/>
      <c r="KY371" s="2"/>
      <c r="KZ371" s="2"/>
      <c r="LA371" s="2"/>
      <c r="LB371" s="2"/>
      <c r="LC371" s="2"/>
      <c r="LD371" s="2"/>
      <c r="LE371" s="2"/>
      <c r="LF371" s="2"/>
      <c r="LG371" s="2"/>
      <c r="LH371" s="2"/>
      <c r="LI371" s="2"/>
      <c r="LJ371" s="2"/>
      <c r="LK371" s="2"/>
      <c r="LL371" s="2"/>
      <c r="LM371" s="2"/>
      <c r="LN371" s="2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</row>
    <row r="372" spans="1:343">
      <c r="A372" s="1">
        <v>1735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4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4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  <c r="KA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  <c r="KO372" s="2"/>
      <c r="KP372" s="2"/>
      <c r="KQ372" s="2"/>
      <c r="KR372" s="2"/>
      <c r="KS372" s="2"/>
      <c r="KT372" s="2"/>
      <c r="KU372" s="2"/>
      <c r="KV372" s="2"/>
      <c r="KW372" s="2"/>
      <c r="KX372" s="2"/>
      <c r="KY372" s="2"/>
      <c r="KZ372" s="2"/>
      <c r="LA372" s="2"/>
      <c r="LB372" s="2"/>
      <c r="LC372" s="2"/>
      <c r="LD372" s="2"/>
      <c r="LE372" s="2"/>
      <c r="LF372" s="2"/>
      <c r="LG372" s="2"/>
      <c r="LH372" s="2"/>
      <c r="LI372" s="2"/>
      <c r="LJ372" s="2"/>
      <c r="LK372" s="2"/>
      <c r="LL372" s="2"/>
      <c r="LM372" s="2"/>
      <c r="LN372" s="2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</row>
    <row r="373" spans="1:343">
      <c r="A373" s="1">
        <v>1736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4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4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JY373" s="2"/>
      <c r="JZ373" s="2"/>
      <c r="KA373" s="2"/>
      <c r="KB373" s="2"/>
      <c r="KC373" s="2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  <c r="KO373" s="2"/>
      <c r="KP373" s="2"/>
      <c r="KQ373" s="2"/>
      <c r="KR373" s="2"/>
      <c r="KS373" s="2"/>
      <c r="KT373" s="2"/>
      <c r="KU373" s="2"/>
      <c r="KV373" s="2"/>
      <c r="KW373" s="2"/>
      <c r="KX373" s="2"/>
      <c r="KY373" s="2"/>
      <c r="KZ373" s="2"/>
      <c r="LA373" s="2"/>
      <c r="LB373" s="2"/>
      <c r="LC373" s="2"/>
      <c r="LD373" s="2"/>
      <c r="LE373" s="2"/>
      <c r="LF373" s="2"/>
      <c r="LG373" s="2"/>
      <c r="LH373" s="2"/>
      <c r="LI373" s="2"/>
      <c r="LJ373" s="2"/>
      <c r="LK373" s="2"/>
      <c r="LL373" s="2"/>
      <c r="LM373" s="2"/>
      <c r="LN373" s="2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</row>
    <row r="374" spans="1:343">
      <c r="A374" s="1">
        <v>1737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4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4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JY374" s="2"/>
      <c r="JZ374" s="2"/>
      <c r="KA374" s="2"/>
      <c r="KB374" s="2"/>
      <c r="KC374" s="2"/>
      <c r="KD374" s="2"/>
      <c r="KE374" s="2"/>
      <c r="KF374" s="2"/>
      <c r="KG374" s="2"/>
      <c r="KH374" s="2"/>
      <c r="KI374" s="2"/>
      <c r="KJ374" s="2"/>
      <c r="KK374" s="2"/>
      <c r="KL374" s="2"/>
      <c r="KM374" s="2"/>
      <c r="KN374" s="2"/>
      <c r="KO374" s="2"/>
      <c r="KP374" s="2"/>
      <c r="KQ374" s="2"/>
      <c r="KR374" s="2"/>
      <c r="KS374" s="2"/>
      <c r="KT374" s="2"/>
      <c r="KU374" s="2"/>
      <c r="KV374" s="2"/>
      <c r="KW374" s="2"/>
      <c r="KX374" s="2"/>
      <c r="KY374" s="2"/>
      <c r="KZ374" s="2"/>
      <c r="LA374" s="2"/>
      <c r="LB374" s="2"/>
      <c r="LC374" s="2"/>
      <c r="LD374" s="2"/>
      <c r="LE374" s="2"/>
      <c r="LF374" s="2"/>
      <c r="LG374" s="2"/>
      <c r="LH374" s="2"/>
      <c r="LI374" s="2"/>
      <c r="LJ374" s="2"/>
      <c r="LK374" s="2"/>
      <c r="LL374" s="2"/>
      <c r="LM374" s="2"/>
      <c r="LN374" s="2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</row>
    <row r="375" spans="1:343">
      <c r="A375" s="1">
        <v>1738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4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4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/>
      <c r="KW375" s="2"/>
      <c r="KX375" s="2"/>
      <c r="KY375" s="2"/>
      <c r="KZ375" s="2"/>
      <c r="LA375" s="2"/>
      <c r="LB375" s="2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</row>
    <row r="376" spans="1:343">
      <c r="A376" s="1">
        <v>1739</v>
      </c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4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4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JY376" s="2"/>
      <c r="JZ376" s="2"/>
      <c r="KA376" s="2"/>
      <c r="KB376" s="2"/>
      <c r="KC376" s="2"/>
      <c r="KD376" s="2"/>
      <c r="KE376" s="2"/>
      <c r="KF376" s="2"/>
      <c r="KG376" s="2"/>
      <c r="KH376" s="2"/>
      <c r="KI376" s="2"/>
      <c r="KJ376" s="2"/>
      <c r="KK376" s="2"/>
      <c r="KL376" s="2"/>
      <c r="KM376" s="2"/>
      <c r="KN376" s="2"/>
      <c r="KO376" s="2"/>
      <c r="KP376" s="2"/>
      <c r="KQ376" s="2"/>
      <c r="KR376" s="2"/>
      <c r="KS376" s="2"/>
      <c r="KT376" s="2"/>
      <c r="KU376" s="2"/>
      <c r="KV376" s="2"/>
      <c r="KW376" s="2"/>
      <c r="KX376" s="2"/>
      <c r="KY376" s="2"/>
      <c r="KZ376" s="2"/>
      <c r="LA376" s="2"/>
      <c r="LB376" s="2"/>
      <c r="LC376" s="2"/>
      <c r="LD376" s="2"/>
      <c r="LE376" s="2"/>
      <c r="LF376" s="2"/>
      <c r="LG376" s="2"/>
      <c r="LH376" s="2"/>
      <c r="LI376" s="2"/>
      <c r="LJ376" s="2"/>
      <c r="LK376" s="2"/>
      <c r="LL376" s="2"/>
      <c r="LM376" s="2"/>
      <c r="LN376" s="2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</row>
    <row r="377" spans="1:343">
      <c r="A377" s="1">
        <v>1740</v>
      </c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4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4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  <c r="JY377" s="2"/>
      <c r="JZ377" s="2"/>
      <c r="KA377" s="2"/>
      <c r="KB377" s="2"/>
      <c r="KC377" s="2"/>
      <c r="KD377" s="2"/>
      <c r="KE377" s="2"/>
      <c r="KF377" s="2"/>
      <c r="KG377" s="2"/>
      <c r="KH377" s="2"/>
      <c r="KI377" s="2"/>
      <c r="KJ377" s="2"/>
      <c r="KK377" s="2"/>
      <c r="KL377" s="2"/>
      <c r="KM377" s="2"/>
      <c r="KN377" s="2"/>
      <c r="KO377" s="2"/>
      <c r="KP377" s="2"/>
      <c r="KQ377" s="2"/>
      <c r="KR377" s="2"/>
      <c r="KS377" s="2"/>
      <c r="KT377" s="2"/>
      <c r="KU377" s="2"/>
      <c r="KV377" s="2"/>
      <c r="KW377" s="2"/>
      <c r="KX377" s="2"/>
      <c r="KY377" s="2"/>
      <c r="KZ377" s="2"/>
      <c r="LA377" s="2"/>
      <c r="LB377" s="2"/>
      <c r="LC377" s="2"/>
      <c r="LD377" s="2"/>
      <c r="LE377" s="2"/>
      <c r="LF377" s="2"/>
      <c r="LG377" s="2"/>
      <c r="LH377" s="2"/>
      <c r="LI377" s="2"/>
      <c r="LJ377" s="2"/>
      <c r="LK377" s="2"/>
      <c r="LL377" s="2"/>
      <c r="LM377" s="2"/>
      <c r="LN377" s="2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</row>
    <row r="378" spans="1:343">
      <c r="A378" s="1">
        <v>1741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4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4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  <c r="KO378" s="2"/>
      <c r="KP378" s="2"/>
      <c r="KQ378" s="2"/>
      <c r="KR378" s="2"/>
      <c r="KS378" s="2"/>
      <c r="KT378" s="2"/>
      <c r="KU378" s="2"/>
      <c r="KV378" s="2"/>
      <c r="KW378" s="2"/>
      <c r="KX378" s="2"/>
      <c r="KY378" s="2"/>
      <c r="KZ378" s="2"/>
      <c r="LA378" s="2"/>
      <c r="LB378" s="2"/>
      <c r="LC378" s="2"/>
      <c r="LD378" s="2"/>
      <c r="LE378" s="2"/>
      <c r="LF378" s="2"/>
      <c r="LG378" s="2"/>
      <c r="LH378" s="2"/>
      <c r="LI378" s="2"/>
      <c r="LJ378" s="2"/>
      <c r="LK378" s="2"/>
      <c r="LL378" s="2"/>
      <c r="LM378" s="2"/>
      <c r="LN378" s="2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</row>
    <row r="379" spans="1:343">
      <c r="A379" s="1">
        <v>1742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4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4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  <c r="KA379" s="2"/>
      <c r="KB379" s="2"/>
      <c r="KC379" s="2"/>
      <c r="KD379" s="2"/>
      <c r="KE379" s="2"/>
      <c r="KF379" s="2"/>
      <c r="KG379" s="2"/>
      <c r="KH379" s="2"/>
      <c r="KI379" s="2"/>
      <c r="KJ379" s="2"/>
      <c r="KK379" s="2"/>
      <c r="KL379" s="2"/>
      <c r="KM379" s="2"/>
      <c r="KN379" s="2"/>
      <c r="KO379" s="2"/>
      <c r="KP379" s="2"/>
      <c r="KQ379" s="2"/>
      <c r="KR379" s="2"/>
      <c r="KS379" s="2"/>
      <c r="KT379" s="2"/>
      <c r="KU379" s="2"/>
      <c r="KV379" s="2"/>
      <c r="KW379" s="2"/>
      <c r="KX379" s="2"/>
      <c r="KY379" s="2"/>
      <c r="KZ379" s="2"/>
      <c r="LA379" s="2"/>
      <c r="LB379" s="2"/>
      <c r="LC379" s="2"/>
      <c r="LD379" s="2"/>
      <c r="LE379" s="2"/>
      <c r="LF379" s="2"/>
      <c r="LG379" s="2"/>
      <c r="LH379" s="2"/>
      <c r="LI379" s="2"/>
      <c r="LJ379" s="2"/>
      <c r="LK379" s="2"/>
      <c r="LL379" s="2"/>
      <c r="LM379" s="2"/>
      <c r="LN379" s="2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</row>
    <row r="380" spans="1:343">
      <c r="A380" s="1">
        <v>1743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4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4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/>
      <c r="KJ380" s="2"/>
      <c r="KK380" s="2"/>
      <c r="KL380" s="2"/>
      <c r="KM380" s="2"/>
      <c r="KN380" s="2"/>
      <c r="KO380" s="2"/>
      <c r="KP380" s="2"/>
      <c r="KQ380" s="2"/>
      <c r="KR380" s="2"/>
      <c r="KS380" s="2"/>
      <c r="KT380" s="2"/>
      <c r="KU380" s="2"/>
      <c r="KV380" s="2"/>
      <c r="KW380" s="2"/>
      <c r="KX380" s="2"/>
      <c r="KY380" s="2"/>
      <c r="KZ380" s="2"/>
      <c r="LA380" s="2"/>
      <c r="LB380" s="2"/>
      <c r="LC380" s="2"/>
      <c r="LD380" s="2"/>
      <c r="LE380" s="2"/>
      <c r="LF380" s="2"/>
      <c r="LG380" s="2"/>
      <c r="LH380" s="2"/>
      <c r="LI380" s="2"/>
      <c r="LJ380" s="2"/>
      <c r="LK380" s="2"/>
      <c r="LL380" s="2"/>
      <c r="LM380" s="2"/>
      <c r="LN380" s="2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</row>
    <row r="381" spans="1:343">
      <c r="A381" s="1">
        <v>1744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4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4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  <c r="JY381" s="2"/>
      <c r="JZ381" s="2"/>
      <c r="KA381" s="2"/>
      <c r="KB381" s="2"/>
      <c r="KC381" s="2"/>
      <c r="KD381" s="2"/>
      <c r="KE381" s="2"/>
      <c r="KF381" s="2"/>
      <c r="KG381" s="2"/>
      <c r="KH381" s="2"/>
      <c r="KI381" s="2"/>
      <c r="KJ381" s="2"/>
      <c r="KK381" s="2"/>
      <c r="KL381" s="2"/>
      <c r="KM381" s="2"/>
      <c r="KN381" s="2"/>
      <c r="KO381" s="2"/>
      <c r="KP381" s="2"/>
      <c r="KQ381" s="2"/>
      <c r="KR381" s="2"/>
      <c r="KS381" s="2"/>
      <c r="KT381" s="2"/>
      <c r="KU381" s="2"/>
      <c r="KV381" s="2"/>
      <c r="KW381" s="2"/>
      <c r="KX381" s="2"/>
      <c r="KY381" s="2"/>
      <c r="KZ381" s="2"/>
      <c r="LA381" s="2"/>
      <c r="LB381" s="2"/>
      <c r="LC381" s="2"/>
      <c r="LD381" s="2"/>
      <c r="LE381" s="2"/>
      <c r="LF381" s="2"/>
      <c r="LG381" s="2"/>
      <c r="LH381" s="2"/>
      <c r="LI381" s="2"/>
      <c r="LJ381" s="2"/>
      <c r="LK381" s="2"/>
      <c r="LL381" s="2"/>
      <c r="LM381" s="2"/>
      <c r="LN381" s="2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</row>
    <row r="382" spans="1:343">
      <c r="A382" s="1">
        <v>1745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4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4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JY382" s="2"/>
      <c r="JZ382" s="2"/>
      <c r="KA382" s="2"/>
      <c r="KB382" s="2"/>
      <c r="KC382" s="2"/>
      <c r="KD382" s="2"/>
      <c r="KE382" s="2"/>
      <c r="KF382" s="2"/>
      <c r="KG382" s="2"/>
      <c r="KH382" s="2"/>
      <c r="KI382" s="2"/>
      <c r="KJ382" s="2"/>
      <c r="KK382" s="2"/>
      <c r="KL382" s="2"/>
      <c r="KM382" s="2"/>
      <c r="KN382" s="2"/>
      <c r="KO382" s="2"/>
      <c r="KP382" s="2"/>
      <c r="KQ382" s="2"/>
      <c r="KR382" s="2"/>
      <c r="KS382" s="2"/>
      <c r="KT382" s="2"/>
      <c r="KU382" s="2"/>
      <c r="KV382" s="2"/>
      <c r="KW382" s="2"/>
      <c r="KX382" s="2"/>
      <c r="KY382" s="2"/>
      <c r="KZ382" s="2"/>
      <c r="LA382" s="2"/>
      <c r="LB382" s="2"/>
      <c r="LC382" s="2"/>
      <c r="LD382" s="2"/>
      <c r="LE382" s="2"/>
      <c r="LF382" s="2"/>
      <c r="LG382" s="2"/>
      <c r="LH382" s="2"/>
      <c r="LI382" s="2"/>
      <c r="LJ382" s="2"/>
      <c r="LK382" s="2"/>
      <c r="LL382" s="2"/>
      <c r="LM382" s="2"/>
      <c r="LN382" s="2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</row>
    <row r="383" spans="1:343">
      <c r="A383" s="1">
        <v>1746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4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4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JY383" s="2"/>
      <c r="JZ383" s="2"/>
      <c r="KA383" s="2"/>
      <c r="KB383" s="2"/>
      <c r="KC383" s="2"/>
      <c r="KD383" s="2"/>
      <c r="KE383" s="2"/>
      <c r="KF383" s="2"/>
      <c r="KG383" s="2"/>
      <c r="KH383" s="2"/>
      <c r="KI383" s="2"/>
      <c r="KJ383" s="2"/>
      <c r="KK383" s="2"/>
      <c r="KL383" s="2"/>
      <c r="KM383" s="2"/>
      <c r="KN383" s="2"/>
      <c r="KO383" s="2"/>
      <c r="KP383" s="2"/>
      <c r="KQ383" s="2"/>
      <c r="KR383" s="2"/>
      <c r="KS383" s="2"/>
      <c r="KT383" s="2"/>
      <c r="KU383" s="2"/>
      <c r="KV383" s="2"/>
      <c r="KW383" s="2"/>
      <c r="KX383" s="2"/>
      <c r="KY383" s="2"/>
      <c r="KZ383" s="2"/>
      <c r="LA383" s="2"/>
      <c r="LB383" s="2"/>
      <c r="LC383" s="2"/>
      <c r="LD383" s="2"/>
      <c r="LE383" s="2"/>
      <c r="LF383" s="2"/>
      <c r="LG383" s="2"/>
      <c r="LH383" s="2"/>
      <c r="LI383" s="2"/>
      <c r="LJ383" s="2"/>
      <c r="LK383" s="2"/>
      <c r="LL383" s="2"/>
      <c r="LM383" s="2"/>
      <c r="LN383" s="2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</row>
    <row r="384" spans="1:343">
      <c r="A384" s="1">
        <v>1747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4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4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/>
      <c r="KH384" s="2"/>
      <c r="KI384" s="2"/>
      <c r="KJ384" s="2"/>
      <c r="KK384" s="2"/>
      <c r="KL384" s="2"/>
      <c r="KM384" s="2"/>
      <c r="KN384" s="2"/>
      <c r="KO384" s="2"/>
      <c r="KP384" s="2"/>
      <c r="KQ384" s="2"/>
      <c r="KR384" s="2"/>
      <c r="KS384" s="2"/>
      <c r="KT384" s="2"/>
      <c r="KU384" s="2"/>
      <c r="KV384" s="2"/>
      <c r="KW384" s="2"/>
      <c r="KX384" s="2"/>
      <c r="KY384" s="2"/>
      <c r="KZ384" s="2"/>
      <c r="LA384" s="2"/>
      <c r="LB384" s="2"/>
      <c r="LC384" s="2"/>
      <c r="LD384" s="2"/>
      <c r="LE384" s="2"/>
      <c r="LF384" s="2"/>
      <c r="LG384" s="2"/>
      <c r="LH384" s="2"/>
      <c r="LI384" s="2"/>
      <c r="LJ384" s="2"/>
      <c r="LK384" s="2"/>
      <c r="LL384" s="2"/>
      <c r="LM384" s="2"/>
      <c r="LN384" s="2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</row>
    <row r="385" spans="1:343">
      <c r="A385" s="1">
        <v>1748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4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4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/>
      <c r="KW385" s="2"/>
      <c r="KX385" s="2"/>
      <c r="KY385" s="2"/>
      <c r="KZ385" s="2"/>
      <c r="LA385" s="2"/>
      <c r="LB385" s="2"/>
      <c r="LC385" s="2"/>
      <c r="LD385" s="2"/>
      <c r="LE385" s="2"/>
      <c r="LF385" s="2"/>
      <c r="LG385" s="2"/>
      <c r="LH385" s="2"/>
      <c r="LI385" s="2"/>
      <c r="LJ385" s="2"/>
      <c r="LK385" s="2"/>
      <c r="LL385" s="2"/>
      <c r="LM385" s="2"/>
      <c r="LN385" s="2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</row>
    <row r="386" spans="1:343">
      <c r="A386" s="1">
        <v>1749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4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4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  <c r="JY386" s="2"/>
      <c r="JZ386" s="2"/>
      <c r="KA386" s="2"/>
      <c r="KB386" s="2"/>
      <c r="KC386" s="2"/>
      <c r="KD386" s="2"/>
      <c r="KE386" s="2"/>
      <c r="KF386" s="2"/>
      <c r="KG386" s="2"/>
      <c r="KH386" s="2"/>
      <c r="KI386" s="2"/>
      <c r="KJ386" s="2"/>
      <c r="KK386" s="2"/>
      <c r="KL386" s="2"/>
      <c r="KM386" s="2"/>
      <c r="KN386" s="2"/>
      <c r="KO386" s="2"/>
      <c r="KP386" s="2"/>
      <c r="KQ386" s="2"/>
      <c r="KR386" s="2"/>
      <c r="KS386" s="2"/>
      <c r="KT386" s="2"/>
      <c r="KU386" s="2"/>
      <c r="KV386" s="2"/>
      <c r="KW386" s="2"/>
      <c r="KX386" s="2"/>
      <c r="KY386" s="2"/>
      <c r="KZ386" s="2"/>
      <c r="LA386" s="2"/>
      <c r="LB386" s="2"/>
      <c r="LC386" s="2"/>
      <c r="LD386" s="2"/>
      <c r="LE386" s="2"/>
      <c r="LF386" s="2"/>
      <c r="LG386" s="2"/>
      <c r="LH386" s="2"/>
      <c r="LI386" s="2"/>
      <c r="LJ386" s="2"/>
      <c r="LK386" s="2"/>
      <c r="LL386" s="2"/>
      <c r="LM386" s="2"/>
      <c r="LN386" s="2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</row>
    <row r="387" spans="1:343">
      <c r="A387" s="1">
        <v>1750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4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4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  <c r="JY387" s="2"/>
      <c r="JZ387" s="2"/>
      <c r="KA387" s="2"/>
      <c r="KB387" s="2"/>
      <c r="KC387" s="2"/>
      <c r="KD387" s="2"/>
      <c r="KE387" s="2"/>
      <c r="KF387" s="2"/>
      <c r="KG387" s="2"/>
      <c r="KH387" s="2"/>
      <c r="KI387" s="2"/>
      <c r="KJ387" s="2"/>
      <c r="KK387" s="2"/>
      <c r="KL387" s="2"/>
      <c r="KM387" s="2"/>
      <c r="KN387" s="2"/>
      <c r="KO387" s="2"/>
      <c r="KP387" s="2"/>
      <c r="KQ387" s="2"/>
      <c r="KR387" s="2"/>
      <c r="KS387" s="2"/>
      <c r="KT387" s="2"/>
      <c r="KU387" s="2"/>
      <c r="KV387" s="2"/>
      <c r="KW387" s="2"/>
      <c r="KX387" s="2"/>
      <c r="KY387" s="2"/>
      <c r="KZ387" s="2"/>
      <c r="LA387" s="2"/>
      <c r="LB387" s="2"/>
      <c r="LC387" s="2"/>
      <c r="LD387" s="2"/>
      <c r="LE387" s="2"/>
      <c r="LF387" s="2"/>
      <c r="LG387" s="2"/>
      <c r="LH387" s="2"/>
      <c r="LI387" s="2"/>
      <c r="LJ387" s="2"/>
      <c r="LK387" s="2"/>
      <c r="LL387" s="2"/>
      <c r="LM387" s="2"/>
      <c r="LN387" s="2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</row>
    <row r="388" spans="1:343">
      <c r="A388" s="1">
        <v>1751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4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4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  <c r="JY388" s="2"/>
      <c r="JZ388" s="2"/>
      <c r="KA388" s="2"/>
      <c r="KB388" s="2"/>
      <c r="KC388" s="2"/>
      <c r="KD388" s="2"/>
      <c r="KE388" s="2"/>
      <c r="KF388" s="2"/>
      <c r="KG388" s="2"/>
      <c r="KH388" s="2"/>
      <c r="KI388" s="2"/>
      <c r="KJ388" s="2"/>
      <c r="KK388" s="2"/>
      <c r="KL388" s="2"/>
      <c r="KM388" s="2"/>
      <c r="KN388" s="2"/>
      <c r="KO388" s="2"/>
      <c r="KP388" s="2"/>
      <c r="KQ388" s="2"/>
      <c r="KR388" s="2"/>
      <c r="KS388" s="2"/>
      <c r="KT388" s="2"/>
      <c r="KU388" s="2"/>
      <c r="KV388" s="2"/>
      <c r="KW388" s="2"/>
      <c r="KX388" s="2"/>
      <c r="KY388" s="2"/>
      <c r="KZ388" s="2"/>
      <c r="LA388" s="2"/>
      <c r="LB388" s="2"/>
      <c r="LC388" s="2"/>
      <c r="LD388" s="2"/>
      <c r="LE388" s="2"/>
      <c r="LF388" s="2"/>
      <c r="LG388" s="2"/>
      <c r="LH388" s="2"/>
      <c r="LI388" s="2"/>
      <c r="LJ388" s="2"/>
      <c r="LK388" s="2"/>
      <c r="LL388" s="2"/>
      <c r="LM388" s="2"/>
      <c r="LN388" s="2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</row>
    <row r="389" spans="1:343">
      <c r="A389" s="1">
        <v>1752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4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4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  <c r="JY389" s="2"/>
      <c r="JZ389" s="2"/>
      <c r="KA389" s="2"/>
      <c r="KB389" s="2"/>
      <c r="KC389" s="2"/>
      <c r="KD389" s="2"/>
      <c r="KE389" s="2"/>
      <c r="KF389" s="2"/>
      <c r="KG389" s="2"/>
      <c r="KH389" s="2"/>
      <c r="KI389" s="2"/>
      <c r="KJ389" s="2"/>
      <c r="KK389" s="2"/>
      <c r="KL389" s="2"/>
      <c r="KM389" s="2"/>
      <c r="KN389" s="2"/>
      <c r="KO389" s="2"/>
      <c r="KP389" s="2"/>
      <c r="KQ389" s="2"/>
      <c r="KR389" s="2"/>
      <c r="KS389" s="2"/>
      <c r="KT389" s="2"/>
      <c r="KU389" s="2"/>
      <c r="KV389" s="2"/>
      <c r="KW389" s="2"/>
      <c r="KX389" s="2"/>
      <c r="KY389" s="2"/>
      <c r="KZ389" s="2"/>
      <c r="LA389" s="2"/>
      <c r="LB389" s="2"/>
      <c r="LC389" s="2"/>
      <c r="LD389" s="2"/>
      <c r="LE389" s="2"/>
      <c r="LF389" s="2"/>
      <c r="LG389" s="2"/>
      <c r="LH389" s="2"/>
      <c r="LI389" s="2"/>
      <c r="LJ389" s="2"/>
      <c r="LK389" s="2"/>
      <c r="LL389" s="2"/>
      <c r="LM389" s="2"/>
      <c r="LN389" s="2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</row>
    <row r="390" spans="1:343">
      <c r="A390" s="1">
        <v>1753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4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4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  <c r="JY390" s="2"/>
      <c r="JZ390" s="2"/>
      <c r="KA390" s="2"/>
      <c r="KB390" s="2"/>
      <c r="KC390" s="2"/>
      <c r="KD390" s="2"/>
      <c r="KE390" s="2"/>
      <c r="KF390" s="2"/>
      <c r="KG390" s="2"/>
      <c r="KH390" s="2"/>
      <c r="KI390" s="2"/>
      <c r="KJ390" s="2"/>
      <c r="KK390" s="2"/>
      <c r="KL390" s="2"/>
      <c r="KM390" s="2"/>
      <c r="KN390" s="2"/>
      <c r="KO390" s="2"/>
      <c r="KP390" s="2"/>
      <c r="KQ390" s="2"/>
      <c r="KR390" s="2"/>
      <c r="KS390" s="2"/>
      <c r="KT390" s="2"/>
      <c r="KU390" s="2"/>
      <c r="KV390" s="2"/>
      <c r="KW390" s="2"/>
      <c r="KX390" s="2"/>
      <c r="KY390" s="2"/>
      <c r="KZ390" s="2"/>
      <c r="LA390" s="2"/>
      <c r="LB390" s="2"/>
      <c r="LC390" s="2"/>
      <c r="LD390" s="2"/>
      <c r="LE390" s="2"/>
      <c r="LF390" s="2"/>
      <c r="LG390" s="2"/>
      <c r="LH390" s="2"/>
      <c r="LI390" s="2"/>
      <c r="LJ390" s="2"/>
      <c r="LK390" s="2"/>
      <c r="LL390" s="2"/>
      <c r="LM390" s="2"/>
      <c r="LN390" s="2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</row>
    <row r="391" spans="1:343">
      <c r="A391" s="1">
        <v>1754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4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4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  <c r="JY391" s="2"/>
      <c r="JZ391" s="2"/>
      <c r="KA391" s="2"/>
      <c r="KB391" s="2"/>
      <c r="KC391" s="2"/>
      <c r="KD391" s="2"/>
      <c r="KE391" s="2"/>
      <c r="KF391" s="2"/>
      <c r="KG391" s="2"/>
      <c r="KH391" s="2"/>
      <c r="KI391" s="2"/>
      <c r="KJ391" s="2"/>
      <c r="KK391" s="2"/>
      <c r="KL391" s="2"/>
      <c r="KM391" s="2"/>
      <c r="KN391" s="2"/>
      <c r="KO391" s="2"/>
      <c r="KP391" s="2"/>
      <c r="KQ391" s="2"/>
      <c r="KR391" s="2"/>
      <c r="KS391" s="2"/>
      <c r="KT391" s="2"/>
      <c r="KU391" s="2"/>
      <c r="KV391" s="2"/>
      <c r="KW391" s="2"/>
      <c r="KX391" s="2"/>
      <c r="KY391" s="2"/>
      <c r="KZ391" s="2"/>
      <c r="LA391" s="2"/>
      <c r="LB391" s="2"/>
      <c r="LC391" s="2"/>
      <c r="LD391" s="2"/>
      <c r="LE391" s="2"/>
      <c r="LF391" s="2"/>
      <c r="LG391" s="2"/>
      <c r="LH391" s="2"/>
      <c r="LI391" s="2"/>
      <c r="LJ391" s="2"/>
      <c r="LK391" s="2"/>
      <c r="LL391" s="2"/>
      <c r="LM391" s="2"/>
      <c r="LN391" s="2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</row>
    <row r="392" spans="1:343">
      <c r="A392" s="1">
        <v>1755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4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4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  <c r="JY392" s="2"/>
      <c r="JZ392" s="2"/>
      <c r="KA392" s="2"/>
      <c r="KB392" s="2"/>
      <c r="KC392" s="2"/>
      <c r="KD392" s="2"/>
      <c r="KE392" s="2"/>
      <c r="KF392" s="2"/>
      <c r="KG392" s="2"/>
      <c r="KH392" s="2"/>
      <c r="KI392" s="2"/>
      <c r="KJ392" s="2"/>
      <c r="KK392" s="2"/>
      <c r="KL392" s="2"/>
      <c r="KM392" s="2"/>
      <c r="KN392" s="2"/>
      <c r="KO392" s="2"/>
      <c r="KP392" s="2"/>
      <c r="KQ392" s="2"/>
      <c r="KR392" s="2"/>
      <c r="KS392" s="2"/>
      <c r="KT392" s="2"/>
      <c r="KU392" s="2"/>
      <c r="KV392" s="2"/>
      <c r="KW392" s="2"/>
      <c r="KX392" s="2"/>
      <c r="KY392" s="2"/>
      <c r="KZ392" s="2"/>
      <c r="LA392" s="2"/>
      <c r="LB392" s="2"/>
      <c r="LC392" s="2"/>
      <c r="LD392" s="2"/>
      <c r="LE392" s="2"/>
      <c r="LF392" s="2"/>
      <c r="LG392" s="2"/>
      <c r="LH392" s="2"/>
      <c r="LI392" s="2"/>
      <c r="LJ392" s="2"/>
      <c r="LK392" s="2"/>
      <c r="LL392" s="2"/>
      <c r="LM392" s="2"/>
      <c r="LN392" s="2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</row>
    <row r="393" spans="1:343">
      <c r="A393" s="1">
        <v>1756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4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4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  <c r="JY393" s="2"/>
      <c r="JZ393" s="2"/>
      <c r="KA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  <c r="KO393" s="2"/>
      <c r="KP393" s="2"/>
      <c r="KQ393" s="2"/>
      <c r="KR393" s="2"/>
      <c r="KS393" s="2"/>
      <c r="KT393" s="2"/>
      <c r="KU393" s="2"/>
      <c r="KV393" s="2"/>
      <c r="KW393" s="2"/>
      <c r="KX393" s="2"/>
      <c r="KY393" s="2"/>
      <c r="KZ393" s="2"/>
      <c r="LA393" s="2"/>
      <c r="LB393" s="2"/>
      <c r="LC393" s="2"/>
      <c r="LD393" s="2"/>
      <c r="LE393" s="2"/>
      <c r="LF393" s="2"/>
      <c r="LG393" s="2"/>
      <c r="LH393" s="2"/>
      <c r="LI393" s="2"/>
      <c r="LJ393" s="2"/>
      <c r="LK393" s="2"/>
      <c r="LL393" s="2"/>
      <c r="LM393" s="2"/>
      <c r="LN393" s="2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</row>
    <row r="394" spans="1:343">
      <c r="A394" s="1">
        <v>1757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4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4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/>
      <c r="KJ394" s="2"/>
      <c r="KK394" s="2"/>
      <c r="KL394" s="2"/>
      <c r="KM394" s="2"/>
      <c r="KN394" s="2"/>
      <c r="KO394" s="2"/>
      <c r="KP394" s="2"/>
      <c r="KQ394" s="2"/>
      <c r="KR394" s="2"/>
      <c r="KS394" s="2"/>
      <c r="KT394" s="2"/>
      <c r="KU394" s="2"/>
      <c r="KV394" s="2"/>
      <c r="KW394" s="2"/>
      <c r="KX394" s="2"/>
      <c r="KY394" s="2"/>
      <c r="KZ394" s="2"/>
      <c r="LA394" s="2"/>
      <c r="LB394" s="2"/>
      <c r="LC394" s="2"/>
      <c r="LD394" s="2"/>
      <c r="LE394" s="2"/>
      <c r="LF394" s="2"/>
      <c r="LG394" s="2"/>
      <c r="LH394" s="2"/>
      <c r="LI394" s="2"/>
      <c r="LJ394" s="2"/>
      <c r="LK394" s="2"/>
      <c r="LL394" s="2"/>
      <c r="LM394" s="2"/>
      <c r="LN394" s="2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</row>
    <row r="395" spans="1:343">
      <c r="A395" s="1">
        <v>1758</v>
      </c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4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4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  <c r="KO395" s="2"/>
      <c r="KP395" s="2"/>
      <c r="KQ395" s="2"/>
      <c r="KR395" s="2"/>
      <c r="KS395" s="2"/>
      <c r="KT395" s="2"/>
      <c r="KU395" s="2"/>
      <c r="KV395" s="2"/>
      <c r="KW395" s="2"/>
      <c r="KX395" s="2"/>
      <c r="KY395" s="2"/>
      <c r="KZ395" s="2"/>
      <c r="LA395" s="2"/>
      <c r="LB395" s="2"/>
      <c r="LC395" s="2"/>
      <c r="LD395" s="2"/>
      <c r="LE395" s="2"/>
      <c r="LF395" s="2"/>
      <c r="LG395" s="2"/>
      <c r="LH395" s="2"/>
      <c r="LI395" s="2"/>
      <c r="LJ395" s="2"/>
      <c r="LK395" s="2"/>
      <c r="LL395" s="2"/>
      <c r="LM395" s="2"/>
      <c r="LN395" s="2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</row>
    <row r="396" spans="1:343">
      <c r="A396" s="1">
        <v>1759</v>
      </c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4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4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  <c r="JY396" s="2"/>
      <c r="JZ396" s="2"/>
      <c r="KA396" s="2"/>
      <c r="KB396" s="2"/>
      <c r="KC396" s="2"/>
      <c r="KD396" s="2"/>
      <c r="KE396" s="2"/>
      <c r="KF396" s="2"/>
      <c r="KG396" s="2"/>
      <c r="KH396" s="2"/>
      <c r="KI396" s="2"/>
      <c r="KJ396" s="2"/>
      <c r="KK396" s="2"/>
      <c r="KL396" s="2"/>
      <c r="KM396" s="2"/>
      <c r="KN396" s="2"/>
      <c r="KO396" s="2"/>
      <c r="KP396" s="2"/>
      <c r="KQ396" s="2"/>
      <c r="KR396" s="2"/>
      <c r="KS396" s="2"/>
      <c r="KT396" s="2"/>
      <c r="KU396" s="2"/>
      <c r="KV396" s="2"/>
      <c r="KW396" s="2"/>
      <c r="KX396" s="2"/>
      <c r="KY396" s="2"/>
      <c r="KZ396" s="2"/>
      <c r="LA396" s="2"/>
      <c r="LB396" s="2"/>
      <c r="LC396" s="2"/>
      <c r="LD396" s="2"/>
      <c r="LE396" s="2"/>
      <c r="LF396" s="2"/>
      <c r="LG396" s="2"/>
      <c r="LH396" s="2"/>
      <c r="LI396" s="2"/>
      <c r="LJ396" s="2"/>
      <c r="LK396" s="2"/>
      <c r="LL396" s="2"/>
      <c r="LM396" s="2"/>
      <c r="LN396" s="2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</row>
    <row r="397" spans="1:343">
      <c r="A397" s="1">
        <v>1760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4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4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  <c r="JY397" s="2"/>
      <c r="JZ397" s="2"/>
      <c r="KA397" s="2"/>
      <c r="KB397" s="2"/>
      <c r="KC397" s="2"/>
      <c r="KD397" s="2"/>
      <c r="KE397" s="2"/>
      <c r="KF397" s="2"/>
      <c r="KG397" s="2"/>
      <c r="KH397" s="2"/>
      <c r="KI397" s="2"/>
      <c r="KJ397" s="2"/>
      <c r="KK397" s="2"/>
      <c r="KL397" s="2"/>
      <c r="KM397" s="2"/>
      <c r="KN397" s="2"/>
      <c r="KO397" s="2"/>
      <c r="KP397" s="2"/>
      <c r="KQ397" s="2"/>
      <c r="KR397" s="2"/>
      <c r="KS397" s="2"/>
      <c r="KT397" s="2"/>
      <c r="KU397" s="2"/>
      <c r="KV397" s="2"/>
      <c r="KW397" s="2"/>
      <c r="KX397" s="2"/>
      <c r="KY397" s="2"/>
      <c r="KZ397" s="2"/>
      <c r="LA397" s="2"/>
      <c r="LB397" s="2"/>
      <c r="LC397" s="2"/>
      <c r="LD397" s="2"/>
      <c r="LE397" s="2"/>
      <c r="LF397" s="2"/>
      <c r="LG397" s="2"/>
      <c r="LH397" s="2"/>
      <c r="LI397" s="2"/>
      <c r="LJ397" s="2"/>
      <c r="LK397" s="2"/>
      <c r="LL397" s="2"/>
      <c r="LM397" s="2"/>
      <c r="LN397" s="2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</row>
    <row r="398" spans="1:343">
      <c r="A398" s="1">
        <v>1761</v>
      </c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4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4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  <c r="JY398" s="2"/>
      <c r="JZ398" s="2"/>
      <c r="KA398" s="2"/>
      <c r="KB398" s="2"/>
      <c r="KC398" s="2"/>
      <c r="KD398" s="2"/>
      <c r="KE398" s="2"/>
      <c r="KF398" s="2"/>
      <c r="KG398" s="2"/>
      <c r="KH398" s="2"/>
      <c r="KI398" s="2"/>
      <c r="KJ398" s="2"/>
      <c r="KK398" s="2"/>
      <c r="KL398" s="2"/>
      <c r="KM398" s="2"/>
      <c r="KN398" s="2"/>
      <c r="KO398" s="2"/>
      <c r="KP398" s="2"/>
      <c r="KQ398" s="2"/>
      <c r="KR398" s="2"/>
      <c r="KS398" s="2"/>
      <c r="KT398" s="2"/>
      <c r="KU398" s="2"/>
      <c r="KV398" s="2"/>
      <c r="KW398" s="2"/>
      <c r="KX398" s="2"/>
      <c r="KY398" s="2"/>
      <c r="KZ398" s="2"/>
      <c r="LA398" s="2"/>
      <c r="LB398" s="2"/>
      <c r="LC398" s="2"/>
      <c r="LD398" s="2"/>
      <c r="LE398" s="2"/>
      <c r="LF398" s="2"/>
      <c r="LG398" s="2"/>
      <c r="LH398" s="2"/>
      <c r="LI398" s="2"/>
      <c r="LJ398" s="2"/>
      <c r="LK398" s="2"/>
      <c r="LL398" s="2"/>
      <c r="LM398" s="2"/>
      <c r="LN398" s="2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</row>
    <row r="399" spans="1:343">
      <c r="A399" s="1">
        <v>1762</v>
      </c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4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4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  <c r="JY399" s="2"/>
      <c r="JZ399" s="2"/>
      <c r="KA399" s="2"/>
      <c r="KB399" s="2"/>
      <c r="KC399" s="2"/>
      <c r="KD399" s="2"/>
      <c r="KE399" s="2"/>
      <c r="KF399" s="2"/>
      <c r="KG399" s="2"/>
      <c r="KH399" s="2"/>
      <c r="KI399" s="2"/>
      <c r="KJ399" s="2"/>
      <c r="KK399" s="2"/>
      <c r="KL399" s="2"/>
      <c r="KM399" s="2"/>
      <c r="KN399" s="2"/>
      <c r="KO399" s="2"/>
      <c r="KP399" s="2"/>
      <c r="KQ399" s="2"/>
      <c r="KR399" s="2"/>
      <c r="KS399" s="2"/>
      <c r="KT399" s="2"/>
      <c r="KU399" s="2"/>
      <c r="KV399" s="2"/>
      <c r="KW399" s="2"/>
      <c r="KX399" s="2"/>
      <c r="KY399" s="2"/>
      <c r="KZ399" s="2"/>
      <c r="LA399" s="2"/>
      <c r="LB399" s="2"/>
      <c r="LC399" s="2"/>
      <c r="LD399" s="2"/>
      <c r="LE399" s="2"/>
      <c r="LF399" s="2"/>
      <c r="LG399" s="2"/>
      <c r="LH399" s="2"/>
      <c r="LI399" s="2"/>
      <c r="LJ399" s="2"/>
      <c r="LK399" s="2"/>
      <c r="LL399" s="2"/>
      <c r="LM399" s="2"/>
      <c r="LN399" s="2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</row>
    <row r="400" spans="1:343">
      <c r="A400" s="1">
        <v>1763</v>
      </c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4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4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  <c r="JY400" s="2"/>
      <c r="JZ400" s="2"/>
      <c r="KA400" s="2"/>
      <c r="KB400" s="2"/>
      <c r="KC400" s="2"/>
      <c r="KD400" s="2"/>
      <c r="KE400" s="2"/>
      <c r="KF400" s="2"/>
      <c r="KG400" s="2"/>
      <c r="KH400" s="2"/>
      <c r="KI400" s="2"/>
      <c r="KJ400" s="2"/>
      <c r="KK400" s="2"/>
      <c r="KL400" s="2"/>
      <c r="KM400" s="2"/>
      <c r="KN400" s="2"/>
      <c r="KO400" s="2"/>
      <c r="KP400" s="2"/>
      <c r="KQ400" s="2"/>
      <c r="KR400" s="2"/>
      <c r="KS400" s="2"/>
      <c r="KT400" s="2"/>
      <c r="KU400" s="2"/>
      <c r="KV400" s="2"/>
      <c r="KW400" s="2"/>
      <c r="KX400" s="2"/>
      <c r="KY400" s="2"/>
      <c r="KZ400" s="2"/>
      <c r="LA400" s="2"/>
      <c r="LB400" s="2"/>
      <c r="LC400" s="2"/>
      <c r="LD400" s="2"/>
      <c r="LE400" s="2"/>
      <c r="LF400" s="2"/>
      <c r="LG400" s="2"/>
      <c r="LH400" s="2"/>
      <c r="LI400" s="2"/>
      <c r="LJ400" s="2"/>
      <c r="LK400" s="2"/>
      <c r="LL400" s="2"/>
      <c r="LM400" s="2"/>
      <c r="LN400" s="2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</row>
    <row r="401" spans="1:343">
      <c r="A401" s="1">
        <v>1764</v>
      </c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4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4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  <c r="JY401" s="2"/>
      <c r="JZ401" s="2"/>
      <c r="KA401" s="2"/>
      <c r="KB401" s="2"/>
      <c r="KC401" s="2"/>
      <c r="KD401" s="2"/>
      <c r="KE401" s="2"/>
      <c r="KF401" s="2"/>
      <c r="KG401" s="2"/>
      <c r="KH401" s="2"/>
      <c r="KI401" s="2"/>
      <c r="KJ401" s="2"/>
      <c r="KK401" s="2"/>
      <c r="KL401" s="2"/>
      <c r="KM401" s="2"/>
      <c r="KN401" s="2"/>
      <c r="KO401" s="2"/>
      <c r="KP401" s="2"/>
      <c r="KQ401" s="2"/>
      <c r="KR401" s="2"/>
      <c r="KS401" s="2"/>
      <c r="KT401" s="2"/>
      <c r="KU401" s="2"/>
      <c r="KV401" s="2"/>
      <c r="KW401" s="2"/>
      <c r="KX401" s="2"/>
      <c r="KY401" s="2"/>
      <c r="KZ401" s="2"/>
      <c r="LA401" s="2"/>
      <c r="LB401" s="2"/>
      <c r="LC401" s="2"/>
      <c r="LD401" s="2"/>
      <c r="LE401" s="2"/>
      <c r="LF401" s="2"/>
      <c r="LG401" s="2"/>
      <c r="LH401" s="2"/>
      <c r="LI401" s="2"/>
      <c r="LJ401" s="2"/>
      <c r="LK401" s="2"/>
      <c r="LL401" s="2"/>
      <c r="LM401" s="2"/>
      <c r="LN401" s="2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</row>
    <row r="402" spans="1:343">
      <c r="A402" s="1">
        <v>1765</v>
      </c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4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4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  <c r="JY402" s="2"/>
      <c r="JZ402" s="2"/>
      <c r="KA402" s="2"/>
      <c r="KB402" s="2"/>
      <c r="KC402" s="2"/>
      <c r="KD402" s="2"/>
      <c r="KE402" s="2"/>
      <c r="KF402" s="2"/>
      <c r="KG402" s="2"/>
      <c r="KH402" s="2"/>
      <c r="KI402" s="2"/>
      <c r="KJ402" s="2"/>
      <c r="KK402" s="2"/>
      <c r="KL402" s="2"/>
      <c r="KM402" s="2"/>
      <c r="KN402" s="2"/>
      <c r="KO402" s="2"/>
      <c r="KP402" s="2"/>
      <c r="KQ402" s="2"/>
      <c r="KR402" s="2"/>
      <c r="KS402" s="2"/>
      <c r="KT402" s="2"/>
      <c r="KU402" s="2"/>
      <c r="KV402" s="2"/>
      <c r="KW402" s="2"/>
      <c r="KX402" s="2"/>
      <c r="KY402" s="2"/>
      <c r="KZ402" s="2"/>
      <c r="LA402" s="2"/>
      <c r="LB402" s="2"/>
      <c r="LC402" s="2"/>
      <c r="LD402" s="2"/>
      <c r="LE402" s="2"/>
      <c r="LF402" s="2"/>
      <c r="LG402" s="2"/>
      <c r="LH402" s="2"/>
      <c r="LI402" s="2"/>
      <c r="LJ402" s="2"/>
      <c r="LK402" s="2"/>
      <c r="LL402" s="2"/>
      <c r="LM402" s="2"/>
      <c r="LN402" s="2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</row>
    <row r="403" spans="1:343">
      <c r="A403" s="1">
        <v>1766</v>
      </c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4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4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  <c r="JY403" s="2"/>
      <c r="JZ403" s="2"/>
      <c r="KA403" s="2"/>
      <c r="KB403" s="2"/>
      <c r="KC403" s="2"/>
      <c r="KD403" s="2"/>
      <c r="KE403" s="2"/>
      <c r="KF403" s="2"/>
      <c r="KG403" s="2"/>
      <c r="KH403" s="2"/>
      <c r="KI403" s="2"/>
      <c r="KJ403" s="2"/>
      <c r="KK403" s="2"/>
      <c r="KL403" s="2"/>
      <c r="KM403" s="2"/>
      <c r="KN403" s="2"/>
      <c r="KO403" s="2"/>
      <c r="KP403" s="2"/>
      <c r="KQ403" s="2"/>
      <c r="KR403" s="2"/>
      <c r="KS403" s="2"/>
      <c r="KT403" s="2"/>
      <c r="KU403" s="2"/>
      <c r="KV403" s="2"/>
      <c r="KW403" s="2"/>
      <c r="KX403" s="2"/>
      <c r="KY403" s="2"/>
      <c r="KZ403" s="2"/>
      <c r="LA403" s="2"/>
      <c r="LB403" s="2"/>
      <c r="LC403" s="2"/>
      <c r="LD403" s="2"/>
      <c r="LE403" s="2"/>
      <c r="LF403" s="2"/>
      <c r="LG403" s="2"/>
      <c r="LH403" s="2"/>
      <c r="LI403" s="2"/>
      <c r="LJ403" s="2"/>
      <c r="LK403" s="2"/>
      <c r="LL403" s="2"/>
      <c r="LM403" s="2"/>
      <c r="LN403" s="2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</row>
    <row r="404" spans="1:343">
      <c r="A404" s="1">
        <v>1767</v>
      </c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4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4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  <c r="JY404" s="2"/>
      <c r="JZ404" s="2"/>
      <c r="KA404" s="2"/>
      <c r="KB404" s="2"/>
      <c r="KC404" s="2"/>
      <c r="KD404" s="2"/>
      <c r="KE404" s="2"/>
      <c r="KF404" s="2"/>
      <c r="KG404" s="2"/>
      <c r="KH404" s="2"/>
      <c r="KI404" s="2"/>
      <c r="KJ404" s="2"/>
      <c r="KK404" s="2"/>
      <c r="KL404" s="2"/>
      <c r="KM404" s="2"/>
      <c r="KN404" s="2"/>
      <c r="KO404" s="2"/>
      <c r="KP404" s="2"/>
      <c r="KQ404" s="2"/>
      <c r="KR404" s="2"/>
      <c r="KS404" s="2"/>
      <c r="KT404" s="2"/>
      <c r="KU404" s="2"/>
      <c r="KV404" s="2"/>
      <c r="KW404" s="2"/>
      <c r="KX404" s="2"/>
      <c r="KY404" s="2"/>
      <c r="KZ404" s="2"/>
      <c r="LA404" s="2"/>
      <c r="LB404" s="2"/>
      <c r="LC404" s="2"/>
      <c r="LD404" s="2"/>
      <c r="LE404" s="2"/>
      <c r="LF404" s="2"/>
      <c r="LG404" s="2"/>
      <c r="LH404" s="2"/>
      <c r="LI404" s="2"/>
      <c r="LJ404" s="2"/>
      <c r="LK404" s="2"/>
      <c r="LL404" s="2"/>
      <c r="LM404" s="2"/>
      <c r="LN404" s="2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</row>
    <row r="405" spans="1:343">
      <c r="A405" s="1">
        <v>1768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4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4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  <c r="JY405" s="2"/>
      <c r="JZ405" s="2"/>
      <c r="KA405" s="2"/>
      <c r="KB405" s="2"/>
      <c r="KC405" s="2"/>
      <c r="KD405" s="2"/>
      <c r="KE405" s="2"/>
      <c r="KF405" s="2"/>
      <c r="KG405" s="2"/>
      <c r="KH405" s="2"/>
      <c r="KI405" s="2"/>
      <c r="KJ405" s="2"/>
      <c r="KK405" s="2"/>
      <c r="KL405" s="2"/>
      <c r="KM405" s="2"/>
      <c r="KN405" s="2"/>
      <c r="KO405" s="2"/>
      <c r="KP405" s="2"/>
      <c r="KQ405" s="2"/>
      <c r="KR405" s="2"/>
      <c r="KS405" s="2"/>
      <c r="KT405" s="2"/>
      <c r="KU405" s="2"/>
      <c r="KV405" s="2"/>
      <c r="KW405" s="2"/>
      <c r="KX405" s="2"/>
      <c r="KY405" s="2"/>
      <c r="KZ405" s="2"/>
      <c r="LA405" s="2"/>
      <c r="LB405" s="2"/>
      <c r="LC405" s="2"/>
      <c r="LD405" s="2"/>
      <c r="LE405" s="2"/>
      <c r="LF405" s="2"/>
      <c r="LG405" s="2"/>
      <c r="LH405" s="2"/>
      <c r="LI405" s="2"/>
      <c r="LJ405" s="2"/>
      <c r="LK405" s="2"/>
      <c r="LL405" s="2"/>
      <c r="LM405" s="2"/>
      <c r="LN405" s="2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</row>
    <row r="406" spans="1:343">
      <c r="A406" s="1">
        <v>1769</v>
      </c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4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4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  <c r="JY406" s="2"/>
      <c r="JZ406" s="2"/>
      <c r="KA406" s="2"/>
      <c r="KB406" s="2"/>
      <c r="KC406" s="2"/>
      <c r="KD406" s="2"/>
      <c r="KE406" s="2"/>
      <c r="KF406" s="2"/>
      <c r="KG406" s="2"/>
      <c r="KH406" s="2"/>
      <c r="KI406" s="2"/>
      <c r="KJ406" s="2"/>
      <c r="KK406" s="2"/>
      <c r="KL406" s="2"/>
      <c r="KM406" s="2"/>
      <c r="KN406" s="2"/>
      <c r="KO406" s="2"/>
      <c r="KP406" s="2"/>
      <c r="KQ406" s="2"/>
      <c r="KR406" s="2"/>
      <c r="KS406" s="2"/>
      <c r="KT406" s="2"/>
      <c r="KU406" s="2"/>
      <c r="KV406" s="2"/>
      <c r="KW406" s="2"/>
      <c r="KX406" s="2"/>
      <c r="KY406" s="2"/>
      <c r="KZ406" s="2"/>
      <c r="LA406" s="2"/>
      <c r="LB406" s="2"/>
      <c r="LC406" s="2"/>
      <c r="LD406" s="2"/>
      <c r="LE406" s="2"/>
      <c r="LF406" s="2"/>
      <c r="LG406" s="2"/>
      <c r="LH406" s="2"/>
      <c r="LI406" s="2"/>
      <c r="LJ406" s="2"/>
      <c r="LK406" s="2"/>
      <c r="LL406" s="2"/>
      <c r="LM406" s="2"/>
      <c r="LN406" s="2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</row>
    <row r="407" spans="1:343">
      <c r="A407" s="1">
        <v>1770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4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4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  <c r="JY407" s="2"/>
      <c r="JZ407" s="2"/>
      <c r="KA407" s="2"/>
      <c r="KB407" s="2"/>
      <c r="KC407" s="2"/>
      <c r="KD407" s="2"/>
      <c r="KE407" s="2"/>
      <c r="KF407" s="2"/>
      <c r="KG407" s="2"/>
      <c r="KH407" s="2"/>
      <c r="KI407" s="2"/>
      <c r="KJ407" s="2"/>
      <c r="KK407" s="2"/>
      <c r="KL407" s="2"/>
      <c r="KM407" s="2"/>
      <c r="KN407" s="2"/>
      <c r="KO407" s="2"/>
      <c r="KP407" s="2"/>
      <c r="KQ407" s="2"/>
      <c r="KR407" s="2"/>
      <c r="KS407" s="2"/>
      <c r="KT407" s="2"/>
      <c r="KU407" s="2"/>
      <c r="KV407" s="2"/>
      <c r="KW407" s="2"/>
      <c r="KX407" s="2"/>
      <c r="KY407" s="2"/>
      <c r="KZ407" s="2"/>
      <c r="LA407" s="2"/>
      <c r="LB407" s="2"/>
      <c r="LC407" s="2"/>
      <c r="LD407" s="2"/>
      <c r="LE407" s="2"/>
      <c r="LF407" s="2"/>
      <c r="LG407" s="2"/>
      <c r="LH407" s="2"/>
      <c r="LI407" s="2"/>
      <c r="LJ407" s="2"/>
      <c r="LK407" s="2"/>
      <c r="LL407" s="2"/>
      <c r="LM407" s="2"/>
      <c r="LN407" s="2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</row>
    <row r="408" spans="1:343">
      <c r="A408" s="1">
        <v>1771</v>
      </c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4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4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  <c r="JY408" s="2"/>
      <c r="JZ408" s="2"/>
      <c r="KA408" s="2"/>
      <c r="KB408" s="2"/>
      <c r="KC408" s="2"/>
      <c r="KD408" s="2"/>
      <c r="KE408" s="2"/>
      <c r="KF408" s="2"/>
      <c r="KG408" s="2"/>
      <c r="KH408" s="2"/>
      <c r="KI408" s="2"/>
      <c r="KJ408" s="2"/>
      <c r="KK408" s="2"/>
      <c r="KL408" s="2"/>
      <c r="KM408" s="2"/>
      <c r="KN408" s="2"/>
      <c r="KO408" s="2"/>
      <c r="KP408" s="2"/>
      <c r="KQ408" s="2"/>
      <c r="KR408" s="2"/>
      <c r="KS408" s="2"/>
      <c r="KT408" s="2"/>
      <c r="KU408" s="2"/>
      <c r="KV408" s="2"/>
      <c r="KW408" s="2"/>
      <c r="KX408" s="2"/>
      <c r="KY408" s="2"/>
      <c r="KZ408" s="2"/>
      <c r="LA408" s="2"/>
      <c r="LB408" s="2"/>
      <c r="LC408" s="2"/>
      <c r="LD408" s="2"/>
      <c r="LE408" s="2"/>
      <c r="LF408" s="2"/>
      <c r="LG408" s="2"/>
      <c r="LH408" s="2"/>
      <c r="LI408" s="2"/>
      <c r="LJ408" s="2"/>
      <c r="LK408" s="2"/>
      <c r="LL408" s="2"/>
      <c r="LM408" s="2"/>
      <c r="LN408" s="2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</row>
    <row r="409" spans="1:343">
      <c r="A409" s="1">
        <v>1772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4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4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  <c r="JY409" s="2"/>
      <c r="JZ409" s="2"/>
      <c r="KA409" s="2"/>
      <c r="KB409" s="2"/>
      <c r="KC409" s="2"/>
      <c r="KD409" s="2"/>
      <c r="KE409" s="2"/>
      <c r="KF409" s="2"/>
      <c r="KG409" s="2"/>
      <c r="KH409" s="2"/>
      <c r="KI409" s="2"/>
      <c r="KJ409" s="2"/>
      <c r="KK409" s="2"/>
      <c r="KL409" s="2"/>
      <c r="KM409" s="2"/>
      <c r="KN409" s="2"/>
      <c r="KO409" s="2"/>
      <c r="KP409" s="2"/>
      <c r="KQ409" s="2"/>
      <c r="KR409" s="2"/>
      <c r="KS409" s="2"/>
      <c r="KT409" s="2"/>
      <c r="KU409" s="2"/>
      <c r="KV409" s="2"/>
      <c r="KW409" s="2"/>
      <c r="KX409" s="2"/>
      <c r="KY409" s="2"/>
      <c r="KZ409" s="2"/>
      <c r="LA409" s="2"/>
      <c r="LB409" s="2"/>
      <c r="LC409" s="2"/>
      <c r="LD409" s="2"/>
      <c r="LE409" s="2"/>
      <c r="LF409" s="2"/>
      <c r="LG409" s="2"/>
      <c r="LH409" s="2"/>
      <c r="LI409" s="2"/>
      <c r="LJ409" s="2"/>
      <c r="LK409" s="2"/>
      <c r="LL409" s="2"/>
      <c r="LM409" s="2"/>
      <c r="LN409" s="2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</row>
    <row r="410" spans="1:343">
      <c r="A410" s="1">
        <v>1773</v>
      </c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4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4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  <c r="JY410" s="2"/>
      <c r="JZ410" s="2"/>
      <c r="KA410" s="2"/>
      <c r="KB410" s="2"/>
      <c r="KC410" s="2"/>
      <c r="KD410" s="2"/>
      <c r="KE410" s="2"/>
      <c r="KF410" s="2"/>
      <c r="KG410" s="2"/>
      <c r="KH410" s="2"/>
      <c r="KI410" s="2"/>
      <c r="KJ410" s="2"/>
      <c r="KK410" s="2"/>
      <c r="KL410" s="2"/>
      <c r="KM410" s="2"/>
      <c r="KN410" s="2"/>
      <c r="KO410" s="2"/>
      <c r="KP410" s="2"/>
      <c r="KQ410" s="2"/>
      <c r="KR410" s="2"/>
      <c r="KS410" s="2"/>
      <c r="KT410" s="2"/>
      <c r="KU410" s="2"/>
      <c r="KV410" s="2"/>
      <c r="KW410" s="2"/>
      <c r="KX410" s="2"/>
      <c r="KY410" s="2"/>
      <c r="KZ410" s="2"/>
      <c r="LA410" s="2"/>
      <c r="LB410" s="2"/>
      <c r="LC410" s="2"/>
      <c r="LD410" s="2"/>
      <c r="LE410" s="2"/>
      <c r="LF410" s="2"/>
      <c r="LG410" s="2"/>
      <c r="LH410" s="2"/>
      <c r="LI410" s="2"/>
      <c r="LJ410" s="2"/>
      <c r="LK410" s="2"/>
      <c r="LL410" s="2"/>
      <c r="LM410" s="2"/>
      <c r="LN410" s="2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</row>
    <row r="411" spans="1:343">
      <c r="A411" s="1">
        <v>1774</v>
      </c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4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4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  <c r="JY411" s="2"/>
      <c r="JZ411" s="2"/>
      <c r="KA411" s="2"/>
      <c r="KB411" s="2"/>
      <c r="KC411" s="2"/>
      <c r="KD411" s="2"/>
      <c r="KE411" s="2"/>
      <c r="KF411" s="2"/>
      <c r="KG411" s="2"/>
      <c r="KH411" s="2"/>
      <c r="KI411" s="2"/>
      <c r="KJ411" s="2"/>
      <c r="KK411" s="2"/>
      <c r="KL411" s="2"/>
      <c r="KM411" s="2"/>
      <c r="KN411" s="2"/>
      <c r="KO411" s="2"/>
      <c r="KP411" s="2"/>
      <c r="KQ411" s="2"/>
      <c r="KR411" s="2"/>
      <c r="KS411" s="2"/>
      <c r="KT411" s="2"/>
      <c r="KU411" s="2"/>
      <c r="KV411" s="2"/>
      <c r="KW411" s="2"/>
      <c r="KX411" s="2"/>
      <c r="KY411" s="2"/>
      <c r="KZ411" s="2"/>
      <c r="LA411" s="2"/>
      <c r="LB411" s="2"/>
      <c r="LC411" s="2"/>
      <c r="LD411" s="2"/>
      <c r="LE411" s="2"/>
      <c r="LF411" s="2"/>
      <c r="LG411" s="2"/>
      <c r="LH411" s="2"/>
      <c r="LI411" s="2"/>
      <c r="LJ411" s="2"/>
      <c r="LK411" s="2"/>
      <c r="LL411" s="2"/>
      <c r="LM411" s="2"/>
      <c r="LN411" s="2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</row>
    <row r="412" spans="1:343">
      <c r="A412" s="1">
        <v>1775</v>
      </c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>
        <v>5157000</v>
      </c>
      <c r="V412" s="1">
        <v>917946</v>
      </c>
      <c r="W412" s="1">
        <v>825120</v>
      </c>
      <c r="X412" s="1">
        <v>639468</v>
      </c>
      <c r="Y412" s="1">
        <v>484758</v>
      </c>
      <c r="Z412" s="1">
        <v>546642</v>
      </c>
      <c r="AA412" s="1">
        <v>531171</v>
      </c>
      <c r="AB412" s="1">
        <v>433188</v>
      </c>
      <c r="AC412" s="1">
        <v>778707</v>
      </c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4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4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</row>
    <row r="413" spans="1:343">
      <c r="A413" s="1">
        <v>1776</v>
      </c>
      <c r="B413" s="1">
        <v>25781276.800000001</v>
      </c>
      <c r="C413" s="1">
        <v>3941076.5</v>
      </c>
      <c r="D413" s="1">
        <v>914329.74800000002</v>
      </c>
      <c r="E413" s="1">
        <v>1158676.4909999999</v>
      </c>
      <c r="F413" s="1">
        <v>508398.86850000004</v>
      </c>
      <c r="G413" s="1">
        <v>267993.20199999999</v>
      </c>
      <c r="H413" s="1">
        <v>338932.57899999997</v>
      </c>
      <c r="I413" s="1">
        <v>189171.67199999999</v>
      </c>
      <c r="J413" s="1">
        <v>563573.93949999998</v>
      </c>
      <c r="K413" s="1">
        <v>2630280</v>
      </c>
      <c r="L413" s="1"/>
      <c r="M413" s="1"/>
      <c r="N413" s="1"/>
      <c r="O413" s="1"/>
      <c r="P413" s="1"/>
      <c r="Q413" s="1"/>
      <c r="R413" s="1">
        <v>1031472</v>
      </c>
      <c r="S413" s="1"/>
      <c r="T413" s="1"/>
      <c r="U413" s="1">
        <v>5157724</v>
      </c>
      <c r="V413" s="1"/>
      <c r="W413" s="1"/>
      <c r="X413" s="1"/>
      <c r="Y413" s="1"/>
      <c r="Z413" s="1"/>
      <c r="AA413" s="1"/>
      <c r="AB413" s="1"/>
      <c r="AC413" s="1"/>
      <c r="AD413" s="1">
        <v>2454895.1</v>
      </c>
      <c r="AE413" s="1"/>
      <c r="AF413" s="1"/>
      <c r="AG413" s="1">
        <v>569976</v>
      </c>
      <c r="AH413" s="1">
        <v>5110719.5999999996</v>
      </c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>
        <v>3115132.8000000003</v>
      </c>
      <c r="AU413" s="1"/>
      <c r="AV413" s="1"/>
      <c r="AW413" s="1"/>
      <c r="AX413" s="1"/>
      <c r="AY413" s="1"/>
      <c r="AZ413" s="1"/>
      <c r="BA413" s="1"/>
      <c r="BB413" s="1"/>
      <c r="BC413" s="1">
        <v>1770000.8</v>
      </c>
      <c r="BD413" s="1"/>
      <c r="BE413" s="1"/>
      <c r="BF413" s="1"/>
      <c r="BG413" s="1"/>
      <c r="BH413" s="1"/>
      <c r="BI413" s="4">
        <v>28810496</v>
      </c>
      <c r="BJ413" s="2">
        <v>4457760</v>
      </c>
      <c r="BK413" s="2"/>
      <c r="BL413" s="2"/>
      <c r="BM413" s="2"/>
      <c r="BN413" s="2"/>
      <c r="BO413" s="2"/>
      <c r="BP413" s="2"/>
      <c r="BQ413" s="2">
        <v>2849599</v>
      </c>
      <c r="BR413" s="2"/>
      <c r="BS413" s="2"/>
      <c r="BT413" s="2"/>
      <c r="BU413" s="2"/>
      <c r="BV413" s="2"/>
      <c r="BW413" s="2">
        <v>1150750.6000000001</v>
      </c>
      <c r="BX413" s="2"/>
      <c r="BY413" s="2"/>
      <c r="BZ413" s="2">
        <v>3497471.9999999995</v>
      </c>
      <c r="CA413" s="2"/>
      <c r="CB413" s="2"/>
      <c r="CC413" s="2"/>
      <c r="CD413" s="2"/>
      <c r="CE413" s="2"/>
      <c r="CF413" s="2"/>
      <c r="CG413" s="2"/>
      <c r="CH413" s="2">
        <v>1307511</v>
      </c>
      <c r="CI413" s="2"/>
      <c r="CJ413" s="2"/>
      <c r="CK413" s="2"/>
      <c r="CL413" s="2">
        <v>3193080</v>
      </c>
      <c r="CM413" s="2"/>
      <c r="CN413" s="2"/>
      <c r="CO413" s="2"/>
      <c r="CP413" s="2"/>
      <c r="CQ413" s="2"/>
      <c r="CR413" s="2"/>
      <c r="CS413" s="2"/>
      <c r="CT413" s="2">
        <v>1181154</v>
      </c>
      <c r="CU413" s="2"/>
      <c r="CV413" s="2"/>
      <c r="CW413" s="2"/>
      <c r="CX413" s="2">
        <v>2144833.1999999997</v>
      </c>
      <c r="CY413" s="2">
        <v>547252</v>
      </c>
      <c r="CZ413" s="2">
        <v>432049</v>
      </c>
      <c r="DA413" s="2">
        <v>315083</v>
      </c>
      <c r="DB413" s="2">
        <v>332190</v>
      </c>
      <c r="DC413" s="2">
        <v>274886</v>
      </c>
      <c r="DD413" s="2">
        <v>303793</v>
      </c>
      <c r="DE413" s="2">
        <v>2656488</v>
      </c>
      <c r="DF413" s="2"/>
      <c r="DG413" s="2"/>
      <c r="DH413" s="2"/>
      <c r="DI413" s="2"/>
      <c r="DJ413" s="2"/>
      <c r="DK413" s="2"/>
      <c r="DL413" s="2">
        <v>2168656</v>
      </c>
      <c r="DM413" s="2"/>
      <c r="DN413" s="2"/>
      <c r="DO413" s="2"/>
      <c r="DP413" s="2"/>
      <c r="DQ413" s="2"/>
      <c r="DR413" s="2"/>
      <c r="DS413" s="2">
        <v>2954130</v>
      </c>
      <c r="DT413" s="2"/>
      <c r="DU413" s="2"/>
      <c r="DV413" s="2"/>
      <c r="DW413" s="2"/>
      <c r="DX413" s="2"/>
      <c r="DY413" s="2"/>
      <c r="DZ413" s="2"/>
      <c r="EA413" s="2"/>
      <c r="EB413" s="2">
        <v>481081.8</v>
      </c>
      <c r="EC413" s="2"/>
      <c r="ED413" s="2"/>
      <c r="EE413" s="2">
        <v>336869.5</v>
      </c>
      <c r="EF413" s="2"/>
      <c r="EG413" s="2">
        <v>431110.89999999997</v>
      </c>
      <c r="EH413" s="2"/>
      <c r="EI413" s="1">
        <v>22365605.300000001</v>
      </c>
      <c r="EJ413" s="1">
        <v>2682047</v>
      </c>
      <c r="EK413" s="1"/>
      <c r="EL413" s="1"/>
      <c r="EM413" s="1"/>
      <c r="EN413" s="1"/>
      <c r="EO413" s="1"/>
      <c r="EP413" s="1"/>
      <c r="EQ413" s="1"/>
      <c r="ER413" s="1"/>
      <c r="ES413" s="1"/>
      <c r="ET413" s="1">
        <v>1273685</v>
      </c>
      <c r="EU413" s="1"/>
      <c r="EV413" s="1"/>
      <c r="EW413" s="1"/>
      <c r="EX413" s="1"/>
      <c r="EY413" s="1"/>
      <c r="EZ413" s="1"/>
      <c r="FA413" s="1">
        <v>2353159.6999999997</v>
      </c>
      <c r="FB413" s="1"/>
      <c r="FC413" s="1"/>
      <c r="FD413" s="1"/>
      <c r="FE413" s="1"/>
      <c r="FF413" s="1"/>
      <c r="FG413" s="1"/>
      <c r="FH413" s="1"/>
      <c r="FI413" s="1">
        <v>2153034.4000000004</v>
      </c>
      <c r="FJ413" s="1"/>
      <c r="FK413" s="1"/>
      <c r="FL413" s="1"/>
      <c r="FM413" s="1"/>
      <c r="FN413" s="1"/>
      <c r="FO413" s="1"/>
      <c r="FP413" s="1"/>
      <c r="FQ413" s="1">
        <v>4265213.5999999996</v>
      </c>
      <c r="FR413" s="1"/>
      <c r="FS413" s="1"/>
      <c r="FT413" s="1"/>
      <c r="FU413" s="1"/>
      <c r="FV413" s="1"/>
      <c r="FW413" s="1"/>
      <c r="FX413" s="1"/>
      <c r="FY413" s="1"/>
      <c r="FZ413" s="1">
        <v>1861249.5</v>
      </c>
      <c r="GA413" s="1"/>
      <c r="GB413" s="1"/>
      <c r="GC413" s="1"/>
      <c r="GD413" s="1"/>
      <c r="GE413" s="1"/>
      <c r="GF413" s="1"/>
      <c r="GG413" s="1"/>
      <c r="GH413" s="1">
        <v>2227536</v>
      </c>
      <c r="GI413" s="1"/>
      <c r="GJ413" s="1"/>
      <c r="GK413" s="1"/>
      <c r="GL413" s="1"/>
      <c r="GM413" s="1"/>
      <c r="GN413" s="1"/>
      <c r="GO413" s="1">
        <v>2048390.7999999998</v>
      </c>
      <c r="GP413" s="1"/>
      <c r="GQ413" s="1"/>
      <c r="GR413" s="1"/>
      <c r="GS413" s="1"/>
      <c r="GT413" s="1"/>
      <c r="GU413" s="1"/>
      <c r="GV413" s="1"/>
      <c r="GW413" s="1"/>
      <c r="GX413" s="1">
        <v>1019800.7999999999</v>
      </c>
      <c r="GY413" s="1"/>
      <c r="GZ413" s="1"/>
      <c r="HA413" s="1"/>
      <c r="HB413" s="1"/>
      <c r="HC413" s="1">
        <v>114354</v>
      </c>
      <c r="HD413" s="1">
        <v>861084</v>
      </c>
      <c r="HE413" s="1"/>
      <c r="HF413" s="1">
        <v>89667</v>
      </c>
      <c r="HG413" s="1"/>
      <c r="HH413" s="1"/>
      <c r="HI413" s="1"/>
      <c r="HJ413" s="1"/>
      <c r="HK413" s="1"/>
      <c r="HL413" s="1"/>
      <c r="HM413" s="1"/>
      <c r="HN413" s="1">
        <v>39287</v>
      </c>
      <c r="HO413" s="1">
        <v>1620404.5</v>
      </c>
      <c r="HP413" s="1"/>
      <c r="HQ413" s="1"/>
      <c r="HR413" s="1"/>
      <c r="HS413" s="1"/>
      <c r="HT413" s="1"/>
      <c r="HU413" s="1"/>
      <c r="HV413" s="1"/>
      <c r="HW413" s="4">
        <v>18711719.600000001</v>
      </c>
      <c r="HX413" s="1">
        <v>3137057</v>
      </c>
      <c r="HY413" s="2"/>
      <c r="HZ413" s="2"/>
      <c r="IA413" s="2"/>
      <c r="IB413" s="2"/>
      <c r="IC413" s="2"/>
      <c r="ID413" s="2"/>
      <c r="IE413" s="2"/>
      <c r="IF413" s="2"/>
      <c r="IG413" s="2"/>
      <c r="IH413" s="1">
        <v>807359.4</v>
      </c>
      <c r="II413" s="2"/>
      <c r="IJ413" s="2"/>
      <c r="IK413" s="2"/>
      <c r="IL413" s="1">
        <v>998742.5</v>
      </c>
      <c r="IM413" s="2"/>
      <c r="IN413" s="2"/>
      <c r="IO413" s="2"/>
      <c r="IP413" s="2"/>
      <c r="IQ413" s="2"/>
      <c r="IR413" s="1">
        <v>731817</v>
      </c>
      <c r="IS413" s="2"/>
      <c r="IT413" s="2"/>
      <c r="IU413" s="2"/>
      <c r="IV413" s="2"/>
      <c r="IW413" s="1">
        <v>1431324</v>
      </c>
      <c r="IX413" s="2"/>
      <c r="IY413" s="2"/>
      <c r="IZ413" s="2"/>
      <c r="JA413" s="2"/>
      <c r="JB413" s="2"/>
      <c r="JC413" s="2"/>
      <c r="JD413" s="2"/>
      <c r="JE413" s="1">
        <v>1141452</v>
      </c>
      <c r="JF413" s="2"/>
      <c r="JG413" s="2"/>
      <c r="JH413" s="2"/>
      <c r="JI413" s="2"/>
      <c r="JJ413" s="2"/>
      <c r="JK413" s="2"/>
      <c r="JL413" s="2"/>
      <c r="JM413" s="1">
        <v>1156823.1000000001</v>
      </c>
      <c r="JN413" s="2"/>
      <c r="JO413" s="2"/>
      <c r="JP413" s="2"/>
      <c r="JQ413" s="2"/>
      <c r="JR413" s="2"/>
      <c r="JS413" s="1">
        <v>1476090</v>
      </c>
      <c r="JT413" s="2"/>
      <c r="JU413" s="2"/>
      <c r="JV413" s="2"/>
      <c r="JW413" s="2"/>
      <c r="JX413" s="2"/>
      <c r="JY413" s="2"/>
      <c r="JZ413" s="1">
        <v>2683315</v>
      </c>
      <c r="KA413" s="2"/>
      <c r="KB413" s="2"/>
      <c r="KC413" s="2"/>
      <c r="KD413" s="2"/>
      <c r="KE413" s="2"/>
      <c r="KF413" s="2"/>
      <c r="KG413" s="2"/>
      <c r="KH413" s="2"/>
      <c r="KI413" s="2"/>
      <c r="KJ413" s="2"/>
      <c r="KK413" s="1">
        <v>1107742</v>
      </c>
      <c r="KL413" s="2"/>
      <c r="KM413" s="2"/>
      <c r="KN413" s="2"/>
      <c r="KO413" s="2"/>
      <c r="KP413" s="1">
        <v>582076.6</v>
      </c>
      <c r="KQ413" s="2"/>
      <c r="KR413" s="2"/>
      <c r="KS413" s="2"/>
      <c r="KT413" s="2"/>
      <c r="KU413" s="2"/>
      <c r="KV413" s="1">
        <v>2070867</v>
      </c>
      <c r="KW413" s="2"/>
      <c r="KX413" s="2"/>
      <c r="KY413" s="2"/>
      <c r="KZ413" s="2"/>
      <c r="LA413" s="2"/>
      <c r="LB413" s="2"/>
      <c r="LC413" s="2"/>
      <c r="LD413" s="2"/>
      <c r="LE413" s="2"/>
      <c r="LF413" s="2"/>
      <c r="LG413" s="1">
        <v>817917.2</v>
      </c>
      <c r="LH413" s="2"/>
      <c r="LI413" s="2"/>
      <c r="LJ413" s="1">
        <v>569136.80000000005</v>
      </c>
      <c r="LK413" s="2"/>
      <c r="LL413" s="2"/>
      <c r="LM413" s="2"/>
      <c r="LN413" s="2"/>
      <c r="LO413" s="1">
        <v>3700306</v>
      </c>
      <c r="LP413" s="1">
        <v>1423101.4000000001</v>
      </c>
      <c r="LQ413" s="19">
        <v>0.61540980664842304</v>
      </c>
      <c r="LR413" s="1"/>
      <c r="LS413" s="1"/>
      <c r="LT413" s="1"/>
      <c r="LU413" s="1">
        <v>2277204.5999999996</v>
      </c>
      <c r="LV413" s="1"/>
      <c r="LW413" s="1"/>
      <c r="LX413" s="1"/>
      <c r="LY413" s="1"/>
      <c r="LZ413" s="1"/>
      <c r="MA413" s="1"/>
      <c r="MB413" s="1"/>
      <c r="MC413" s="1"/>
      <c r="MD413" s="1"/>
      <c r="ME413" s="1"/>
    </row>
    <row r="414" spans="1:343">
      <c r="A414" s="1">
        <v>1777</v>
      </c>
      <c r="B414" s="1"/>
      <c r="C414" s="1"/>
      <c r="D414" s="1"/>
      <c r="E414" s="1"/>
      <c r="F414" s="1"/>
      <c r="G414" s="1"/>
      <c r="H414" s="1"/>
      <c r="I414" s="1"/>
      <c r="J414" s="1"/>
      <c r="K414" s="1">
        <v>2638170.84</v>
      </c>
      <c r="L414" s="1"/>
      <c r="M414" s="1"/>
      <c r="N414" s="1"/>
      <c r="O414" s="1"/>
      <c r="P414" s="1"/>
      <c r="Q414" s="1"/>
      <c r="R414" s="1"/>
      <c r="S414" s="1"/>
      <c r="T414" s="1"/>
      <c r="U414" s="1">
        <v>5187638.7992000002</v>
      </c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>
        <v>606401.86339880212</v>
      </c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>
        <v>3130785.9955355027</v>
      </c>
      <c r="AU414" s="1"/>
      <c r="AV414" s="1"/>
      <c r="AW414" s="1"/>
      <c r="AX414" s="1"/>
      <c r="AY414" s="1"/>
      <c r="AZ414" s="1"/>
      <c r="BA414" s="1"/>
      <c r="BB414" s="1"/>
      <c r="BC414" s="1">
        <v>1778673.8039199999</v>
      </c>
      <c r="BD414" s="1"/>
      <c r="BE414" s="1"/>
      <c r="BF414" s="1"/>
      <c r="BG414" s="1"/>
      <c r="BH414" s="1"/>
      <c r="BI414" s="4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>
        <v>1187177.8854</v>
      </c>
      <c r="CU414" s="2"/>
      <c r="CV414" s="2"/>
      <c r="CW414" s="2"/>
      <c r="CX414" s="2">
        <v>2155771.84932</v>
      </c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>
        <v>2962992.3899999997</v>
      </c>
      <c r="DT414" s="2"/>
      <c r="DU414" s="2"/>
      <c r="DV414" s="2"/>
      <c r="DW414" s="2"/>
      <c r="DX414" s="2"/>
      <c r="DY414" s="2"/>
      <c r="DZ414" s="2"/>
      <c r="EA414" s="2"/>
      <c r="EB414" s="2">
        <v>483487.20899999992</v>
      </c>
      <c r="EC414" s="2"/>
      <c r="ED414" s="2"/>
      <c r="EE414" s="2">
        <v>338688.59530000004</v>
      </c>
      <c r="EF414" s="2"/>
      <c r="EG414" s="2">
        <v>433368.63476464961</v>
      </c>
      <c r="EH414" s="2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>
        <v>90115.334999999992</v>
      </c>
      <c r="HG414" s="1"/>
      <c r="HH414" s="1"/>
      <c r="HI414" s="1"/>
      <c r="HJ414" s="1"/>
      <c r="HK414" s="1"/>
      <c r="HL414" s="1"/>
      <c r="HM414" s="1"/>
      <c r="HN414" s="1">
        <v>39483.434999999998</v>
      </c>
      <c r="HO414" s="1"/>
      <c r="HP414" s="1"/>
      <c r="HQ414" s="1"/>
      <c r="HR414" s="1"/>
      <c r="HS414" s="1"/>
      <c r="HT414" s="1"/>
      <c r="HU414" s="1"/>
      <c r="HV414" s="1"/>
      <c r="HW414" s="4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  <c r="JY414" s="2"/>
      <c r="JZ414" s="2"/>
      <c r="KA414" s="2"/>
      <c r="KB414" s="2"/>
      <c r="KC414" s="2"/>
      <c r="KD414" s="2"/>
      <c r="KE414" s="2"/>
      <c r="KF414" s="2"/>
      <c r="KG414" s="2"/>
      <c r="KH414" s="2"/>
      <c r="KI414" s="2"/>
      <c r="KJ414" s="2"/>
      <c r="KK414" s="2"/>
      <c r="KL414" s="2"/>
      <c r="KM414" s="2"/>
      <c r="KN414" s="2"/>
      <c r="KO414" s="2"/>
      <c r="KP414" s="2"/>
      <c r="KQ414" s="2"/>
      <c r="KR414" s="2"/>
      <c r="KS414" s="2"/>
      <c r="KT414" s="2"/>
      <c r="KU414" s="2"/>
      <c r="KV414" s="2"/>
      <c r="KW414" s="2"/>
      <c r="KX414" s="2"/>
      <c r="KY414" s="2"/>
      <c r="KZ414" s="2"/>
      <c r="LA414" s="2"/>
      <c r="LB414" s="2"/>
      <c r="LC414" s="2"/>
      <c r="LD414" s="2"/>
      <c r="LE414" s="2"/>
      <c r="LF414" s="2"/>
      <c r="LG414" s="2"/>
      <c r="LH414" s="2"/>
      <c r="LI414" s="2"/>
      <c r="LJ414" s="2"/>
      <c r="LK414" s="2"/>
      <c r="LL414" s="2"/>
      <c r="LM414" s="2"/>
      <c r="LN414" s="2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</row>
    <row r="415" spans="1:343">
      <c r="A415" s="1">
        <v>1778</v>
      </c>
      <c r="B415" s="1"/>
      <c r="C415" s="1"/>
      <c r="D415" s="1"/>
      <c r="E415" s="1"/>
      <c r="F415" s="1"/>
      <c r="G415" s="1"/>
      <c r="H415" s="1"/>
      <c r="I415" s="1"/>
      <c r="J415" s="1"/>
      <c r="K415" s="1">
        <v>2646085.3525199997</v>
      </c>
      <c r="L415" s="1"/>
      <c r="M415" s="1"/>
      <c r="N415" s="1"/>
      <c r="O415" s="1"/>
      <c r="P415" s="1"/>
      <c r="Q415" s="1"/>
      <c r="R415" s="1"/>
      <c r="S415" s="1"/>
      <c r="T415" s="1"/>
      <c r="U415" s="1">
        <v>5217727.1042353604</v>
      </c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>
        <v>608827.47085239738</v>
      </c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>
        <v>3146753.004112734</v>
      </c>
      <c r="AU415" s="1"/>
      <c r="AV415" s="1"/>
      <c r="AW415" s="1"/>
      <c r="AX415" s="1"/>
      <c r="AY415" s="1"/>
      <c r="AZ415" s="1"/>
      <c r="BA415" s="1"/>
      <c r="BB415" s="1"/>
      <c r="BC415" s="1">
        <v>1787389.3055592077</v>
      </c>
      <c r="BD415" s="1"/>
      <c r="BE415" s="1"/>
      <c r="BF415" s="1"/>
      <c r="BG415" s="1"/>
      <c r="BH415" s="1"/>
      <c r="BI415" s="4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>
        <v>1193232.49261554</v>
      </c>
      <c r="CU415" s="2"/>
      <c r="CV415" s="2"/>
      <c r="CW415" s="2"/>
      <c r="CX415" s="2">
        <v>2166766.2857515323</v>
      </c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>
        <v>2971881.3671699995</v>
      </c>
      <c r="DT415" s="2"/>
      <c r="DU415" s="2"/>
      <c r="DV415" s="2"/>
      <c r="DW415" s="2"/>
      <c r="DX415" s="2"/>
      <c r="DY415" s="2"/>
      <c r="DZ415" s="2"/>
      <c r="EA415" s="2"/>
      <c r="EB415" s="2">
        <v>485904.64504499984</v>
      </c>
      <c r="EC415" s="2"/>
      <c r="ED415" s="2"/>
      <c r="EE415" s="2">
        <v>340517.51371462009</v>
      </c>
      <c r="EF415" s="2"/>
      <c r="EG415" s="2">
        <v>435795.49911933165</v>
      </c>
      <c r="EH415" s="2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>
        <v>90565.911674999981</v>
      </c>
      <c r="HG415" s="1"/>
      <c r="HH415" s="1"/>
      <c r="HI415" s="1"/>
      <c r="HJ415" s="1"/>
      <c r="HK415" s="1"/>
      <c r="HL415" s="1"/>
      <c r="HM415" s="1"/>
      <c r="HN415" s="1">
        <v>39680.852174999993</v>
      </c>
      <c r="HO415" s="1"/>
      <c r="HP415" s="1"/>
      <c r="HQ415" s="1"/>
      <c r="HR415" s="1"/>
      <c r="HS415" s="1"/>
      <c r="HT415" s="1"/>
      <c r="HU415" s="1"/>
      <c r="HV415" s="1"/>
      <c r="HW415" s="4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  <c r="JY415" s="2"/>
      <c r="JZ415" s="2"/>
      <c r="KA415" s="2"/>
      <c r="KB415" s="2"/>
      <c r="KC415" s="2"/>
      <c r="KD415" s="2"/>
      <c r="KE415" s="2"/>
      <c r="KF415" s="2"/>
      <c r="KG415" s="2"/>
      <c r="KH415" s="2"/>
      <c r="KI415" s="2"/>
      <c r="KJ415" s="2"/>
      <c r="KK415" s="2"/>
      <c r="KL415" s="2"/>
      <c r="KM415" s="2"/>
      <c r="KN415" s="2"/>
      <c r="KO415" s="2"/>
      <c r="KP415" s="2"/>
      <c r="KQ415" s="2"/>
      <c r="KR415" s="2"/>
      <c r="KS415" s="2"/>
      <c r="KT415" s="2"/>
      <c r="KU415" s="2"/>
      <c r="KV415" s="2"/>
      <c r="KW415" s="2"/>
      <c r="KX415" s="2"/>
      <c r="KY415" s="2"/>
      <c r="KZ415" s="2"/>
      <c r="LA415" s="2"/>
      <c r="LB415" s="2"/>
      <c r="LC415" s="2"/>
      <c r="LD415" s="2"/>
      <c r="LE415" s="2"/>
      <c r="LF415" s="2"/>
      <c r="LG415" s="2"/>
      <c r="LH415" s="2"/>
      <c r="LI415" s="2"/>
      <c r="LJ415" s="2"/>
      <c r="LK415" s="2"/>
      <c r="LL415" s="2"/>
      <c r="LM415" s="2"/>
      <c r="LN415" s="2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</row>
    <row r="416" spans="1:343">
      <c r="A416" s="1">
        <v>1779</v>
      </c>
      <c r="B416" s="1"/>
      <c r="C416" s="1"/>
      <c r="D416" s="1"/>
      <c r="E416" s="1"/>
      <c r="F416" s="1"/>
      <c r="G416" s="1"/>
      <c r="H416" s="1"/>
      <c r="I416" s="1"/>
      <c r="J416" s="1"/>
      <c r="K416" s="1">
        <v>2654023.6085775592</v>
      </c>
      <c r="L416" s="1"/>
      <c r="M416" s="1"/>
      <c r="N416" s="1"/>
      <c r="O416" s="1"/>
      <c r="P416" s="1"/>
      <c r="Q416" s="1"/>
      <c r="R416" s="1"/>
      <c r="S416" s="1"/>
      <c r="T416" s="1"/>
      <c r="U416" s="1">
        <v>5247989.9214399252</v>
      </c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>
        <v>611262.78073580703</v>
      </c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>
        <v>3162801.4444337091</v>
      </c>
      <c r="AU416" s="1"/>
      <c r="AV416" s="1"/>
      <c r="AW416" s="1"/>
      <c r="AX416" s="1"/>
      <c r="AY416" s="1"/>
      <c r="AZ416" s="1"/>
      <c r="BA416" s="1"/>
      <c r="BB416" s="1"/>
      <c r="BC416" s="1">
        <v>1796147.5131564476</v>
      </c>
      <c r="BD416" s="1"/>
      <c r="BE416" s="1"/>
      <c r="BF416" s="1"/>
      <c r="BG416" s="1"/>
      <c r="BH416" s="1"/>
      <c r="BI416" s="4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>
        <v>1199317.9783278794</v>
      </c>
      <c r="CU416" s="2"/>
      <c r="CV416" s="2"/>
      <c r="CW416" s="2"/>
      <c r="CX416" s="2">
        <v>2177816.7938088654</v>
      </c>
      <c r="CY416" s="2"/>
      <c r="CZ416" s="2"/>
      <c r="DA416" s="2"/>
      <c r="DB416" s="2"/>
      <c r="DC416" s="2"/>
      <c r="DD416" s="2"/>
      <c r="DE416" s="2">
        <v>2656289</v>
      </c>
      <c r="DF416" s="2">
        <v>960000</v>
      </c>
      <c r="DG416" s="2">
        <v>490000</v>
      </c>
      <c r="DH416" s="2">
        <v>417309</v>
      </c>
      <c r="DI416" s="2">
        <v>290754</v>
      </c>
      <c r="DJ416" s="2">
        <v>243459</v>
      </c>
      <c r="DK416" s="2">
        <v>250219</v>
      </c>
      <c r="DL416" s="2"/>
      <c r="DM416" s="2"/>
      <c r="DN416" s="2"/>
      <c r="DO416" s="2"/>
      <c r="DP416" s="2"/>
      <c r="DQ416" s="2"/>
      <c r="DR416" s="2"/>
      <c r="DS416" s="2">
        <v>2980797.0112715093</v>
      </c>
      <c r="DT416" s="2"/>
      <c r="DU416" s="2"/>
      <c r="DV416" s="2"/>
      <c r="DW416" s="2"/>
      <c r="DX416" s="2"/>
      <c r="DY416" s="2"/>
      <c r="DZ416" s="2"/>
      <c r="EA416" s="2"/>
      <c r="EB416" s="2">
        <v>488334.16827022476</v>
      </c>
      <c r="EC416" s="2"/>
      <c r="ED416" s="2"/>
      <c r="EE416" s="2">
        <v>342356.30828867905</v>
      </c>
      <c r="EF416" s="2"/>
      <c r="EG416" s="2">
        <v>438235.95391439996</v>
      </c>
      <c r="EH416" s="2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>
        <v>91018.741233374967</v>
      </c>
      <c r="HG416" s="1"/>
      <c r="HH416" s="1"/>
      <c r="HI416" s="1"/>
      <c r="HJ416" s="1"/>
      <c r="HK416" s="1"/>
      <c r="HL416" s="1"/>
      <c r="HM416" s="1"/>
      <c r="HN416" s="1">
        <v>39879.256435874988</v>
      </c>
      <c r="HO416" s="1"/>
      <c r="HP416" s="1"/>
      <c r="HQ416" s="1"/>
      <c r="HR416" s="1"/>
      <c r="HS416" s="1"/>
      <c r="HT416" s="1"/>
      <c r="HU416" s="1"/>
      <c r="HV416" s="1"/>
      <c r="HW416" s="4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  <c r="JY416" s="2"/>
      <c r="JZ416" s="2"/>
      <c r="KA416" s="2"/>
      <c r="KB416" s="2"/>
      <c r="KC416" s="2"/>
      <c r="KD416" s="2"/>
      <c r="KE416" s="2"/>
      <c r="KF416" s="2"/>
      <c r="KG416" s="2"/>
      <c r="KH416" s="2"/>
      <c r="KI416" s="2"/>
      <c r="KJ416" s="2"/>
      <c r="KK416" s="2"/>
      <c r="KL416" s="2"/>
      <c r="KM416" s="2"/>
      <c r="KN416" s="2"/>
      <c r="KO416" s="2"/>
      <c r="KP416" s="2"/>
      <c r="KQ416" s="2"/>
      <c r="KR416" s="2"/>
      <c r="KS416" s="2"/>
      <c r="KT416" s="2"/>
      <c r="KU416" s="2"/>
      <c r="KV416" s="2"/>
      <c r="KW416" s="2"/>
      <c r="KX416" s="2"/>
      <c r="KY416" s="2"/>
      <c r="KZ416" s="2"/>
      <c r="LA416" s="2"/>
      <c r="LB416" s="2"/>
      <c r="LC416" s="2"/>
      <c r="LD416" s="2"/>
      <c r="LE416" s="2"/>
      <c r="LF416" s="2"/>
      <c r="LG416" s="2"/>
      <c r="LH416" s="2"/>
      <c r="LI416" s="2"/>
      <c r="LJ416" s="2"/>
      <c r="LK416" s="2"/>
      <c r="LL416" s="2"/>
      <c r="LM416" s="2"/>
      <c r="LN416" s="2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</row>
    <row r="417" spans="1:343">
      <c r="A417" s="1">
        <v>1780</v>
      </c>
      <c r="B417" s="1"/>
      <c r="C417" s="1"/>
      <c r="D417" s="1"/>
      <c r="E417" s="1"/>
      <c r="F417" s="1"/>
      <c r="G417" s="1"/>
      <c r="H417" s="1"/>
      <c r="I417" s="1"/>
      <c r="J417" s="1"/>
      <c r="K417" s="1">
        <v>2661985.6794032915</v>
      </c>
      <c r="L417" s="1"/>
      <c r="M417" s="1"/>
      <c r="N417" s="1"/>
      <c r="O417" s="1"/>
      <c r="P417" s="1"/>
      <c r="Q417" s="1"/>
      <c r="R417" s="1"/>
      <c r="S417" s="1"/>
      <c r="T417" s="1"/>
      <c r="U417" s="1">
        <v>5278428.2629842767</v>
      </c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>
        <v>613707.83185875032</v>
      </c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>
        <v>3178931.7318003215</v>
      </c>
      <c r="AU417" s="1"/>
      <c r="AV417" s="1"/>
      <c r="AW417" s="1"/>
      <c r="AX417" s="1"/>
      <c r="AY417" s="1"/>
      <c r="AZ417" s="1"/>
      <c r="BA417" s="1"/>
      <c r="BB417" s="1"/>
      <c r="BC417" s="1">
        <v>1804948.635970914</v>
      </c>
      <c r="BD417" s="1"/>
      <c r="BE417" s="1"/>
      <c r="BF417" s="1"/>
      <c r="BG417" s="1"/>
      <c r="BH417" s="1"/>
      <c r="BI417" s="4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>
        <v>1205434.5000173517</v>
      </c>
      <c r="CU417" s="2"/>
      <c r="CV417" s="2"/>
      <c r="CW417" s="2"/>
      <c r="CX417" s="2">
        <v>2188923.659457291</v>
      </c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>
        <v>2989739.4023053236</v>
      </c>
      <c r="DT417" s="2"/>
      <c r="DU417" s="2"/>
      <c r="DV417" s="2"/>
      <c r="DW417" s="2"/>
      <c r="DX417" s="2"/>
      <c r="DY417" s="2"/>
      <c r="DZ417" s="2"/>
      <c r="EA417" s="2"/>
      <c r="EB417" s="2">
        <v>490775.83911157586</v>
      </c>
      <c r="EC417" s="2"/>
      <c r="ED417" s="2"/>
      <c r="EE417" s="2">
        <v>344205.03235343791</v>
      </c>
      <c r="EF417" s="2"/>
      <c r="EG417" s="2">
        <v>440690.07525632059</v>
      </c>
      <c r="EH417" s="2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>
        <v>91473.834939541834</v>
      </c>
      <c r="HG417" s="1"/>
      <c r="HH417" s="1"/>
      <c r="HI417" s="1"/>
      <c r="HJ417" s="1"/>
      <c r="HK417" s="1"/>
      <c r="HL417" s="1"/>
      <c r="HM417" s="1"/>
      <c r="HN417" s="1">
        <v>40078.652718054356</v>
      </c>
      <c r="HO417" s="1"/>
      <c r="HP417" s="1"/>
      <c r="HQ417" s="1"/>
      <c r="HR417" s="1"/>
      <c r="HS417" s="1"/>
      <c r="HT417" s="1"/>
      <c r="HU417" s="1"/>
      <c r="HV417" s="1"/>
      <c r="HW417" s="4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  <c r="JY417" s="2"/>
      <c r="JZ417" s="2"/>
      <c r="KA417" s="2"/>
      <c r="KB417" s="2"/>
      <c r="KC417" s="2"/>
      <c r="KD417" s="2"/>
      <c r="KE417" s="2"/>
      <c r="KF417" s="2"/>
      <c r="KG417" s="2"/>
      <c r="KH417" s="2"/>
      <c r="KI417" s="2"/>
      <c r="KJ417" s="2"/>
      <c r="KK417" s="2"/>
      <c r="KL417" s="2"/>
      <c r="KM417" s="2"/>
      <c r="KN417" s="2"/>
      <c r="KO417" s="2"/>
      <c r="KP417" s="2"/>
      <c r="KQ417" s="2"/>
      <c r="KR417" s="2"/>
      <c r="KS417" s="2"/>
      <c r="KT417" s="2"/>
      <c r="KU417" s="2"/>
      <c r="KV417" s="2"/>
      <c r="KW417" s="2"/>
      <c r="KX417" s="2"/>
      <c r="KY417" s="2"/>
      <c r="KZ417" s="2"/>
      <c r="LA417" s="2"/>
      <c r="LB417" s="2"/>
      <c r="LC417" s="2"/>
      <c r="LD417" s="2"/>
      <c r="LE417" s="2"/>
      <c r="LF417" s="2"/>
      <c r="LG417" s="2"/>
      <c r="LH417" s="2"/>
      <c r="LI417" s="2"/>
      <c r="LJ417" s="2"/>
      <c r="LK417" s="2"/>
      <c r="LL417" s="2"/>
      <c r="LM417" s="2"/>
      <c r="LN417" s="2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</row>
    <row r="418" spans="1:343">
      <c r="A418" s="1">
        <v>1781</v>
      </c>
      <c r="B418" s="1"/>
      <c r="C418" s="1"/>
      <c r="D418" s="1"/>
      <c r="E418" s="1"/>
      <c r="F418" s="1"/>
      <c r="G418" s="1"/>
      <c r="H418" s="1"/>
      <c r="I418" s="1"/>
      <c r="J418" s="1"/>
      <c r="K418" s="1">
        <v>2669971.6364415013</v>
      </c>
      <c r="L418" s="1"/>
      <c r="M418" s="1"/>
      <c r="N418" s="1"/>
      <c r="O418" s="1"/>
      <c r="P418" s="1"/>
      <c r="Q418" s="1"/>
      <c r="R418" s="1"/>
      <c r="S418" s="1"/>
      <c r="T418" s="1"/>
      <c r="U418" s="1">
        <v>5309043.1469095862</v>
      </c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>
        <v>616162.66318618529</v>
      </c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>
        <v>3195144.2836325034</v>
      </c>
      <c r="AU418" s="1"/>
      <c r="AV418" s="1"/>
      <c r="AW418" s="1"/>
      <c r="AX418" s="1"/>
      <c r="AY418" s="1"/>
      <c r="AZ418" s="1"/>
      <c r="BA418" s="1"/>
      <c r="BB418" s="1"/>
      <c r="BC418" s="1">
        <v>1813792.8842871713</v>
      </c>
      <c r="BD418" s="1"/>
      <c r="BE418" s="1"/>
      <c r="BF418" s="1"/>
      <c r="BG418" s="1"/>
      <c r="BH418" s="1"/>
      <c r="BI418" s="4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>
        <v>1211582.2159674403</v>
      </c>
      <c r="CU418" s="2"/>
      <c r="CV418" s="2"/>
      <c r="CW418" s="2"/>
      <c r="CX418" s="2">
        <v>2200087.1701205233</v>
      </c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>
        <v>2998708.6205122392</v>
      </c>
      <c r="DT418" s="2"/>
      <c r="DU418" s="2"/>
      <c r="DV418" s="2"/>
      <c r="DW418" s="2"/>
      <c r="DX418" s="2"/>
      <c r="DY418" s="2"/>
      <c r="DZ418" s="2"/>
      <c r="EA418" s="2"/>
      <c r="EB418" s="2">
        <v>493229.71830713371</v>
      </c>
      <c r="EC418" s="2"/>
      <c r="ED418" s="2"/>
      <c r="EE418" s="2">
        <v>346063.73952814651</v>
      </c>
      <c r="EF418" s="2"/>
      <c r="EG418" s="2">
        <v>443157.93967775599</v>
      </c>
      <c r="EH418" s="2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>
        <v>91931.204114239532</v>
      </c>
      <c r="HG418" s="1"/>
      <c r="HH418" s="1"/>
      <c r="HI418" s="1"/>
      <c r="HJ418" s="1"/>
      <c r="HK418" s="1"/>
      <c r="HL418" s="1"/>
      <c r="HM418" s="1"/>
      <c r="HN418" s="1">
        <v>40279.045981644624</v>
      </c>
      <c r="HO418" s="1"/>
      <c r="HP418" s="1"/>
      <c r="HQ418" s="1"/>
      <c r="HR418" s="1"/>
      <c r="HS418" s="1"/>
      <c r="HT418" s="1"/>
      <c r="HU418" s="1"/>
      <c r="HV418" s="1"/>
      <c r="HW418" s="4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  <c r="JY418" s="2"/>
      <c r="JZ418" s="2"/>
      <c r="KA418" s="2"/>
      <c r="KB418" s="2"/>
      <c r="KC418" s="2"/>
      <c r="KD418" s="2"/>
      <c r="KE418" s="2"/>
      <c r="KF418" s="2"/>
      <c r="KG418" s="2"/>
      <c r="KH418" s="2"/>
      <c r="KI418" s="2"/>
      <c r="KJ418" s="2"/>
      <c r="KK418" s="2"/>
      <c r="KL418" s="2"/>
      <c r="KM418" s="2"/>
      <c r="KN418" s="2"/>
      <c r="KO418" s="2"/>
      <c r="KP418" s="2"/>
      <c r="KQ418" s="2"/>
      <c r="KR418" s="2"/>
      <c r="KS418" s="2"/>
      <c r="KT418" s="2"/>
      <c r="KU418" s="2"/>
      <c r="KV418" s="2"/>
      <c r="KW418" s="2"/>
      <c r="KX418" s="2"/>
      <c r="KY418" s="2"/>
      <c r="KZ418" s="2"/>
      <c r="LA418" s="2"/>
      <c r="LB418" s="2"/>
      <c r="LC418" s="2"/>
      <c r="LD418" s="2"/>
      <c r="LE418" s="2"/>
      <c r="LF418" s="2"/>
      <c r="LG418" s="2"/>
      <c r="LH418" s="2"/>
      <c r="LI418" s="2"/>
      <c r="LJ418" s="2"/>
      <c r="LK418" s="2"/>
      <c r="LL418" s="2"/>
      <c r="LM418" s="2"/>
      <c r="LN418" s="2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</row>
    <row r="419" spans="1:343">
      <c r="A419" s="1">
        <v>1782</v>
      </c>
      <c r="B419" s="1"/>
      <c r="C419" s="1"/>
      <c r="D419" s="1"/>
      <c r="E419" s="1"/>
      <c r="F419" s="1"/>
      <c r="G419" s="1"/>
      <c r="H419" s="1"/>
      <c r="I419" s="1"/>
      <c r="J419" s="1"/>
      <c r="K419" s="1">
        <v>2677981.5513508255</v>
      </c>
      <c r="L419" s="1"/>
      <c r="M419" s="1"/>
      <c r="N419" s="1"/>
      <c r="O419" s="1"/>
      <c r="P419" s="1"/>
      <c r="Q419" s="1"/>
      <c r="R419" s="1"/>
      <c r="S419" s="1"/>
      <c r="T419" s="1"/>
      <c r="U419" s="1">
        <v>5339835.5971616618</v>
      </c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>
        <v>618627.31383892999</v>
      </c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>
        <v>3211439.5194790293</v>
      </c>
      <c r="AU419" s="1"/>
      <c r="AV419" s="1"/>
      <c r="AW419" s="1"/>
      <c r="AX419" s="1"/>
      <c r="AY419" s="1"/>
      <c r="AZ419" s="1"/>
      <c r="BA419" s="1"/>
      <c r="BB419" s="1"/>
      <c r="BC419" s="1">
        <v>1822680.4694201783</v>
      </c>
      <c r="BD419" s="1"/>
      <c r="BE419" s="1"/>
      <c r="BF419" s="1"/>
      <c r="BG419" s="1"/>
      <c r="BH419" s="1"/>
      <c r="BI419" s="4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>
        <v>1217761.2852688744</v>
      </c>
      <c r="CU419" s="2"/>
      <c r="CV419" s="2"/>
      <c r="CW419" s="2"/>
      <c r="CX419" s="2">
        <v>2211307.614688138</v>
      </c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>
        <v>3007704.7463737754</v>
      </c>
      <c r="DT419" s="2"/>
      <c r="DU419" s="2"/>
      <c r="DV419" s="2"/>
      <c r="DW419" s="2"/>
      <c r="DX419" s="2"/>
      <c r="DY419" s="2"/>
      <c r="DZ419" s="2"/>
      <c r="EA419" s="2"/>
      <c r="EB419" s="2">
        <v>495695.86689866934</v>
      </c>
      <c r="EC419" s="2"/>
      <c r="ED419" s="2"/>
      <c r="EE419" s="2">
        <v>347932.48372159852</v>
      </c>
      <c r="EF419" s="2"/>
      <c r="EG419" s="2">
        <v>445639.62413995143</v>
      </c>
      <c r="EH419" s="2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>
        <v>92390.860134810719</v>
      </c>
      <c r="HG419" s="1"/>
      <c r="HH419" s="1"/>
      <c r="HI419" s="1"/>
      <c r="HJ419" s="1"/>
      <c r="HK419" s="1"/>
      <c r="HL419" s="1"/>
      <c r="HM419" s="1"/>
      <c r="HN419" s="1">
        <v>40480.441211552839</v>
      </c>
      <c r="HO419" s="1"/>
      <c r="HP419" s="1"/>
      <c r="HQ419" s="1"/>
      <c r="HR419" s="1"/>
      <c r="HS419" s="1"/>
      <c r="HT419" s="1"/>
      <c r="HU419" s="1"/>
      <c r="HV419" s="1"/>
      <c r="HW419" s="4"/>
      <c r="HX419" s="2"/>
      <c r="HY419" s="2">
        <v>518019</v>
      </c>
      <c r="HZ419" s="2">
        <v>515652</v>
      </c>
      <c r="IA419" s="2">
        <v>437102</v>
      </c>
      <c r="IB419" s="2">
        <v>204400</v>
      </c>
      <c r="IC419" s="2">
        <v>194286</v>
      </c>
      <c r="ID419" s="2">
        <v>59836</v>
      </c>
      <c r="IE419" s="2">
        <v>187030</v>
      </c>
      <c r="IF419" s="2">
        <v>300000</v>
      </c>
      <c r="IG419" s="2"/>
      <c r="IH419" s="2">
        <v>884643.03388020361</v>
      </c>
      <c r="II419" s="2">
        <v>448459</v>
      </c>
      <c r="IJ419" s="2">
        <v>209385.03388020361</v>
      </c>
      <c r="IK419" s="2">
        <v>226799</v>
      </c>
      <c r="IL419" s="2"/>
      <c r="IM419" s="2">
        <v>205999</v>
      </c>
      <c r="IN419" s="2">
        <v>149076</v>
      </c>
      <c r="IO419" s="2">
        <v>146428</v>
      </c>
      <c r="IP419" s="2">
        <v>232888</v>
      </c>
      <c r="IQ419" s="2">
        <v>164141</v>
      </c>
      <c r="IR419" s="2">
        <v>747656</v>
      </c>
      <c r="IS419" s="2">
        <v>99544</v>
      </c>
      <c r="IT419" s="2">
        <v>301919</v>
      </c>
      <c r="IU419" s="2">
        <v>264885</v>
      </c>
      <c r="IV419" s="2">
        <v>81308</v>
      </c>
      <c r="IW419" s="2">
        <v>1440494</v>
      </c>
      <c r="IX419" s="2">
        <v>322130</v>
      </c>
      <c r="IY419" s="2">
        <v>249790</v>
      </c>
      <c r="IZ419" s="2">
        <v>168199</v>
      </c>
      <c r="JA419" s="2">
        <v>250290</v>
      </c>
      <c r="JB419" s="2">
        <v>185016</v>
      </c>
      <c r="JC419" s="2">
        <v>114734</v>
      </c>
      <c r="JD419" s="2">
        <v>150335</v>
      </c>
      <c r="JE419" s="2">
        <v>1180000</v>
      </c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  <c r="JY419" s="2"/>
      <c r="JZ419" s="2"/>
      <c r="KA419" s="2"/>
      <c r="KB419" s="2"/>
      <c r="KC419" s="2"/>
      <c r="KD419" s="2"/>
      <c r="KE419" s="2"/>
      <c r="KF419" s="2"/>
      <c r="KG419" s="2"/>
      <c r="KH419" s="2"/>
      <c r="KI419" s="2"/>
      <c r="KJ419" s="2"/>
      <c r="KK419" s="2"/>
      <c r="KL419" s="2"/>
      <c r="KM419" s="2"/>
      <c r="KN419" s="2"/>
      <c r="KO419" s="2"/>
      <c r="KP419" s="2"/>
      <c r="KQ419" s="2"/>
      <c r="KR419" s="2"/>
      <c r="KS419" s="2"/>
      <c r="KT419" s="2"/>
      <c r="KU419" s="2"/>
      <c r="KV419" s="2"/>
      <c r="KW419" s="2"/>
      <c r="KX419" s="2"/>
      <c r="KY419" s="2"/>
      <c r="KZ419" s="2"/>
      <c r="LA419" s="2"/>
      <c r="LB419" s="2"/>
      <c r="LC419" s="2"/>
      <c r="LD419" s="2"/>
      <c r="LE419" s="2"/>
      <c r="LF419" s="2"/>
      <c r="LG419" s="2"/>
      <c r="LH419" s="2"/>
      <c r="LI419" s="2"/>
      <c r="LJ419" s="2"/>
      <c r="LK419" s="2"/>
      <c r="LL419" s="2"/>
      <c r="LM419" s="2"/>
      <c r="LN419" s="2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</row>
    <row r="420" spans="1:343">
      <c r="A420" s="1">
        <v>1783</v>
      </c>
      <c r="B420" s="1"/>
      <c r="C420" s="1"/>
      <c r="D420" s="1"/>
      <c r="E420" s="1"/>
      <c r="F420" s="1"/>
      <c r="G420" s="1"/>
      <c r="H420" s="1"/>
      <c r="I420" s="1"/>
      <c r="J420" s="1"/>
      <c r="K420" s="1">
        <v>2686015.4960048776</v>
      </c>
      <c r="L420" s="1"/>
      <c r="M420" s="1"/>
      <c r="N420" s="1"/>
      <c r="O420" s="1"/>
      <c r="P420" s="1"/>
      <c r="Q420" s="1"/>
      <c r="R420" s="1"/>
      <c r="S420" s="1"/>
      <c r="T420" s="1"/>
      <c r="U420" s="1">
        <v>5370806.6436251998</v>
      </c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>
        <v>621101.82309428568</v>
      </c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>
        <v>3227817.8610283728</v>
      </c>
      <c r="AU420" s="1"/>
      <c r="AV420" s="1"/>
      <c r="AW420" s="1"/>
      <c r="AX420" s="1"/>
      <c r="AY420" s="1"/>
      <c r="AZ420" s="1"/>
      <c r="BA420" s="1"/>
      <c r="BB420" s="1"/>
      <c r="BC420" s="1">
        <v>1831611.6037203369</v>
      </c>
      <c r="BD420" s="1"/>
      <c r="BE420" s="1"/>
      <c r="BF420" s="1"/>
      <c r="BG420" s="1"/>
      <c r="BH420" s="1"/>
      <c r="BI420" s="4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>
        <v>1223971.8678237458</v>
      </c>
      <c r="CU420" s="2"/>
      <c r="CV420" s="2"/>
      <c r="CW420" s="2"/>
      <c r="CX420" s="2">
        <v>2222585.2835230478</v>
      </c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>
        <v>3016727.8606128963</v>
      </c>
      <c r="DT420" s="2"/>
      <c r="DU420" s="2"/>
      <c r="DV420" s="2"/>
      <c r="DW420" s="2"/>
      <c r="DX420" s="2"/>
      <c r="DY420" s="2"/>
      <c r="DZ420" s="2"/>
      <c r="EA420" s="2"/>
      <c r="EB420" s="2">
        <v>498174.34623316262</v>
      </c>
      <c r="EC420" s="2"/>
      <c r="ED420" s="2"/>
      <c r="EE420" s="2">
        <v>349811.31913369516</v>
      </c>
      <c r="EF420" s="2"/>
      <c r="EG420" s="2">
        <v>448135.2060351352</v>
      </c>
      <c r="EH420" s="2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>
        <v>92852.814435484761</v>
      </c>
      <c r="HG420" s="1"/>
      <c r="HH420" s="1"/>
      <c r="HI420" s="1"/>
      <c r="HJ420" s="1"/>
      <c r="HK420" s="1"/>
      <c r="HL420" s="1"/>
      <c r="HM420" s="1"/>
      <c r="HN420" s="1">
        <v>40682.843417610602</v>
      </c>
      <c r="HO420" s="1"/>
      <c r="HP420" s="1"/>
      <c r="HQ420" s="1"/>
      <c r="HR420" s="1"/>
      <c r="HS420" s="1"/>
      <c r="HT420" s="1"/>
      <c r="HU420" s="1"/>
      <c r="HV420" s="1"/>
      <c r="HW420" s="4"/>
      <c r="HX420" s="2"/>
      <c r="HY420" s="2"/>
      <c r="HZ420" s="2"/>
      <c r="IA420" s="2">
        <v>439549.77120000002</v>
      </c>
      <c r="IB420" s="2">
        <v>205544.64</v>
      </c>
      <c r="IC420" s="2">
        <v>195374.00160000002</v>
      </c>
      <c r="ID420" s="2">
        <v>60171.081600000005</v>
      </c>
      <c r="IE420" s="2">
        <v>188077.36800000002</v>
      </c>
      <c r="IF420" s="2">
        <v>301680</v>
      </c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  <c r="JY420" s="2"/>
      <c r="JZ420" s="2"/>
      <c r="KA420" s="2"/>
      <c r="KB420" s="2"/>
      <c r="KC420" s="2"/>
      <c r="KD420" s="2"/>
      <c r="KE420" s="2"/>
      <c r="KF420" s="2"/>
      <c r="KG420" s="2"/>
      <c r="KH420" s="2"/>
      <c r="KI420" s="2"/>
      <c r="KJ420" s="2"/>
      <c r="KK420" s="2">
        <v>1202000</v>
      </c>
      <c r="KL420" s="2"/>
      <c r="KM420" s="2"/>
      <c r="KN420" s="2"/>
      <c r="KO420" s="2"/>
      <c r="KP420" s="2"/>
      <c r="KQ420" s="2"/>
      <c r="KR420" s="2"/>
      <c r="KS420" s="2"/>
      <c r="KT420" s="2"/>
      <c r="KU420" s="2"/>
      <c r="KV420" s="2"/>
      <c r="KW420" s="2"/>
      <c r="KX420" s="2"/>
      <c r="KY420" s="2"/>
      <c r="KZ420" s="2"/>
      <c r="LA420" s="2"/>
      <c r="LB420" s="2"/>
      <c r="LC420" s="2"/>
      <c r="LD420" s="2"/>
      <c r="LE420" s="2"/>
      <c r="LF420" s="2"/>
      <c r="LG420" s="2"/>
      <c r="LH420" s="2"/>
      <c r="LI420" s="2"/>
      <c r="LJ420" s="2"/>
      <c r="LK420" s="2"/>
      <c r="LL420" s="2"/>
      <c r="LM420" s="2"/>
      <c r="LN420" s="2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</row>
    <row r="421" spans="1:343">
      <c r="A421" s="1">
        <v>1784</v>
      </c>
      <c r="B421" s="1"/>
      <c r="C421" s="1"/>
      <c r="D421" s="1"/>
      <c r="E421" s="1"/>
      <c r="F421" s="1"/>
      <c r="G421" s="1"/>
      <c r="H421" s="1"/>
      <c r="I421" s="1"/>
      <c r="J421" s="1"/>
      <c r="K421" s="1">
        <v>2694073.5424928921</v>
      </c>
      <c r="L421" s="1"/>
      <c r="M421" s="1"/>
      <c r="N421" s="1"/>
      <c r="O421" s="1"/>
      <c r="P421" s="1"/>
      <c r="Q421" s="1"/>
      <c r="R421" s="1"/>
      <c r="S421" s="1"/>
      <c r="T421" s="1"/>
      <c r="U421" s="1">
        <v>5401957.3221582258</v>
      </c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>
        <v>623586.23038666276</v>
      </c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>
        <v>3244279.732119618</v>
      </c>
      <c r="AU421" s="1"/>
      <c r="AV421" s="1"/>
      <c r="AW421" s="1"/>
      <c r="AX421" s="1"/>
      <c r="AY421" s="1"/>
      <c r="AZ421" s="1"/>
      <c r="BA421" s="1"/>
      <c r="BB421" s="1"/>
      <c r="BC421" s="1">
        <v>1840586.5005785665</v>
      </c>
      <c r="BD421" s="1"/>
      <c r="BE421" s="1"/>
      <c r="BF421" s="1"/>
      <c r="BG421" s="1"/>
      <c r="BH421" s="1"/>
      <c r="BI421" s="4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>
        <v>1230214.124349647</v>
      </c>
      <c r="CU421" s="2"/>
      <c r="CV421" s="2"/>
      <c r="CW421" s="2"/>
      <c r="CX421" s="2">
        <v>2233920.4684690158</v>
      </c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>
        <v>3025778.0441947347</v>
      </c>
      <c r="DT421" s="2"/>
      <c r="DU421" s="2"/>
      <c r="DV421" s="2"/>
      <c r="DW421" s="2"/>
      <c r="DX421" s="2"/>
      <c r="DY421" s="2"/>
      <c r="DZ421" s="2"/>
      <c r="EA421" s="2"/>
      <c r="EB421" s="2">
        <v>500665.21796432836</v>
      </c>
      <c r="EC421" s="2"/>
      <c r="ED421" s="2"/>
      <c r="EE421" s="2">
        <v>351700.30025701714</v>
      </c>
      <c r="EF421" s="2"/>
      <c r="EG421" s="2">
        <v>450644.76318893197</v>
      </c>
      <c r="EH421" s="2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>
        <v>93317.078507662169</v>
      </c>
      <c r="HG421" s="1"/>
      <c r="HH421" s="1"/>
      <c r="HI421" s="1"/>
      <c r="HJ421" s="1"/>
      <c r="HK421" s="1"/>
      <c r="HL421" s="1"/>
      <c r="HM421" s="1"/>
      <c r="HN421" s="1">
        <v>40886.257634698653</v>
      </c>
      <c r="HO421" s="1"/>
      <c r="HP421" s="1"/>
      <c r="HQ421" s="1"/>
      <c r="HR421" s="1"/>
      <c r="HS421" s="1"/>
      <c r="HT421" s="1"/>
      <c r="HU421" s="1"/>
      <c r="HV421" s="1"/>
      <c r="HW421" s="4"/>
      <c r="HX421" s="2"/>
      <c r="HY421" s="2"/>
      <c r="HZ421" s="2"/>
      <c r="IA421" s="2">
        <v>442011.24991872004</v>
      </c>
      <c r="IB421" s="2">
        <v>206695.68998400003</v>
      </c>
      <c r="IC421" s="2">
        <v>196468.09600896004</v>
      </c>
      <c r="ID421" s="2">
        <v>60508.039656960005</v>
      </c>
      <c r="IE421" s="2">
        <v>189130.60126080003</v>
      </c>
      <c r="IF421" s="2">
        <v>303369.408</v>
      </c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  <c r="JY421" s="2"/>
      <c r="JZ421" s="2"/>
      <c r="KA421" s="2"/>
      <c r="KB421" s="2"/>
      <c r="KC421" s="2"/>
      <c r="KD421" s="2"/>
      <c r="KE421" s="2"/>
      <c r="KF421" s="2"/>
      <c r="KG421" s="2"/>
      <c r="KH421" s="2"/>
      <c r="KI421" s="2"/>
      <c r="KJ421" s="2"/>
      <c r="KK421" s="2"/>
      <c r="KL421" s="2"/>
      <c r="KM421" s="2"/>
      <c r="KN421" s="2"/>
      <c r="KO421" s="2"/>
      <c r="KP421" s="2"/>
      <c r="KQ421" s="2"/>
      <c r="KR421" s="2"/>
      <c r="KS421" s="2"/>
      <c r="KT421" s="2"/>
      <c r="KU421" s="2"/>
      <c r="KV421" s="2"/>
      <c r="KW421" s="2"/>
      <c r="KX421" s="2"/>
      <c r="KY421" s="2"/>
      <c r="KZ421" s="2"/>
      <c r="LA421" s="2"/>
      <c r="LB421" s="2"/>
      <c r="LC421" s="2"/>
      <c r="LD421" s="2"/>
      <c r="LE421" s="2"/>
      <c r="LF421" s="2"/>
      <c r="LG421" s="2"/>
      <c r="LH421" s="2"/>
      <c r="LI421" s="2"/>
      <c r="LJ421" s="2"/>
      <c r="LK421" s="2"/>
      <c r="LL421" s="2"/>
      <c r="LM421" s="2"/>
      <c r="LN421" s="2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</row>
    <row r="422" spans="1:343">
      <c r="A422" s="1">
        <v>1785</v>
      </c>
      <c r="B422" s="1"/>
      <c r="C422" s="1"/>
      <c r="D422" s="1"/>
      <c r="E422" s="1"/>
      <c r="F422" s="1"/>
      <c r="G422" s="1"/>
      <c r="H422" s="1"/>
      <c r="I422" s="1"/>
      <c r="J422" s="1"/>
      <c r="K422" s="1">
        <v>2702155.7631203705</v>
      </c>
      <c r="L422" s="1"/>
      <c r="M422" s="1"/>
      <c r="N422" s="1"/>
      <c r="O422" s="1"/>
      <c r="P422" s="1"/>
      <c r="Q422" s="1"/>
      <c r="R422" s="1"/>
      <c r="S422" s="1"/>
      <c r="T422" s="1"/>
      <c r="U422" s="1">
        <v>5433288.6746267434</v>
      </c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>
        <v>626080.5753082094</v>
      </c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>
        <v>3260825.5587534285</v>
      </c>
      <c r="AU422" s="1"/>
      <c r="AV422" s="1"/>
      <c r="AW422" s="1"/>
      <c r="AX422" s="1"/>
      <c r="AY422" s="1"/>
      <c r="AZ422" s="1"/>
      <c r="BA422" s="1"/>
      <c r="BB422" s="1"/>
      <c r="BC422" s="1">
        <v>1849605.3744314013</v>
      </c>
      <c r="BD422" s="1"/>
      <c r="BE422" s="1"/>
      <c r="BF422" s="1"/>
      <c r="BG422" s="1"/>
      <c r="BH422" s="1"/>
      <c r="BI422" s="4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>
        <v>1236488.2163838304</v>
      </c>
      <c r="CU422" s="2"/>
      <c r="CV422" s="2"/>
      <c r="CW422" s="2"/>
      <c r="CX422" s="2">
        <v>2245313.462858208</v>
      </c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>
        <v>3034855.3783273185</v>
      </c>
      <c r="DT422" s="2"/>
      <c r="DU422" s="2"/>
      <c r="DV422" s="2"/>
      <c r="DW422" s="2"/>
      <c r="DX422" s="2"/>
      <c r="DY422" s="2"/>
      <c r="DZ422" s="2"/>
      <c r="EA422" s="2"/>
      <c r="EB422" s="2">
        <v>503168.54405414994</v>
      </c>
      <c r="EC422" s="2"/>
      <c r="ED422" s="2"/>
      <c r="EE422" s="2">
        <v>353599.48187840503</v>
      </c>
      <c r="EF422" s="2"/>
      <c r="EG422" s="2">
        <v>453168.37386279</v>
      </c>
      <c r="EH422" s="2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>
        <v>93783.663900200467</v>
      </c>
      <c r="HG422" s="1"/>
      <c r="HH422" s="1"/>
      <c r="HI422" s="1"/>
      <c r="HJ422" s="1"/>
      <c r="HK422" s="1"/>
      <c r="HL422" s="1"/>
      <c r="HM422" s="1"/>
      <c r="HN422" s="1">
        <v>41090.688922872141</v>
      </c>
      <c r="HO422" s="1"/>
      <c r="HP422" s="1"/>
      <c r="HQ422" s="1"/>
      <c r="HR422" s="1"/>
      <c r="HS422" s="1"/>
      <c r="HT422" s="1"/>
      <c r="HU422" s="1"/>
      <c r="HV422" s="1"/>
      <c r="HW422" s="4"/>
      <c r="HX422" s="2"/>
      <c r="HY422" s="2"/>
      <c r="HZ422" s="2"/>
      <c r="IA422" s="2">
        <v>444486.5129182649</v>
      </c>
      <c r="IB422" s="2">
        <v>207853.18584791044</v>
      </c>
      <c r="IC422" s="2">
        <v>197568.31734661022</v>
      </c>
      <c r="ID422" s="2">
        <v>60846.884679038987</v>
      </c>
      <c r="IE422" s="2">
        <v>190189.73262786053</v>
      </c>
      <c r="IF422" s="2">
        <v>305068.27668479999</v>
      </c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  <c r="JY422" s="2"/>
      <c r="JZ422" s="2"/>
      <c r="KA422" s="2"/>
      <c r="KB422" s="2"/>
      <c r="KC422" s="2"/>
      <c r="KD422" s="2"/>
      <c r="KE422" s="2"/>
      <c r="KF422" s="2"/>
      <c r="KG422" s="2"/>
      <c r="KH422" s="2"/>
      <c r="KI422" s="2"/>
      <c r="KJ422" s="2"/>
      <c r="KK422" s="2"/>
      <c r="KL422" s="2"/>
      <c r="KM422" s="2"/>
      <c r="KN422" s="2"/>
      <c r="KO422" s="2"/>
      <c r="KP422" s="2"/>
      <c r="KQ422" s="2"/>
      <c r="KR422" s="2"/>
      <c r="KS422" s="2"/>
      <c r="KT422" s="2"/>
      <c r="KU422" s="2"/>
      <c r="KV422" s="2"/>
      <c r="KW422" s="2"/>
      <c r="KX422" s="2"/>
      <c r="KY422" s="2"/>
      <c r="KZ422" s="2"/>
      <c r="LA422" s="2"/>
      <c r="LB422" s="2"/>
      <c r="LC422" s="2"/>
      <c r="LD422" s="2"/>
      <c r="LE422" s="2"/>
      <c r="LF422" s="2"/>
      <c r="LG422" s="2"/>
      <c r="LH422" s="2"/>
      <c r="LI422" s="2"/>
      <c r="LJ422" s="2"/>
      <c r="LK422" s="2"/>
      <c r="LL422" s="2"/>
      <c r="LM422" s="2"/>
      <c r="LN422" s="2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</row>
    <row r="423" spans="1:343">
      <c r="A423" s="1">
        <v>1786</v>
      </c>
      <c r="B423" s="1"/>
      <c r="C423" s="1"/>
      <c r="D423" s="1"/>
      <c r="E423" s="1"/>
      <c r="F423" s="1"/>
      <c r="G423" s="1"/>
      <c r="H423" s="1"/>
      <c r="I423" s="1"/>
      <c r="J423" s="1"/>
      <c r="K423" s="1">
        <v>2710262.2304097312</v>
      </c>
      <c r="L423" s="1"/>
      <c r="M423" s="1"/>
      <c r="N423" s="1"/>
      <c r="O423" s="1"/>
      <c r="P423" s="1"/>
      <c r="Q423" s="1"/>
      <c r="R423" s="1"/>
      <c r="S423" s="1"/>
      <c r="T423" s="1"/>
      <c r="U423" s="1">
        <v>5464801.7489395784</v>
      </c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>
        <v>628584.89760944224</v>
      </c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>
        <v>3277455.7691030712</v>
      </c>
      <c r="AU423" s="1"/>
      <c r="AV423" s="1"/>
      <c r="AW423" s="1"/>
      <c r="AX423" s="1"/>
      <c r="AY423" s="1"/>
      <c r="AZ423" s="1"/>
      <c r="BA423" s="1"/>
      <c r="BB423" s="1"/>
      <c r="BC423" s="1">
        <v>1858668.440766115</v>
      </c>
      <c r="BD423" s="1"/>
      <c r="BE423" s="1"/>
      <c r="BF423" s="1"/>
      <c r="BG423" s="1"/>
      <c r="BH423" s="1"/>
      <c r="BI423" s="4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>
        <v>1242794.3062873881</v>
      </c>
      <c r="CU423" s="2"/>
      <c r="CV423" s="2"/>
      <c r="CW423" s="2"/>
      <c r="CX423" s="2">
        <v>2256764.5615187851</v>
      </c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>
        <v>3043959.9444623003</v>
      </c>
      <c r="DT423" s="2"/>
      <c r="DU423" s="2"/>
      <c r="DV423" s="2"/>
      <c r="DW423" s="2"/>
      <c r="DX423" s="2"/>
      <c r="DY423" s="2"/>
      <c r="DZ423" s="2"/>
      <c r="EA423" s="2"/>
      <c r="EB423" s="2">
        <v>505684.38677442062</v>
      </c>
      <c r="EC423" s="2"/>
      <c r="ED423" s="2"/>
      <c r="EE423" s="2">
        <v>355508.91908054845</v>
      </c>
      <c r="EF423" s="2"/>
      <c r="EG423" s="2">
        <v>455706.11675642163</v>
      </c>
      <c r="EH423" s="2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>
        <v>1963000</v>
      </c>
      <c r="GA423" s="1">
        <v>607749</v>
      </c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>
        <v>94252.582219701464</v>
      </c>
      <c r="HG423" s="1"/>
      <c r="HH423" s="1"/>
      <c r="HI423" s="1"/>
      <c r="HJ423" s="1"/>
      <c r="HK423" s="1"/>
      <c r="HL423" s="1"/>
      <c r="HM423" s="1"/>
      <c r="HN423" s="1">
        <v>41296.1423674865</v>
      </c>
      <c r="HO423" s="1"/>
      <c r="HP423" s="1"/>
      <c r="HQ423" s="1"/>
      <c r="HR423" s="1"/>
      <c r="HS423" s="1"/>
      <c r="HT423" s="1"/>
      <c r="HU423" s="1"/>
      <c r="HV423" s="1"/>
      <c r="HW423" s="4"/>
      <c r="HX423" s="2"/>
      <c r="HY423" s="2"/>
      <c r="HZ423" s="2"/>
      <c r="IA423" s="2">
        <v>446975.63739060721</v>
      </c>
      <c r="IB423" s="2">
        <v>209017.16368865874</v>
      </c>
      <c r="IC423" s="2">
        <v>198674.69992375124</v>
      </c>
      <c r="ID423" s="2">
        <v>61187.627233241612</v>
      </c>
      <c r="IE423" s="2">
        <v>191254.79513057656</v>
      </c>
      <c r="IF423" s="2">
        <v>306776.65903423488</v>
      </c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  <c r="JY423" s="2"/>
      <c r="JZ423" s="2"/>
      <c r="KA423" s="2"/>
      <c r="KB423" s="2"/>
      <c r="KC423" s="2"/>
      <c r="KD423" s="2"/>
      <c r="KE423" s="2"/>
      <c r="KF423" s="2"/>
      <c r="KG423" s="2"/>
      <c r="KH423" s="2"/>
      <c r="KI423" s="2"/>
      <c r="KJ423" s="2"/>
      <c r="KK423" s="2"/>
      <c r="KL423" s="2"/>
      <c r="KM423" s="2"/>
      <c r="KN423" s="2"/>
      <c r="KO423" s="2"/>
      <c r="KP423" s="2"/>
      <c r="KQ423" s="2"/>
      <c r="KR423" s="2"/>
      <c r="KS423" s="2"/>
      <c r="KT423" s="2"/>
      <c r="KU423" s="2"/>
      <c r="KV423" s="2"/>
      <c r="KW423" s="2"/>
      <c r="KX423" s="2"/>
      <c r="KY423" s="2"/>
      <c r="KZ423" s="2"/>
      <c r="LA423" s="2"/>
      <c r="LB423" s="2"/>
      <c r="LC423" s="2"/>
      <c r="LD423" s="2"/>
      <c r="LE423" s="2"/>
      <c r="LF423" s="2"/>
      <c r="LG423" s="2"/>
      <c r="LH423" s="2"/>
      <c r="LI423" s="2"/>
      <c r="LJ423" s="2"/>
      <c r="LK423" s="2"/>
      <c r="LL423" s="2"/>
      <c r="LM423" s="2"/>
      <c r="LN423" s="2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</row>
    <row r="424" spans="1:343">
      <c r="A424" s="1">
        <v>1787</v>
      </c>
      <c r="B424" s="1"/>
      <c r="C424" s="1"/>
      <c r="D424" s="1"/>
      <c r="E424" s="1"/>
      <c r="F424" s="1"/>
      <c r="G424" s="1"/>
      <c r="H424" s="1"/>
      <c r="I424" s="1"/>
      <c r="J424" s="1"/>
      <c r="K424" s="1">
        <v>2718393.01710096</v>
      </c>
      <c r="L424" s="1"/>
      <c r="M424" s="1"/>
      <c r="N424" s="1"/>
      <c r="O424" s="1"/>
      <c r="P424" s="1"/>
      <c r="Q424" s="1"/>
      <c r="R424" s="1"/>
      <c r="S424" s="1"/>
      <c r="T424" s="1"/>
      <c r="U424" s="1">
        <v>5496497.5990834283</v>
      </c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>
        <v>631099.23719988007</v>
      </c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>
        <v>3294170.793525497</v>
      </c>
      <c r="AU424" s="1"/>
      <c r="AV424" s="1"/>
      <c r="AW424" s="1"/>
      <c r="AX424" s="1"/>
      <c r="AY424" s="1"/>
      <c r="AZ424" s="1"/>
      <c r="BA424" s="1"/>
      <c r="BB424" s="1"/>
      <c r="BC424" s="1">
        <v>1867775.9161258687</v>
      </c>
      <c r="BD424" s="1"/>
      <c r="BE424" s="1"/>
      <c r="BF424" s="1"/>
      <c r="BG424" s="1"/>
      <c r="BH424" s="1"/>
      <c r="BI424" s="4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>
        <v>1249132.5572494539</v>
      </c>
      <c r="CU424" s="2"/>
      <c r="CV424" s="2"/>
      <c r="CW424" s="2"/>
      <c r="CX424" s="2">
        <v>2268274.0607825313</v>
      </c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>
        <v>3053091.824295687</v>
      </c>
      <c r="DT424" s="2"/>
      <c r="DU424" s="2"/>
      <c r="DV424" s="2"/>
      <c r="DW424" s="2"/>
      <c r="DX424" s="2"/>
      <c r="DY424" s="2"/>
      <c r="DZ424" s="2"/>
      <c r="EA424" s="2"/>
      <c r="EB424" s="2">
        <v>508212.80870829266</v>
      </c>
      <c r="EC424" s="2"/>
      <c r="ED424" s="2"/>
      <c r="EE424" s="2">
        <v>357428.66724358342</v>
      </c>
      <c r="EF424" s="2"/>
      <c r="EG424" s="2">
        <v>458258.07101025764</v>
      </c>
      <c r="EH424" s="2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>
        <v>94723.845130799964</v>
      </c>
      <c r="HG424" s="1"/>
      <c r="HH424" s="1"/>
      <c r="HI424" s="1"/>
      <c r="HJ424" s="1"/>
      <c r="HK424" s="1"/>
      <c r="HL424" s="1"/>
      <c r="HM424" s="1"/>
      <c r="HN424" s="1">
        <v>41502.62307932393</v>
      </c>
      <c r="HO424" s="1"/>
      <c r="HP424" s="1"/>
      <c r="HQ424" s="1"/>
      <c r="HR424" s="1"/>
      <c r="HS424" s="1"/>
      <c r="HT424" s="1"/>
      <c r="HU424" s="1"/>
      <c r="HV424" s="1"/>
      <c r="HW424" s="4"/>
      <c r="HX424" s="2"/>
      <c r="HY424" s="2"/>
      <c r="HZ424" s="2"/>
      <c r="IA424" s="2">
        <v>449478.70095999463</v>
      </c>
      <c r="IB424" s="2">
        <v>210187.65980531523</v>
      </c>
      <c r="IC424" s="2">
        <v>199787.27824332425</v>
      </c>
      <c r="ID424" s="2">
        <v>61530.277945747766</v>
      </c>
      <c r="IE424" s="2">
        <v>192325.8219833078</v>
      </c>
      <c r="IF424" s="2">
        <v>308494.60832482664</v>
      </c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  <c r="JY424" s="2"/>
      <c r="JZ424" s="2"/>
      <c r="KA424" s="2"/>
      <c r="KB424" s="2"/>
      <c r="KC424" s="2"/>
      <c r="KD424" s="2"/>
      <c r="KE424" s="2"/>
      <c r="KF424" s="2"/>
      <c r="KG424" s="2"/>
      <c r="KH424" s="2"/>
      <c r="KI424" s="2"/>
      <c r="KJ424" s="2"/>
      <c r="KK424" s="2"/>
      <c r="KL424" s="2"/>
      <c r="KM424" s="2"/>
      <c r="KN424" s="2"/>
      <c r="KO424" s="2"/>
      <c r="KP424" s="2"/>
      <c r="KQ424" s="2"/>
      <c r="KR424" s="2"/>
      <c r="KS424" s="2"/>
      <c r="KT424" s="2"/>
      <c r="KU424" s="2"/>
      <c r="KV424" s="2"/>
      <c r="KW424" s="2"/>
      <c r="KX424" s="2"/>
      <c r="KY424" s="2"/>
      <c r="KZ424" s="2"/>
      <c r="LA424" s="2"/>
      <c r="LB424" s="2"/>
      <c r="LC424" s="2"/>
      <c r="LD424" s="2"/>
      <c r="LE424" s="2"/>
      <c r="LF424" s="2"/>
      <c r="LG424" s="2"/>
      <c r="LH424" s="2"/>
      <c r="LI424" s="2"/>
      <c r="LJ424" s="2"/>
      <c r="LK424" s="2"/>
      <c r="LL424" s="2"/>
      <c r="LM424" s="2"/>
      <c r="LN424" s="2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</row>
    <row r="425" spans="1:343">
      <c r="A425" s="1">
        <v>1788</v>
      </c>
      <c r="B425" s="1"/>
      <c r="C425" s="1"/>
      <c r="D425" s="1"/>
      <c r="E425" s="1"/>
      <c r="F425" s="1"/>
      <c r="G425" s="1"/>
      <c r="H425" s="1"/>
      <c r="I425" s="1"/>
      <c r="J425" s="1"/>
      <c r="K425" s="1">
        <v>2726548.1961522624</v>
      </c>
      <c r="L425" s="1"/>
      <c r="M425" s="1"/>
      <c r="N425" s="1"/>
      <c r="O425" s="1"/>
      <c r="P425" s="1"/>
      <c r="Q425" s="1"/>
      <c r="R425" s="1"/>
      <c r="S425" s="1"/>
      <c r="T425" s="1"/>
      <c r="U425" s="1">
        <v>5528377.2851581126</v>
      </c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>
        <v>633623.63414867956</v>
      </c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>
        <v>3310971.0645724772</v>
      </c>
      <c r="AU425" s="1"/>
      <c r="AV425" s="1"/>
      <c r="AW425" s="1"/>
      <c r="AX425" s="1"/>
      <c r="AY425" s="1"/>
      <c r="AZ425" s="1"/>
      <c r="BA425" s="1"/>
      <c r="BB425" s="1"/>
      <c r="BC425" s="1">
        <v>1876928.0181148853</v>
      </c>
      <c r="BD425" s="1"/>
      <c r="BE425" s="1"/>
      <c r="BF425" s="1"/>
      <c r="BG425" s="1"/>
      <c r="BH425" s="1"/>
      <c r="BI425" s="4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>
        <v>1255503.1332914261</v>
      </c>
      <c r="CU425" s="2"/>
      <c r="CV425" s="2"/>
      <c r="CW425" s="2"/>
      <c r="CX425" s="2">
        <v>2279842.2584925224</v>
      </c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>
        <v>3062251.0997685739</v>
      </c>
      <c r="DT425" s="2"/>
      <c r="DU425" s="2"/>
      <c r="DV425" s="2"/>
      <c r="DW425" s="2"/>
      <c r="DX425" s="2"/>
      <c r="DY425" s="2"/>
      <c r="DZ425" s="2"/>
      <c r="EA425" s="2"/>
      <c r="EB425" s="2">
        <v>510753.87275183405</v>
      </c>
      <c r="EC425" s="2"/>
      <c r="ED425" s="2"/>
      <c r="EE425" s="2">
        <v>359358.78204669879</v>
      </c>
      <c r="EF425" s="2"/>
      <c r="EG425" s="2">
        <v>460824.31620791508</v>
      </c>
      <c r="EH425" s="2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>
        <v>95197.464356453958</v>
      </c>
      <c r="HG425" s="1"/>
      <c r="HH425" s="1"/>
      <c r="HI425" s="1"/>
      <c r="HJ425" s="1"/>
      <c r="HK425" s="1"/>
      <c r="HL425" s="1"/>
      <c r="HM425" s="1"/>
      <c r="HN425" s="1">
        <v>41710.136194720544</v>
      </c>
      <c r="HO425" s="1"/>
      <c r="HP425" s="1"/>
      <c r="HQ425" s="1"/>
      <c r="HR425" s="1"/>
      <c r="HS425" s="1"/>
      <c r="HT425" s="1"/>
      <c r="HU425" s="1"/>
      <c r="HV425" s="1"/>
      <c r="HW425" s="4"/>
      <c r="HX425" s="2"/>
      <c r="HY425" s="2"/>
      <c r="HZ425" s="2"/>
      <c r="IA425" s="2">
        <v>451995.7816853706</v>
      </c>
      <c r="IB425" s="2">
        <v>211364.710700225</v>
      </c>
      <c r="IC425" s="2">
        <v>200906.08700148689</v>
      </c>
      <c r="ID425" s="2">
        <v>61874.84750224396</v>
      </c>
      <c r="IE425" s="2">
        <v>193402.84658641435</v>
      </c>
      <c r="IF425" s="2">
        <v>310222.17813144566</v>
      </c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  <c r="JY425" s="2"/>
      <c r="JZ425" s="2"/>
      <c r="KA425" s="2"/>
      <c r="KB425" s="2"/>
      <c r="KC425" s="2"/>
      <c r="KD425" s="2"/>
      <c r="KE425" s="2"/>
      <c r="KF425" s="2"/>
      <c r="KG425" s="2"/>
      <c r="KH425" s="2"/>
      <c r="KI425" s="2"/>
      <c r="KJ425" s="2"/>
      <c r="KK425" s="2"/>
      <c r="KL425" s="2"/>
      <c r="KM425" s="2"/>
      <c r="KN425" s="2"/>
      <c r="KO425" s="2"/>
      <c r="KP425" s="2"/>
      <c r="KQ425" s="2"/>
      <c r="KR425" s="2"/>
      <c r="KS425" s="2"/>
      <c r="KT425" s="2"/>
      <c r="KU425" s="2"/>
      <c r="KV425" s="2"/>
      <c r="KW425" s="2"/>
      <c r="KX425" s="2"/>
      <c r="KY425" s="2"/>
      <c r="KZ425" s="2"/>
      <c r="LA425" s="2"/>
      <c r="LB425" s="2"/>
      <c r="LC425" s="2"/>
      <c r="LD425" s="2"/>
      <c r="LE425" s="2"/>
      <c r="LF425" s="2"/>
      <c r="LG425" s="2"/>
      <c r="LH425" s="2"/>
      <c r="LI425" s="2"/>
      <c r="LJ425" s="2"/>
      <c r="LK425" s="2"/>
      <c r="LL425" s="2"/>
      <c r="LM425" s="2"/>
      <c r="LN425" s="2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</row>
    <row r="426" spans="1:343">
      <c r="A426" s="1">
        <v>1789</v>
      </c>
      <c r="B426" s="1"/>
      <c r="C426" s="1"/>
      <c r="D426" s="1"/>
      <c r="E426" s="1"/>
      <c r="F426" s="1"/>
      <c r="G426" s="1"/>
      <c r="H426" s="1"/>
      <c r="I426" s="1"/>
      <c r="J426" s="1"/>
      <c r="K426" s="1">
        <v>2734727.8407407189</v>
      </c>
      <c r="L426" s="1"/>
      <c r="M426" s="1"/>
      <c r="N426" s="1"/>
      <c r="O426" s="1"/>
      <c r="P426" s="1"/>
      <c r="Q426" s="1"/>
      <c r="R426" s="1"/>
      <c r="S426" s="1"/>
      <c r="T426" s="1"/>
      <c r="U426" s="1">
        <v>5560441.8734120298</v>
      </c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>
        <v>636158.12868527428</v>
      </c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>
        <v>3327857.0170017974</v>
      </c>
      <c r="AU426" s="1"/>
      <c r="AV426" s="1"/>
      <c r="AW426" s="1"/>
      <c r="AX426" s="1"/>
      <c r="AY426" s="1"/>
      <c r="AZ426" s="1"/>
      <c r="BA426" s="1"/>
      <c r="BB426" s="1"/>
      <c r="BC426" s="1">
        <v>1886124.9654036481</v>
      </c>
      <c r="BD426" s="1"/>
      <c r="BE426" s="1"/>
      <c r="BF426" s="1"/>
      <c r="BG426" s="1"/>
      <c r="BH426" s="1"/>
      <c r="BI426" s="4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>
        <v>1261906.1992712126</v>
      </c>
      <c r="CU426" s="2"/>
      <c r="CV426" s="2"/>
      <c r="CW426" s="2"/>
      <c r="CX426" s="2">
        <v>2291469.4540108345</v>
      </c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>
        <v>3071437.8530678791</v>
      </c>
      <c r="DT426" s="2"/>
      <c r="DU426" s="2"/>
      <c r="DV426" s="2"/>
      <c r="DW426" s="2"/>
      <c r="DX426" s="2"/>
      <c r="DY426" s="2"/>
      <c r="DZ426" s="2"/>
      <c r="EA426" s="2"/>
      <c r="EB426" s="2">
        <v>513307.64211559319</v>
      </c>
      <c r="EC426" s="2"/>
      <c r="ED426" s="2"/>
      <c r="EE426" s="2">
        <v>361299.31946975098</v>
      </c>
      <c r="EF426" s="2"/>
      <c r="EG426" s="2">
        <v>463404.9323786794</v>
      </c>
      <c r="EH426" s="2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>
        <v>2416105</v>
      </c>
      <c r="FB426" s="1">
        <v>491980</v>
      </c>
      <c r="FC426" s="1">
        <v>327552</v>
      </c>
      <c r="FD426" s="1">
        <v>326521</v>
      </c>
      <c r="FE426" s="1">
        <v>358911</v>
      </c>
      <c r="FF426" s="1">
        <v>263769</v>
      </c>
      <c r="FG426" s="1">
        <v>271317</v>
      </c>
      <c r="FH426" s="1">
        <v>393909</v>
      </c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>
        <v>95673.451678236219</v>
      </c>
      <c r="HG426" s="1"/>
      <c r="HH426" s="1"/>
      <c r="HI426" s="1"/>
      <c r="HJ426" s="1"/>
      <c r="HK426" s="1"/>
      <c r="HL426" s="1"/>
      <c r="HM426" s="1"/>
      <c r="HN426" s="1">
        <v>41918.68687569414</v>
      </c>
      <c r="HO426" s="1"/>
      <c r="HP426" s="1"/>
      <c r="HQ426" s="1"/>
      <c r="HR426" s="1"/>
      <c r="HS426" s="1"/>
      <c r="HT426" s="1"/>
      <c r="HU426" s="1"/>
      <c r="HV426" s="1"/>
      <c r="HW426" s="4"/>
      <c r="HX426" s="2"/>
      <c r="HY426" s="2"/>
      <c r="HZ426" s="2"/>
      <c r="IA426" s="2">
        <v>454526.95806280873</v>
      </c>
      <c r="IB426" s="2">
        <v>212548.35308014628</v>
      </c>
      <c r="IC426" s="2">
        <v>202031.16108869523</v>
      </c>
      <c r="ID426" s="2">
        <v>62221.346648256527</v>
      </c>
      <c r="IE426" s="2">
        <v>194485.90252729828</v>
      </c>
      <c r="IF426" s="2">
        <v>311959.42232898175</v>
      </c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  <c r="JY426" s="2"/>
      <c r="JZ426" s="2"/>
      <c r="KA426" s="2"/>
      <c r="KB426" s="2"/>
      <c r="KC426" s="2"/>
      <c r="KD426" s="2"/>
      <c r="KE426" s="2"/>
      <c r="KF426" s="2"/>
      <c r="KG426" s="2"/>
      <c r="KH426" s="2"/>
      <c r="KI426" s="2"/>
      <c r="KJ426" s="2"/>
      <c r="KK426" s="2"/>
      <c r="KL426" s="2"/>
      <c r="KM426" s="2"/>
      <c r="KN426" s="2"/>
      <c r="KO426" s="2"/>
      <c r="KP426" s="2"/>
      <c r="KQ426" s="2"/>
      <c r="KR426" s="2"/>
      <c r="KS426" s="2"/>
      <c r="KT426" s="2"/>
      <c r="KU426" s="2"/>
      <c r="KV426" s="2"/>
      <c r="KW426" s="2"/>
      <c r="KX426" s="2"/>
      <c r="KY426" s="2"/>
      <c r="KZ426" s="2"/>
      <c r="LA426" s="2"/>
      <c r="LB426" s="2"/>
      <c r="LC426" s="2"/>
      <c r="LD426" s="2"/>
      <c r="LE426" s="2"/>
      <c r="LF426" s="2"/>
      <c r="LG426" s="2"/>
      <c r="LH426" s="2"/>
      <c r="LI426" s="2"/>
      <c r="LJ426" s="2"/>
      <c r="LK426" s="2"/>
      <c r="LL426" s="2"/>
      <c r="LM426" s="2"/>
      <c r="LN426" s="2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</row>
    <row r="427" spans="1:343">
      <c r="A427" s="1">
        <v>1790</v>
      </c>
      <c r="B427" s="1"/>
      <c r="C427" s="1"/>
      <c r="D427" s="1"/>
      <c r="E427" s="1"/>
      <c r="F427" s="1"/>
      <c r="G427" s="1"/>
      <c r="H427" s="1"/>
      <c r="I427" s="1"/>
      <c r="J427" s="1"/>
      <c r="K427" s="1">
        <v>2742932.0242629405</v>
      </c>
      <c r="L427" s="1"/>
      <c r="M427" s="1"/>
      <c r="N427" s="1"/>
      <c r="O427" s="1"/>
      <c r="P427" s="1"/>
      <c r="Q427" s="1"/>
      <c r="R427" s="1"/>
      <c r="S427" s="1"/>
      <c r="T427" s="1"/>
      <c r="U427" s="1">
        <v>5592692.4362778198</v>
      </c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>
        <v>638702.76120001543</v>
      </c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>
        <v>3344829.0877885069</v>
      </c>
      <c r="AU427" s="1"/>
      <c r="AV427" s="1"/>
      <c r="AW427" s="1"/>
      <c r="AX427" s="1"/>
      <c r="AY427" s="1"/>
      <c r="AZ427" s="1"/>
      <c r="BA427" s="1"/>
      <c r="BB427" s="1"/>
      <c r="BC427" s="1">
        <v>1895366.9777341257</v>
      </c>
      <c r="BD427" s="1"/>
      <c r="BE427" s="1"/>
      <c r="BF427" s="1"/>
      <c r="BG427" s="1"/>
      <c r="BH427" s="1"/>
      <c r="BI427" s="4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>
        <v>1268341.9208874959</v>
      </c>
      <c r="CU427" s="2"/>
      <c r="CV427" s="2"/>
      <c r="CW427" s="2"/>
      <c r="CX427" s="2">
        <v>2303155.9482262898</v>
      </c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>
        <v>3080652.1666270825</v>
      </c>
      <c r="DT427" s="2"/>
      <c r="DU427" s="2"/>
      <c r="DV427" s="2"/>
      <c r="DW427" s="2"/>
      <c r="DX427" s="2"/>
      <c r="DY427" s="2"/>
      <c r="DZ427" s="2"/>
      <c r="EA427" s="2"/>
      <c r="EB427" s="2">
        <v>515874.1803261711</v>
      </c>
      <c r="EC427" s="2"/>
      <c r="ED427" s="2"/>
      <c r="EE427" s="2">
        <v>363250.33579488768</v>
      </c>
      <c r="EF427" s="2"/>
      <c r="EG427" s="2">
        <v>466000</v>
      </c>
      <c r="EH427" s="2">
        <v>181740</v>
      </c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>
        <v>96151.818936627387</v>
      </c>
      <c r="HG427" s="1"/>
      <c r="HH427" s="1"/>
      <c r="HI427" s="1"/>
      <c r="HJ427" s="1"/>
      <c r="HK427" s="1"/>
      <c r="HL427" s="1"/>
      <c r="HM427" s="1"/>
      <c r="HN427" s="1">
        <v>42128.280310072609</v>
      </c>
      <c r="HO427" s="1"/>
      <c r="HP427" s="1"/>
      <c r="HQ427" s="1"/>
      <c r="HR427" s="1"/>
      <c r="HS427" s="1"/>
      <c r="HT427" s="1"/>
      <c r="HU427" s="1"/>
      <c r="HV427" s="1"/>
      <c r="HW427" s="4"/>
      <c r="HX427" s="2"/>
      <c r="HY427" s="2"/>
      <c r="HZ427" s="2"/>
      <c r="IA427" s="2">
        <v>457072.30902796047</v>
      </c>
      <c r="IB427" s="2">
        <v>213738.62385739511</v>
      </c>
      <c r="IC427" s="2">
        <v>203162.53559079193</v>
      </c>
      <c r="ID427" s="2">
        <v>62569.786189486767</v>
      </c>
      <c r="IE427" s="2">
        <v>195575.02358145115</v>
      </c>
      <c r="IF427" s="2">
        <v>313706.39509402408</v>
      </c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  <c r="JY427" s="2"/>
      <c r="JZ427" s="2"/>
      <c r="KA427" s="2"/>
      <c r="KB427" s="2"/>
      <c r="KC427" s="2"/>
      <c r="KD427" s="2"/>
      <c r="KE427" s="2"/>
      <c r="KF427" s="2"/>
      <c r="KG427" s="2"/>
      <c r="KH427" s="2"/>
      <c r="KI427" s="2"/>
      <c r="KJ427" s="2"/>
      <c r="KK427" s="2"/>
      <c r="KL427" s="2"/>
      <c r="KM427" s="2"/>
      <c r="KN427" s="2"/>
      <c r="KO427" s="2"/>
      <c r="KP427" s="2"/>
      <c r="KQ427" s="2"/>
      <c r="KR427" s="2"/>
      <c r="KS427" s="2"/>
      <c r="KT427" s="2"/>
      <c r="KU427" s="2"/>
      <c r="KV427" s="2"/>
      <c r="KW427" s="2"/>
      <c r="KX427" s="2"/>
      <c r="KY427" s="2"/>
      <c r="KZ427" s="2"/>
      <c r="LA427" s="2"/>
      <c r="LB427" s="2"/>
      <c r="LC427" s="2"/>
      <c r="LD427" s="2"/>
      <c r="LE427" s="2"/>
      <c r="LF427" s="2"/>
      <c r="LG427" s="2"/>
      <c r="LH427" s="2"/>
      <c r="LI427" s="2"/>
      <c r="LJ427" s="2"/>
      <c r="LK427" s="2"/>
      <c r="LL427" s="2"/>
      <c r="LM427" s="2"/>
      <c r="LN427" s="2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</row>
    <row r="428" spans="1:343">
      <c r="A428" s="1">
        <v>1791</v>
      </c>
      <c r="B428" s="1"/>
      <c r="C428" s="1"/>
      <c r="D428" s="1"/>
      <c r="E428" s="1"/>
      <c r="F428" s="1"/>
      <c r="G428" s="1"/>
      <c r="H428" s="1"/>
      <c r="I428" s="1"/>
      <c r="J428" s="1"/>
      <c r="K428" s="1">
        <v>2751160.820335729</v>
      </c>
      <c r="L428" s="1"/>
      <c r="M428" s="1"/>
      <c r="N428" s="1"/>
      <c r="O428" s="1"/>
      <c r="P428" s="1"/>
      <c r="Q428" s="1"/>
      <c r="R428" s="1"/>
      <c r="S428" s="1"/>
      <c r="T428" s="1"/>
      <c r="U428" s="1">
        <v>5625130.0524082314</v>
      </c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>
        <v>641257.57224481553</v>
      </c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>
        <v>3361887.7161362288</v>
      </c>
      <c r="AU428" s="1"/>
      <c r="AV428" s="1"/>
      <c r="AW428" s="1"/>
      <c r="AX428" s="1"/>
      <c r="AY428" s="1"/>
      <c r="AZ428" s="1"/>
      <c r="BA428" s="1"/>
      <c r="BB428" s="1"/>
      <c r="BC428" s="1">
        <v>1904654.2759250228</v>
      </c>
      <c r="BD428" s="1"/>
      <c r="BE428" s="1"/>
      <c r="BF428" s="1"/>
      <c r="BG428" s="1"/>
      <c r="BH428" s="1"/>
      <c r="BI428" s="4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>
        <v>1274810.4646840221</v>
      </c>
      <c r="CU428" s="2"/>
      <c r="CV428" s="2"/>
      <c r="CW428" s="2"/>
      <c r="CX428" s="2">
        <v>2314902.0435622442</v>
      </c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>
        <v>3089894.1231269636</v>
      </c>
      <c r="DT428" s="2"/>
      <c r="DU428" s="2"/>
      <c r="DV428" s="2"/>
      <c r="DW428" s="2"/>
      <c r="DX428" s="2"/>
      <c r="DY428" s="2"/>
      <c r="DZ428" s="2"/>
      <c r="EA428" s="2"/>
      <c r="EB428" s="2">
        <v>518453.55122780189</v>
      </c>
      <c r="EC428" s="2"/>
      <c r="ED428" s="2"/>
      <c r="EE428" s="2">
        <v>365211.88760818011</v>
      </c>
      <c r="EF428" s="2"/>
      <c r="EG428" s="2">
        <v>468609.60000000003</v>
      </c>
      <c r="EH428" s="2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>
        <v>4583173.03</v>
      </c>
      <c r="FR428" s="1">
        <v>1002582</v>
      </c>
      <c r="FS428" s="1">
        <v>524708.03</v>
      </c>
      <c r="FT428" s="1">
        <v>686520</v>
      </c>
      <c r="FU428" s="1">
        <v>956556</v>
      </c>
      <c r="FV428" s="1">
        <v>608304</v>
      </c>
      <c r="FW428" s="1">
        <v>342210</v>
      </c>
      <c r="FX428" s="1">
        <v>334787</v>
      </c>
      <c r="FY428" s="1">
        <v>127506</v>
      </c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>
        <v>96632.578031310521</v>
      </c>
      <c r="HG428" s="1"/>
      <c r="HH428" s="1"/>
      <c r="HI428" s="1"/>
      <c r="HJ428" s="1"/>
      <c r="HK428" s="1"/>
      <c r="HL428" s="1"/>
      <c r="HM428" s="1"/>
      <c r="HN428" s="1">
        <v>42338.92171162297</v>
      </c>
      <c r="HO428" s="1"/>
      <c r="HP428" s="1"/>
      <c r="HQ428" s="1"/>
      <c r="HR428" s="1"/>
      <c r="HS428" s="1"/>
      <c r="HT428" s="1"/>
      <c r="HU428" s="1"/>
      <c r="HV428" s="1"/>
      <c r="HW428" s="4"/>
      <c r="HX428" s="2"/>
      <c r="HY428" s="2"/>
      <c r="HZ428" s="2"/>
      <c r="IA428" s="2">
        <v>459631.91395851708</v>
      </c>
      <c r="IB428" s="2">
        <v>214935.56015099655</v>
      </c>
      <c r="IC428" s="2">
        <v>204300.24579010037</v>
      </c>
      <c r="ID428" s="2">
        <v>62920.176992147899</v>
      </c>
      <c r="IE428" s="2">
        <v>196670.24371350728</v>
      </c>
      <c r="IF428" s="2">
        <v>315463.15090655064</v>
      </c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  <c r="JY428" s="2"/>
      <c r="JZ428" s="2"/>
      <c r="KA428" s="2"/>
      <c r="KB428" s="2"/>
      <c r="KC428" s="2"/>
      <c r="KD428" s="2"/>
      <c r="KE428" s="2"/>
      <c r="KF428" s="2"/>
      <c r="KG428" s="2"/>
      <c r="KH428" s="2"/>
      <c r="KI428" s="2"/>
      <c r="KJ428" s="2"/>
      <c r="KK428" s="2"/>
      <c r="KL428" s="2"/>
      <c r="KM428" s="2"/>
      <c r="KN428" s="2"/>
      <c r="KO428" s="2"/>
      <c r="KP428" s="2"/>
      <c r="KQ428" s="2"/>
      <c r="KR428" s="2"/>
      <c r="KS428" s="2"/>
      <c r="KT428" s="2"/>
      <c r="KU428" s="2"/>
      <c r="KV428" s="2"/>
      <c r="KW428" s="2"/>
      <c r="KX428" s="2"/>
      <c r="KY428" s="2"/>
      <c r="KZ428" s="2"/>
      <c r="LA428" s="2"/>
      <c r="LB428" s="2"/>
      <c r="LC428" s="2"/>
      <c r="LD428" s="2"/>
      <c r="LE428" s="2"/>
      <c r="LF428" s="2"/>
      <c r="LG428" s="2"/>
      <c r="LH428" s="2"/>
      <c r="LI428" s="2"/>
      <c r="LJ428" s="2"/>
      <c r="LK428" s="2"/>
      <c r="LL428" s="2"/>
      <c r="LM428" s="2"/>
      <c r="LN428" s="2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</row>
    <row r="429" spans="1:343">
      <c r="A429" s="1">
        <v>1792</v>
      </c>
      <c r="B429" s="1"/>
      <c r="C429" s="1"/>
      <c r="D429" s="1"/>
      <c r="E429" s="1"/>
      <c r="F429" s="1"/>
      <c r="G429" s="1"/>
      <c r="H429" s="1"/>
      <c r="I429" s="1"/>
      <c r="J429" s="1"/>
      <c r="K429" s="1">
        <v>2759414.3027967359</v>
      </c>
      <c r="L429" s="1"/>
      <c r="M429" s="1"/>
      <c r="N429" s="1"/>
      <c r="O429" s="1"/>
      <c r="P429" s="1"/>
      <c r="Q429" s="1"/>
      <c r="R429" s="1"/>
      <c r="S429" s="1"/>
      <c r="T429" s="1"/>
      <c r="U429" s="1">
        <v>5657755.806712199</v>
      </c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>
        <v>643822.60253379482</v>
      </c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>
        <v>3379033.3434885237</v>
      </c>
      <c r="AU429" s="1"/>
      <c r="AV429" s="1"/>
      <c r="AW429" s="1"/>
      <c r="AX429" s="1"/>
      <c r="AY429" s="1"/>
      <c r="AZ429" s="1"/>
      <c r="BA429" s="1"/>
      <c r="BB429" s="1"/>
      <c r="BC429" s="1">
        <v>1913987.0818770551</v>
      </c>
      <c r="BD429" s="1"/>
      <c r="BE429" s="1"/>
      <c r="BF429" s="1"/>
      <c r="BG429" s="1"/>
      <c r="BH429" s="1"/>
      <c r="BI429" s="4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>
        <v>1281311.9980539107</v>
      </c>
      <c r="CU429" s="2"/>
      <c r="CV429" s="2"/>
      <c r="CW429" s="2"/>
      <c r="CX429" s="2">
        <v>2326708.0439844117</v>
      </c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>
        <v>3099163.8054963443</v>
      </c>
      <c r="DT429" s="2"/>
      <c r="DU429" s="2"/>
      <c r="DV429" s="2"/>
      <c r="DW429" s="2"/>
      <c r="DX429" s="2"/>
      <c r="DY429" s="2"/>
      <c r="DZ429" s="2"/>
      <c r="EA429" s="2"/>
      <c r="EB429" s="2">
        <v>521045.81898394082</v>
      </c>
      <c r="EC429" s="2"/>
      <c r="ED429" s="2"/>
      <c r="EE429" s="2">
        <v>367184.03180126433</v>
      </c>
      <c r="EF429" s="2"/>
      <c r="EG429" s="2">
        <v>471233.81376000005</v>
      </c>
      <c r="EH429" s="2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>
        <v>97115.740921467062</v>
      </c>
      <c r="HG429" s="1"/>
      <c r="HH429" s="1"/>
      <c r="HI429" s="1"/>
      <c r="HJ429" s="1"/>
      <c r="HK429" s="1"/>
      <c r="HL429" s="1"/>
      <c r="HM429" s="1"/>
      <c r="HN429" s="1">
        <v>42550.616320181078</v>
      </c>
      <c r="HO429" s="1"/>
      <c r="HP429" s="1"/>
      <c r="HQ429" s="1"/>
      <c r="HR429" s="1"/>
      <c r="HS429" s="1"/>
      <c r="HT429" s="1"/>
      <c r="HU429" s="1"/>
      <c r="HV429" s="1"/>
      <c r="HW429" s="4"/>
      <c r="HX429" s="2"/>
      <c r="HY429" s="2"/>
      <c r="HZ429" s="2"/>
      <c r="IA429" s="2">
        <v>462205.85267668479</v>
      </c>
      <c r="IB429" s="2">
        <v>216139.19928784214</v>
      </c>
      <c r="IC429" s="2">
        <v>205444.32716652495</v>
      </c>
      <c r="ID429" s="2">
        <v>63272.529983303932</v>
      </c>
      <c r="IE429" s="2">
        <v>197771.59707830293</v>
      </c>
      <c r="IF429" s="2">
        <v>317229.74455162731</v>
      </c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  <c r="JY429" s="2"/>
      <c r="JZ429" s="2"/>
      <c r="KA429" s="2"/>
      <c r="KB429" s="2"/>
      <c r="KC429" s="2"/>
      <c r="KD429" s="2"/>
      <c r="KE429" s="2"/>
      <c r="KF429" s="2"/>
      <c r="KG429" s="2"/>
      <c r="KH429" s="2"/>
      <c r="KI429" s="2"/>
      <c r="KJ429" s="2"/>
      <c r="KK429" s="2"/>
      <c r="KL429" s="2"/>
      <c r="KM429" s="2"/>
      <c r="KN429" s="2"/>
      <c r="KO429" s="2"/>
      <c r="KP429" s="2"/>
      <c r="KQ429" s="2"/>
      <c r="KR429" s="2"/>
      <c r="KS429" s="2"/>
      <c r="KT429" s="2"/>
      <c r="KU429" s="2"/>
      <c r="KV429" s="2"/>
      <c r="KW429" s="2"/>
      <c r="KX429" s="2"/>
      <c r="KY429" s="2"/>
      <c r="KZ429" s="2"/>
      <c r="LA429" s="2"/>
      <c r="LB429" s="2"/>
      <c r="LC429" s="2"/>
      <c r="LD429" s="2"/>
      <c r="LE429" s="2"/>
      <c r="LF429" s="2"/>
      <c r="LG429" s="2"/>
      <c r="LH429" s="2"/>
      <c r="LI429" s="2"/>
      <c r="LJ429" s="2"/>
      <c r="LK429" s="2"/>
      <c r="LL429" s="2"/>
      <c r="LM429" s="2"/>
      <c r="LN429" s="2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</row>
    <row r="430" spans="1:343">
      <c r="A430" s="1">
        <v>1793</v>
      </c>
      <c r="B430" s="1"/>
      <c r="C430" s="1"/>
      <c r="D430" s="1"/>
      <c r="E430" s="1"/>
      <c r="F430" s="1"/>
      <c r="G430" s="1"/>
      <c r="H430" s="1"/>
      <c r="I430" s="1"/>
      <c r="J430" s="1"/>
      <c r="K430" s="1">
        <v>2767692.5457051257</v>
      </c>
      <c r="L430" s="1"/>
      <c r="M430" s="1"/>
      <c r="N430" s="1"/>
      <c r="O430" s="1"/>
      <c r="P430" s="1"/>
      <c r="Q430" s="1"/>
      <c r="R430" s="1"/>
      <c r="S430" s="1"/>
      <c r="T430" s="1"/>
      <c r="U430" s="1">
        <v>5690570.7903911304</v>
      </c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>
        <v>646397.89294393</v>
      </c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>
        <v>3396266.4135403153</v>
      </c>
      <c r="AU430" s="1"/>
      <c r="AV430" s="1"/>
      <c r="AW430" s="1"/>
      <c r="AX430" s="1"/>
      <c r="AY430" s="1"/>
      <c r="AZ430" s="1"/>
      <c r="BA430" s="1"/>
      <c r="BB430" s="1"/>
      <c r="BC430" s="1">
        <v>1923365.6185782526</v>
      </c>
      <c r="BD430" s="1"/>
      <c r="BE430" s="1"/>
      <c r="BF430" s="1"/>
      <c r="BG430" s="1"/>
      <c r="BH430" s="1"/>
      <c r="BI430" s="4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>
        <v>1287846.6892439858</v>
      </c>
      <c r="CU430" s="2"/>
      <c r="CV430" s="2"/>
      <c r="CW430" s="2"/>
      <c r="CX430" s="2">
        <v>2338574.2550087324</v>
      </c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>
        <v>3108461.2969128331</v>
      </c>
      <c r="DT430" s="2"/>
      <c r="DU430" s="2"/>
      <c r="DV430" s="2"/>
      <c r="DW430" s="2"/>
      <c r="DX430" s="2"/>
      <c r="DY430" s="2"/>
      <c r="DZ430" s="2"/>
      <c r="EA430" s="2"/>
      <c r="EB430" s="2">
        <v>523651.04807886045</v>
      </c>
      <c r="EC430" s="2"/>
      <c r="ED430" s="2"/>
      <c r="EE430" s="2">
        <v>369166.82557299116</v>
      </c>
      <c r="EF430" s="2"/>
      <c r="EG430" s="2">
        <v>473872.72311705607</v>
      </c>
      <c r="EH430" s="2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>
        <v>97601.319626074386</v>
      </c>
      <c r="HG430" s="1"/>
      <c r="HH430" s="1"/>
      <c r="HI430" s="1"/>
      <c r="HJ430" s="1"/>
      <c r="HK430" s="1"/>
      <c r="HL430" s="1"/>
      <c r="HM430" s="1"/>
      <c r="HN430" s="1">
        <v>42763.36940178198</v>
      </c>
      <c r="HO430" s="1"/>
      <c r="HP430" s="1"/>
      <c r="HQ430" s="1"/>
      <c r="HR430" s="1"/>
      <c r="HS430" s="1"/>
      <c r="HT430" s="1"/>
      <c r="HU430" s="1"/>
      <c r="HV430" s="1"/>
      <c r="HW430" s="4"/>
      <c r="HX430" s="2"/>
      <c r="HY430" s="2"/>
      <c r="HZ430" s="2"/>
      <c r="IA430" s="2">
        <v>464794.20545167424</v>
      </c>
      <c r="IB430" s="2">
        <v>217349.57880385406</v>
      </c>
      <c r="IC430" s="2">
        <v>206594.81539865749</v>
      </c>
      <c r="ID430" s="2">
        <v>63626.856151210435</v>
      </c>
      <c r="IE430" s="2">
        <v>198879.11802194145</v>
      </c>
      <c r="IF430" s="2">
        <v>319006.23112111643</v>
      </c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  <c r="JY430" s="2"/>
      <c r="JZ430" s="2"/>
      <c r="KA430" s="2"/>
      <c r="KB430" s="2"/>
      <c r="KC430" s="2"/>
      <c r="KD430" s="2"/>
      <c r="KE430" s="2"/>
      <c r="KF430" s="2"/>
      <c r="KG430" s="2"/>
      <c r="KH430" s="2"/>
      <c r="KI430" s="2"/>
      <c r="KJ430" s="2"/>
      <c r="KK430" s="2"/>
      <c r="KL430" s="2"/>
      <c r="KM430" s="2"/>
      <c r="KN430" s="2"/>
      <c r="KO430" s="2"/>
      <c r="KP430" s="2"/>
      <c r="KQ430" s="2"/>
      <c r="KR430" s="2"/>
      <c r="KS430" s="2"/>
      <c r="KT430" s="2"/>
      <c r="KU430" s="2"/>
      <c r="KV430" s="2"/>
      <c r="KW430" s="2"/>
      <c r="KX430" s="2"/>
      <c r="KY430" s="2"/>
      <c r="KZ430" s="2"/>
      <c r="LA430" s="2"/>
      <c r="LB430" s="2"/>
      <c r="LC430" s="2"/>
      <c r="LD430" s="2"/>
      <c r="LE430" s="2"/>
      <c r="LF430" s="2"/>
      <c r="LG430" s="2"/>
      <c r="LH430" s="2"/>
      <c r="LI430" s="2"/>
      <c r="LJ430" s="2"/>
      <c r="LK430" s="2"/>
      <c r="LL430" s="2"/>
      <c r="LM430" s="2"/>
      <c r="LN430" s="2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</row>
    <row r="431" spans="1:343">
      <c r="A431" s="1">
        <v>1794</v>
      </c>
      <c r="B431" s="1"/>
      <c r="C431" s="1"/>
      <c r="D431" s="1"/>
      <c r="E431" s="1"/>
      <c r="F431" s="1"/>
      <c r="G431" s="1"/>
      <c r="H431" s="1"/>
      <c r="I431" s="1"/>
      <c r="J431" s="1"/>
      <c r="K431" s="1">
        <v>2775995.6233422407</v>
      </c>
      <c r="L431" s="1"/>
      <c r="M431" s="1"/>
      <c r="N431" s="1"/>
      <c r="O431" s="1"/>
      <c r="P431" s="1"/>
      <c r="Q431" s="1"/>
      <c r="R431" s="1"/>
      <c r="S431" s="1"/>
      <c r="T431" s="1"/>
      <c r="U431" s="1">
        <v>5723576.1009753989</v>
      </c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>
        <v>648983.48451570573</v>
      </c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>
        <v>3413587.3722493714</v>
      </c>
      <c r="AU431" s="1"/>
      <c r="AV431" s="1"/>
      <c r="AW431" s="1"/>
      <c r="AX431" s="1"/>
      <c r="AY431" s="1"/>
      <c r="AZ431" s="1"/>
      <c r="BA431" s="1"/>
      <c r="BB431" s="1"/>
      <c r="BC431" s="1">
        <v>1932790.1101092859</v>
      </c>
      <c r="BD431" s="1"/>
      <c r="BE431" s="1"/>
      <c r="BF431" s="1"/>
      <c r="BG431" s="1"/>
      <c r="BH431" s="1"/>
      <c r="BI431" s="4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>
        <v>1294414.7073591303</v>
      </c>
      <c r="CU431" s="2"/>
      <c r="CV431" s="2"/>
      <c r="CW431" s="2"/>
      <c r="CX431" s="2">
        <v>2350500.9837092771</v>
      </c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>
        <v>3117786.6808035714</v>
      </c>
      <c r="DT431" s="2"/>
      <c r="DU431" s="2"/>
      <c r="DV431" s="2"/>
      <c r="DW431" s="2"/>
      <c r="DX431" s="2"/>
      <c r="DY431" s="2"/>
      <c r="DZ431" s="2"/>
      <c r="EA431" s="2"/>
      <c r="EB431" s="2">
        <v>526269.30331925466</v>
      </c>
      <c r="EC431" s="2"/>
      <c r="ED431" s="2"/>
      <c r="EE431" s="2">
        <v>371160.32643108536</v>
      </c>
      <c r="EF431" s="2"/>
      <c r="EG431" s="2">
        <v>476526.41036651161</v>
      </c>
      <c r="EH431" s="2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>
        <v>98089.326224204749</v>
      </c>
      <c r="HG431" s="1"/>
      <c r="HH431" s="1"/>
      <c r="HI431" s="1"/>
      <c r="HJ431" s="1"/>
      <c r="HK431" s="1"/>
      <c r="HL431" s="1"/>
      <c r="HM431" s="1"/>
      <c r="HN431" s="1">
        <v>42977.186248790887</v>
      </c>
      <c r="HO431" s="1"/>
      <c r="HP431" s="1"/>
      <c r="HQ431" s="1"/>
      <c r="HR431" s="1"/>
      <c r="HS431" s="1"/>
      <c r="HT431" s="1"/>
      <c r="HU431" s="1"/>
      <c r="HV431" s="1"/>
      <c r="HW431" s="4"/>
      <c r="HX431" s="2"/>
      <c r="HY431" s="2"/>
      <c r="HZ431" s="2"/>
      <c r="IA431" s="2">
        <v>467397.05300220364</v>
      </c>
      <c r="IB431" s="2">
        <v>218566.73644515566</v>
      </c>
      <c r="IC431" s="2">
        <v>207751.74636488999</v>
      </c>
      <c r="ID431" s="2">
        <v>63983.166545657215</v>
      </c>
      <c r="IE431" s="2">
        <v>199992.84108286432</v>
      </c>
      <c r="IF431" s="2">
        <v>320792.66601539473</v>
      </c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  <c r="JY431" s="2"/>
      <c r="JZ431" s="2"/>
      <c r="KA431" s="2"/>
      <c r="KB431" s="2"/>
      <c r="KC431" s="2"/>
      <c r="KD431" s="2"/>
      <c r="KE431" s="2"/>
      <c r="KF431" s="2"/>
      <c r="KG431" s="2"/>
      <c r="KH431" s="2"/>
      <c r="KI431" s="2"/>
      <c r="KJ431" s="2"/>
      <c r="KK431" s="2"/>
      <c r="KL431" s="2"/>
      <c r="KM431" s="2"/>
      <c r="KN431" s="2"/>
      <c r="KO431" s="2"/>
      <c r="KP431" s="2"/>
      <c r="KQ431" s="2"/>
      <c r="KR431" s="2"/>
      <c r="KS431" s="2"/>
      <c r="KT431" s="2"/>
      <c r="KU431" s="2"/>
      <c r="KV431" s="2"/>
      <c r="KW431" s="2"/>
      <c r="KX431" s="2"/>
      <c r="KY431" s="2"/>
      <c r="KZ431" s="2"/>
      <c r="LA431" s="2"/>
      <c r="LB431" s="2"/>
      <c r="LC431" s="2"/>
      <c r="LD431" s="2"/>
      <c r="LE431" s="2"/>
      <c r="LF431" s="2"/>
      <c r="LG431" s="2"/>
      <c r="LH431" s="2"/>
      <c r="LI431" s="2"/>
      <c r="LJ431" s="2"/>
      <c r="LK431" s="2"/>
      <c r="LL431" s="2"/>
      <c r="LM431" s="2"/>
      <c r="LN431" s="2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</row>
    <row r="432" spans="1:343">
      <c r="A432" s="1">
        <v>1795</v>
      </c>
      <c r="B432" s="1"/>
      <c r="C432" s="1"/>
      <c r="D432" s="1"/>
      <c r="E432" s="1"/>
      <c r="F432" s="1"/>
      <c r="G432" s="1"/>
      <c r="H432" s="1"/>
      <c r="I432" s="1"/>
      <c r="J432" s="1"/>
      <c r="K432" s="1">
        <v>2784323.6102122669</v>
      </c>
      <c r="L432" s="1"/>
      <c r="M432" s="1"/>
      <c r="N432" s="1"/>
      <c r="O432" s="1"/>
      <c r="P432" s="1"/>
      <c r="Q432" s="1"/>
      <c r="R432" s="1"/>
      <c r="S432" s="1"/>
      <c r="T432" s="1"/>
      <c r="U432" s="1">
        <v>5756772.8423610562</v>
      </c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>
        <v>651579.41845376859</v>
      </c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>
        <v>3430996.6678478434</v>
      </c>
      <c r="AU432" s="1"/>
      <c r="AV432" s="1"/>
      <c r="AW432" s="1"/>
      <c r="AX432" s="1"/>
      <c r="AY432" s="1"/>
      <c r="AZ432" s="1"/>
      <c r="BA432" s="1"/>
      <c r="BB432" s="1"/>
      <c r="BC432" s="1">
        <v>1942260.7816488212</v>
      </c>
      <c r="BD432" s="1"/>
      <c r="BE432" s="1"/>
      <c r="BF432" s="1"/>
      <c r="BG432" s="1"/>
      <c r="BH432" s="1"/>
      <c r="BI432" s="4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>
        <v>1298459.2274678112</v>
      </c>
      <c r="CU432" s="2"/>
      <c r="CV432" s="2"/>
      <c r="CW432" s="2">
        <v>302541</v>
      </c>
      <c r="CX432" s="2">
        <v>2362488.5387261948</v>
      </c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>
        <v>3127140.0408459818</v>
      </c>
      <c r="DT432" s="2"/>
      <c r="DU432" s="2"/>
      <c r="DV432" s="2"/>
      <c r="DW432" s="2"/>
      <c r="DX432" s="2"/>
      <c r="DY432" s="2"/>
      <c r="DZ432" s="2"/>
      <c r="EA432" s="2"/>
      <c r="EB432" s="2">
        <v>528900.64983585093</v>
      </c>
      <c r="EC432" s="2"/>
      <c r="ED432" s="2"/>
      <c r="EE432" s="2">
        <v>373164.59219381324</v>
      </c>
      <c r="EF432" s="2"/>
      <c r="EG432" s="2">
        <v>479194.95826456411</v>
      </c>
      <c r="EH432" s="2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>
        <v>946469.61258840142</v>
      </c>
      <c r="HE432" s="1">
        <v>174216</v>
      </c>
      <c r="HF432" s="1">
        <v>98579.772855325762</v>
      </c>
      <c r="HG432" s="1"/>
      <c r="HH432" s="1"/>
      <c r="HI432" s="1"/>
      <c r="HJ432" s="1"/>
      <c r="HK432" s="1"/>
      <c r="HL432" s="1">
        <v>62600</v>
      </c>
      <c r="HM432" s="1"/>
      <c r="HN432" s="1">
        <v>43192.07218003484</v>
      </c>
      <c r="HO432" s="1"/>
      <c r="HP432" s="1"/>
      <c r="HQ432" s="1"/>
      <c r="HR432" s="1"/>
      <c r="HS432" s="1"/>
      <c r="HT432" s="1"/>
      <c r="HU432" s="1"/>
      <c r="HV432" s="1"/>
      <c r="HW432" s="4"/>
      <c r="HX432" s="2"/>
      <c r="HY432" s="2"/>
      <c r="HZ432" s="2"/>
      <c r="IA432" s="2">
        <v>470014.47649901599</v>
      </c>
      <c r="IB432" s="2">
        <v>219790.71016924854</v>
      </c>
      <c r="IC432" s="2">
        <v>208915.15614453339</v>
      </c>
      <c r="ID432" s="2">
        <v>64341.472278312896</v>
      </c>
      <c r="IE432" s="2">
        <v>201112.80099292839</v>
      </c>
      <c r="IF432" s="2">
        <v>322589.10494508094</v>
      </c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  <c r="JY432" s="2"/>
      <c r="JZ432" s="2"/>
      <c r="KA432" s="2"/>
      <c r="KB432" s="2"/>
      <c r="KC432" s="2"/>
      <c r="KD432" s="2"/>
      <c r="KE432" s="2"/>
      <c r="KF432" s="2"/>
      <c r="KG432" s="2"/>
      <c r="KH432" s="2"/>
      <c r="KI432" s="2"/>
      <c r="KJ432" s="2"/>
      <c r="KK432" s="2"/>
      <c r="KL432" s="2"/>
      <c r="KM432" s="2"/>
      <c r="KN432" s="2"/>
      <c r="KO432" s="2"/>
      <c r="KP432" s="2"/>
      <c r="KQ432" s="2"/>
      <c r="KR432" s="2"/>
      <c r="KS432" s="2"/>
      <c r="KT432" s="2"/>
      <c r="KU432" s="2"/>
      <c r="KV432" s="2"/>
      <c r="KW432" s="2"/>
      <c r="KX432" s="2"/>
      <c r="KY432" s="2"/>
      <c r="KZ432" s="2"/>
      <c r="LA432" s="2"/>
      <c r="LB432" s="2"/>
      <c r="LC432" s="2"/>
      <c r="LD432" s="2"/>
      <c r="LE432" s="2"/>
      <c r="LF432" s="2"/>
      <c r="LG432" s="2"/>
      <c r="LH432" s="2"/>
      <c r="LI432" s="2"/>
      <c r="LJ432" s="2"/>
      <c r="LK432" s="2"/>
      <c r="LL432" s="2"/>
      <c r="LM432" s="2"/>
      <c r="LN432" s="2"/>
      <c r="LO432" s="1"/>
      <c r="LP432" s="1"/>
      <c r="LQ432" s="1"/>
      <c r="LR432" s="1">
        <v>744749</v>
      </c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</row>
    <row r="433" spans="1:343">
      <c r="A433" s="1">
        <v>1796</v>
      </c>
      <c r="B433" s="1"/>
      <c r="C433" s="1"/>
      <c r="D433" s="1"/>
      <c r="E433" s="1"/>
      <c r="F433" s="1"/>
      <c r="G433" s="1"/>
      <c r="H433" s="1"/>
      <c r="I433" s="1"/>
      <c r="J433" s="1"/>
      <c r="K433" s="1">
        <v>2792676.5810429035</v>
      </c>
      <c r="L433" s="1"/>
      <c r="M433" s="1"/>
      <c r="N433" s="1"/>
      <c r="O433" s="1"/>
      <c r="P433" s="1"/>
      <c r="Q433" s="1"/>
      <c r="R433" s="1"/>
      <c r="S433" s="1"/>
      <c r="T433" s="1"/>
      <c r="U433" s="1">
        <v>5790162.1248467509</v>
      </c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>
        <v>654185.73612758366</v>
      </c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>
        <v>3448494.7508538677</v>
      </c>
      <c r="AU433" s="1"/>
      <c r="AV433" s="1"/>
      <c r="AW433" s="1"/>
      <c r="AX433" s="1"/>
      <c r="AY433" s="1"/>
      <c r="AZ433" s="1"/>
      <c r="BA433" s="1"/>
      <c r="BB433" s="1"/>
      <c r="BC433" s="1">
        <v>1951777.8594789002</v>
      </c>
      <c r="BD433" s="1"/>
      <c r="BE433" s="1"/>
      <c r="BF433" s="1"/>
      <c r="BG433" s="1"/>
      <c r="BH433" s="1"/>
      <c r="BI433" s="4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>
        <v>1305081.3695278971</v>
      </c>
      <c r="CU433" s="2"/>
      <c r="CV433" s="2"/>
      <c r="CW433" s="2"/>
      <c r="CX433" s="2">
        <v>2374537.2302736985</v>
      </c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>
        <v>3136521.4609685196</v>
      </c>
      <c r="DT433" s="2"/>
      <c r="DU433" s="2"/>
      <c r="DV433" s="2"/>
      <c r="DW433" s="2"/>
      <c r="DX433" s="2"/>
      <c r="DY433" s="2"/>
      <c r="DZ433" s="2"/>
      <c r="EA433" s="2"/>
      <c r="EB433" s="2">
        <v>531545.15308503015</v>
      </c>
      <c r="EC433" s="2"/>
      <c r="ED433" s="2"/>
      <c r="EE433" s="2">
        <v>375179.68099165987</v>
      </c>
      <c r="EF433" s="2"/>
      <c r="EG433" s="2">
        <v>481878.45003084571</v>
      </c>
      <c r="EH433" s="2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4"/>
      <c r="HX433" s="2"/>
      <c r="HY433" s="2"/>
      <c r="HZ433" s="2"/>
      <c r="IA433" s="2">
        <v>472646.55756741052</v>
      </c>
      <c r="IB433" s="2">
        <v>221021.53814619634</v>
      </c>
      <c r="IC433" s="2">
        <v>210085.08101894279</v>
      </c>
      <c r="ID433" s="2">
        <v>64701.784523071452</v>
      </c>
      <c r="IE433" s="2">
        <v>202239.03267848879</v>
      </c>
      <c r="IF433" s="2">
        <v>324395.6039327734</v>
      </c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  <c r="JY433" s="2"/>
      <c r="JZ433" s="2"/>
      <c r="KA433" s="2"/>
      <c r="KB433" s="2"/>
      <c r="KC433" s="2"/>
      <c r="KD433" s="2"/>
      <c r="KE433" s="2"/>
      <c r="KF433" s="2"/>
      <c r="KG433" s="2"/>
      <c r="KH433" s="2"/>
      <c r="KI433" s="2"/>
      <c r="KJ433" s="2"/>
      <c r="KK433" s="2"/>
      <c r="KL433" s="2"/>
      <c r="KM433" s="2"/>
      <c r="KN433" s="2"/>
      <c r="KO433" s="2"/>
      <c r="KP433" s="2"/>
      <c r="KQ433" s="2"/>
      <c r="KR433" s="2"/>
      <c r="KS433" s="2"/>
      <c r="KT433" s="2"/>
      <c r="KU433" s="2"/>
      <c r="KV433" s="2"/>
      <c r="KW433" s="2"/>
      <c r="KX433" s="2"/>
      <c r="KY433" s="2"/>
      <c r="KZ433" s="2"/>
      <c r="LA433" s="2"/>
      <c r="LB433" s="2"/>
      <c r="LC433" s="2"/>
      <c r="LD433" s="2"/>
      <c r="LE433" s="2"/>
      <c r="LF433" s="2"/>
      <c r="LG433" s="2"/>
      <c r="LH433" s="2"/>
      <c r="LI433" s="2"/>
      <c r="LJ433" s="2"/>
      <c r="LK433" s="2"/>
      <c r="LL433" s="2"/>
      <c r="LM433" s="2"/>
      <c r="LN433" s="2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</row>
    <row r="434" spans="1:343">
      <c r="A434" s="1">
        <v>1797</v>
      </c>
      <c r="B434" s="1"/>
      <c r="C434" s="1"/>
      <c r="D434" s="1"/>
      <c r="E434" s="1"/>
      <c r="F434" s="1"/>
      <c r="G434" s="1"/>
      <c r="H434" s="1"/>
      <c r="I434" s="1"/>
      <c r="J434" s="1"/>
      <c r="K434" s="1">
        <v>2801054.6107860319</v>
      </c>
      <c r="L434" s="1"/>
      <c r="M434" s="1"/>
      <c r="N434" s="1"/>
      <c r="O434" s="1"/>
      <c r="P434" s="1"/>
      <c r="Q434" s="1"/>
      <c r="R434" s="1"/>
      <c r="S434" s="1"/>
      <c r="T434" s="1"/>
      <c r="U434" s="1">
        <v>5823745.0651708618</v>
      </c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>
        <v>656802.47907209396</v>
      </c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>
        <v>3466082.074083223</v>
      </c>
      <c r="AU434" s="1"/>
      <c r="AV434" s="1"/>
      <c r="AW434" s="1"/>
      <c r="AX434" s="1"/>
      <c r="AY434" s="1"/>
      <c r="AZ434" s="1"/>
      <c r="BA434" s="1"/>
      <c r="BB434" s="1"/>
      <c r="BC434" s="1">
        <v>1961341.5709903466</v>
      </c>
      <c r="BD434" s="1"/>
      <c r="BE434" s="1"/>
      <c r="BF434" s="1"/>
      <c r="BG434" s="1"/>
      <c r="BH434" s="1"/>
      <c r="BI434" s="4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>
        <v>1311737.2845124896</v>
      </c>
      <c r="CU434" s="2"/>
      <c r="CV434" s="2"/>
      <c r="CW434" s="2"/>
      <c r="CX434" s="2">
        <v>2386647.3701480944</v>
      </c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>
        <v>3145931.0253514247</v>
      </c>
      <c r="DT434" s="2"/>
      <c r="DU434" s="2"/>
      <c r="DV434" s="2"/>
      <c r="DW434" s="2"/>
      <c r="DX434" s="2"/>
      <c r="DY434" s="2"/>
      <c r="DZ434" s="2"/>
      <c r="EA434" s="2"/>
      <c r="EB434" s="2">
        <v>534202.87885045528</v>
      </c>
      <c r="EC434" s="2"/>
      <c r="ED434" s="2"/>
      <c r="EE434" s="2">
        <v>377205.65126901487</v>
      </c>
      <c r="EF434" s="2"/>
      <c r="EG434" s="2">
        <v>484576.96935101849</v>
      </c>
      <c r="EH434" s="2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4"/>
      <c r="HX434" s="2"/>
      <c r="HY434" s="2"/>
      <c r="HZ434" s="2"/>
      <c r="IA434" s="2">
        <v>475293.37828978803</v>
      </c>
      <c r="IB434" s="2">
        <v>222259.25875981504</v>
      </c>
      <c r="IC434" s="2">
        <v>211261.55747264888</v>
      </c>
      <c r="ID434" s="2">
        <v>65064.114516400652</v>
      </c>
      <c r="IE434" s="2">
        <v>203371.57126148834</v>
      </c>
      <c r="IF434" s="2">
        <v>326212.21931479697</v>
      </c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  <c r="JY434" s="2"/>
      <c r="JZ434" s="2"/>
      <c r="KA434" s="2"/>
      <c r="KB434" s="2"/>
      <c r="KC434" s="2"/>
      <c r="KD434" s="2"/>
      <c r="KE434" s="2"/>
      <c r="KF434" s="2"/>
      <c r="KG434" s="2"/>
      <c r="KH434" s="2"/>
      <c r="KI434" s="2"/>
      <c r="KJ434" s="2"/>
      <c r="KK434" s="2"/>
      <c r="KL434" s="2"/>
      <c r="KM434" s="2"/>
      <c r="KN434" s="2"/>
      <c r="KO434" s="2"/>
      <c r="KP434" s="2"/>
      <c r="KQ434" s="2"/>
      <c r="KR434" s="2"/>
      <c r="KS434" s="2"/>
      <c r="KT434" s="2"/>
      <c r="KU434" s="2"/>
      <c r="KV434" s="2"/>
      <c r="KW434" s="2"/>
      <c r="KX434" s="2"/>
      <c r="KY434" s="2"/>
      <c r="KZ434" s="2"/>
      <c r="LA434" s="2"/>
      <c r="LB434" s="2"/>
      <c r="LC434" s="2"/>
      <c r="LD434" s="2"/>
      <c r="LE434" s="2"/>
      <c r="LF434" s="2"/>
      <c r="LG434" s="2"/>
      <c r="LH434" s="2"/>
      <c r="LI434" s="2"/>
      <c r="LJ434" s="2"/>
      <c r="LK434" s="2"/>
      <c r="LL434" s="2"/>
      <c r="LM434" s="2"/>
      <c r="LN434" s="2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</row>
    <row r="435" spans="1:343">
      <c r="A435" s="1">
        <v>1798</v>
      </c>
      <c r="B435" s="1"/>
      <c r="C435" s="1"/>
      <c r="D435" s="1"/>
      <c r="E435" s="1"/>
      <c r="F435" s="1"/>
      <c r="G435" s="1"/>
      <c r="H435" s="1"/>
      <c r="I435" s="1"/>
      <c r="J435" s="1"/>
      <c r="K435" s="1">
        <v>2809457.7746183896</v>
      </c>
      <c r="L435" s="1"/>
      <c r="M435" s="1"/>
      <c r="N435" s="1"/>
      <c r="O435" s="1"/>
      <c r="P435" s="1"/>
      <c r="Q435" s="1"/>
      <c r="R435" s="1"/>
      <c r="S435" s="1"/>
      <c r="T435" s="1"/>
      <c r="U435" s="1">
        <v>5857522.7865488529</v>
      </c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>
        <v>659429.68898838235</v>
      </c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>
        <v>3483759.0926610478</v>
      </c>
      <c r="AU435" s="1"/>
      <c r="AV435" s="1"/>
      <c r="AW435" s="1"/>
      <c r="AX435" s="1"/>
      <c r="AY435" s="1"/>
      <c r="AZ435" s="1"/>
      <c r="BA435" s="1"/>
      <c r="BB435" s="1"/>
      <c r="BC435" s="1">
        <v>1970952.144688199</v>
      </c>
      <c r="BD435" s="1"/>
      <c r="BE435" s="1"/>
      <c r="BF435" s="1"/>
      <c r="BG435" s="1"/>
      <c r="BH435" s="1"/>
      <c r="BI435" s="4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>
        <v>1318427.1446635034</v>
      </c>
      <c r="CU435" s="2"/>
      <c r="CV435" s="2"/>
      <c r="CW435" s="2"/>
      <c r="CX435" s="2">
        <v>2398819.2717358498</v>
      </c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>
        <v>3155368.8184274784</v>
      </c>
      <c r="DT435" s="2"/>
      <c r="DU435" s="2"/>
      <c r="DV435" s="2"/>
      <c r="DW435" s="2"/>
      <c r="DX435" s="2"/>
      <c r="DY435" s="2"/>
      <c r="DZ435" s="2"/>
      <c r="EA435" s="2"/>
      <c r="EB435" s="2">
        <v>536873.89324470749</v>
      </c>
      <c r="EC435" s="2"/>
      <c r="ED435" s="2"/>
      <c r="EE435" s="2">
        <v>379242.56178586755</v>
      </c>
      <c r="EF435" s="2"/>
      <c r="EG435" s="2">
        <v>487290.60037938424</v>
      </c>
      <c r="EH435" s="2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4"/>
      <c r="HX435" s="2"/>
      <c r="HY435" s="2"/>
      <c r="HZ435" s="2"/>
      <c r="IA435" s="2">
        <v>477955.02120821085</v>
      </c>
      <c r="IB435" s="2">
        <v>223503.91060887001</v>
      </c>
      <c r="IC435" s="2">
        <v>212444.62219449572</v>
      </c>
      <c r="ID435" s="2">
        <v>65428.473557692501</v>
      </c>
      <c r="IE435" s="2">
        <v>204510.45206055269</v>
      </c>
      <c r="IF435" s="2">
        <v>328039.00774295983</v>
      </c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  <c r="JY435" s="2"/>
      <c r="JZ435" s="2"/>
      <c r="KA435" s="2"/>
      <c r="KB435" s="2"/>
      <c r="KC435" s="2"/>
      <c r="KD435" s="2"/>
      <c r="KE435" s="2"/>
      <c r="KF435" s="2"/>
      <c r="KG435" s="2"/>
      <c r="KH435" s="2"/>
      <c r="KI435" s="2"/>
      <c r="KJ435" s="2"/>
      <c r="KK435" s="2"/>
      <c r="KL435" s="2"/>
      <c r="KM435" s="2"/>
      <c r="KN435" s="2"/>
      <c r="KO435" s="2"/>
      <c r="KP435" s="2"/>
      <c r="KQ435" s="2"/>
      <c r="KR435" s="2"/>
      <c r="KS435" s="2"/>
      <c r="KT435" s="2"/>
      <c r="KU435" s="2"/>
      <c r="KV435" s="2"/>
      <c r="KW435" s="2"/>
      <c r="KX435" s="2"/>
      <c r="KY435" s="2"/>
      <c r="KZ435" s="2"/>
      <c r="LA435" s="2"/>
      <c r="LB435" s="2"/>
      <c r="LC435" s="2"/>
      <c r="LD435" s="2"/>
      <c r="LE435" s="2"/>
      <c r="LF435" s="2"/>
      <c r="LG435" s="2"/>
      <c r="LH435" s="2"/>
      <c r="LI435" s="2"/>
      <c r="LJ435" s="2"/>
      <c r="LK435" s="2"/>
      <c r="LL435" s="2"/>
      <c r="LM435" s="2"/>
      <c r="LN435" s="2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</row>
    <row r="436" spans="1:343">
      <c r="A436" s="1">
        <v>1799</v>
      </c>
      <c r="B436" s="1"/>
      <c r="C436" s="1"/>
      <c r="D436" s="1"/>
      <c r="E436" s="1"/>
      <c r="F436" s="1"/>
      <c r="G436" s="1"/>
      <c r="H436" s="1"/>
      <c r="I436" s="1"/>
      <c r="J436" s="1"/>
      <c r="K436" s="1">
        <v>2817886.1479422445</v>
      </c>
      <c r="L436" s="1"/>
      <c r="M436" s="1"/>
      <c r="N436" s="1"/>
      <c r="O436" s="1"/>
      <c r="P436" s="1"/>
      <c r="Q436" s="1"/>
      <c r="R436" s="1"/>
      <c r="S436" s="1"/>
      <c r="T436" s="1"/>
      <c r="U436" s="1">
        <v>5891496.4187108362</v>
      </c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>
        <v>662067.40774433583</v>
      </c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>
        <v>3501526.2640336193</v>
      </c>
      <c r="AU436" s="1"/>
      <c r="AV436" s="1"/>
      <c r="AW436" s="1"/>
      <c r="AX436" s="1"/>
      <c r="AY436" s="1"/>
      <c r="AZ436" s="1"/>
      <c r="BA436" s="1"/>
      <c r="BB436" s="1"/>
      <c r="BC436" s="1">
        <v>1980609.8101971711</v>
      </c>
      <c r="BD436" s="1"/>
      <c r="BE436" s="1"/>
      <c r="BF436" s="1"/>
      <c r="BG436" s="1"/>
      <c r="BH436" s="1"/>
      <c r="BI436" s="4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>
        <v>1325151.1231012873</v>
      </c>
      <c r="CU436" s="2"/>
      <c r="CV436" s="2"/>
      <c r="CW436" s="2"/>
      <c r="CX436" s="2">
        <v>2411053.2500217031</v>
      </c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>
        <v>3164834.9248827607</v>
      </c>
      <c r="DT436" s="2"/>
      <c r="DU436" s="2"/>
      <c r="DV436" s="2"/>
      <c r="DW436" s="2"/>
      <c r="DX436" s="2"/>
      <c r="DY436" s="2"/>
      <c r="DZ436" s="2"/>
      <c r="EA436" s="2"/>
      <c r="EB436" s="2">
        <v>539558.26271093101</v>
      </c>
      <c r="EC436" s="2"/>
      <c r="ED436" s="2"/>
      <c r="EE436" s="2">
        <v>381290.47161951126</v>
      </c>
      <c r="EF436" s="2"/>
      <c r="EG436" s="2">
        <v>490019.42774150881</v>
      </c>
      <c r="EH436" s="2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>
        <v>2533530</v>
      </c>
      <c r="FB436" s="1">
        <v>491980</v>
      </c>
      <c r="FC436" s="1">
        <v>372777</v>
      </c>
      <c r="FD436" s="1">
        <v>354063</v>
      </c>
      <c r="FE436" s="1">
        <v>360107</v>
      </c>
      <c r="FF436" s="1">
        <v>274826</v>
      </c>
      <c r="FG436" s="1">
        <v>283663</v>
      </c>
      <c r="FH436" s="1">
        <v>402793</v>
      </c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4"/>
      <c r="HX436" s="2"/>
      <c r="HY436" s="2"/>
      <c r="HZ436" s="2"/>
      <c r="IA436" s="2">
        <v>480631.56932697684</v>
      </c>
      <c r="IB436" s="2">
        <v>224755.53250827969</v>
      </c>
      <c r="IC436" s="2">
        <v>213634.31207878492</v>
      </c>
      <c r="ID436" s="2">
        <v>65794.873009615578</v>
      </c>
      <c r="IE436" s="2">
        <v>205655.71059209181</v>
      </c>
      <c r="IF436" s="2">
        <v>329876.02618632041</v>
      </c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  <c r="JY436" s="2"/>
      <c r="JZ436" s="2"/>
      <c r="KA436" s="2"/>
      <c r="KB436" s="2"/>
      <c r="KC436" s="2"/>
      <c r="KD436" s="2"/>
      <c r="KE436" s="2"/>
      <c r="KF436" s="2"/>
      <c r="KG436" s="2"/>
      <c r="KH436" s="2"/>
      <c r="KI436" s="2"/>
      <c r="KJ436" s="2"/>
      <c r="KK436" s="2"/>
      <c r="KL436" s="2"/>
      <c r="KM436" s="2"/>
      <c r="KN436" s="2"/>
      <c r="KO436" s="2"/>
      <c r="KP436" s="2"/>
      <c r="KQ436" s="2"/>
      <c r="KR436" s="2"/>
      <c r="KS436" s="2"/>
      <c r="KT436" s="2"/>
      <c r="KU436" s="2"/>
      <c r="KV436" s="2"/>
      <c r="KW436" s="2"/>
      <c r="KX436" s="2"/>
      <c r="KY436" s="2"/>
      <c r="KZ436" s="2"/>
      <c r="LA436" s="2"/>
      <c r="LB436" s="2"/>
      <c r="LC436" s="2"/>
      <c r="LD436" s="2"/>
      <c r="LE436" s="2"/>
      <c r="LF436" s="2"/>
      <c r="LG436" s="2"/>
      <c r="LH436" s="2"/>
      <c r="LI436" s="2"/>
      <c r="LJ436" s="2"/>
      <c r="LK436" s="2"/>
      <c r="LL436" s="2"/>
      <c r="LM436" s="2"/>
      <c r="LN436" s="2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</row>
    <row r="437" spans="1:343">
      <c r="A437" s="1">
        <v>1800</v>
      </c>
      <c r="B437" s="1"/>
      <c r="C437" s="1"/>
      <c r="D437" s="1"/>
      <c r="E437" s="1"/>
      <c r="F437" s="1"/>
      <c r="G437" s="1"/>
      <c r="H437" s="1"/>
      <c r="I437" s="1"/>
      <c r="J437" s="1"/>
      <c r="K437" s="1">
        <v>2826339.8063860708</v>
      </c>
      <c r="L437" s="1"/>
      <c r="M437" s="1"/>
      <c r="N437" s="1"/>
      <c r="O437" s="1"/>
      <c r="P437" s="1"/>
      <c r="Q437" s="1"/>
      <c r="R437" s="1"/>
      <c r="S437" s="1"/>
      <c r="T437" s="1"/>
      <c r="U437" s="1">
        <v>5925667.097939359</v>
      </c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>
        <v>664715.67737531313</v>
      </c>
      <c r="AH437" s="1"/>
      <c r="AI437" s="1"/>
      <c r="AJ437" s="1"/>
      <c r="AK437" s="1"/>
      <c r="AL437" s="1"/>
      <c r="AM437" s="1"/>
      <c r="AN437" s="1"/>
      <c r="AO437" s="1"/>
      <c r="AP437" s="1">
        <v>666328</v>
      </c>
      <c r="AQ437" s="1"/>
      <c r="AR437" s="1"/>
      <c r="AS437" s="1"/>
      <c r="AT437" s="1">
        <v>3519384.0479801912</v>
      </c>
      <c r="AU437" s="1"/>
      <c r="AV437" s="1"/>
      <c r="AW437" s="1"/>
      <c r="AX437" s="1"/>
      <c r="AY437" s="1"/>
      <c r="AZ437" s="1"/>
      <c r="BA437" s="1"/>
      <c r="BB437" s="1"/>
      <c r="BC437" s="1">
        <v>1990314.798267137</v>
      </c>
      <c r="BD437" s="1"/>
      <c r="BE437" s="1"/>
      <c r="BF437" s="1"/>
      <c r="BG437" s="1"/>
      <c r="BH437" s="1"/>
      <c r="BI437" s="4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>
        <v>1331909.393829104</v>
      </c>
      <c r="CU437" s="2"/>
      <c r="CV437" s="2"/>
      <c r="CW437" s="2"/>
      <c r="CX437" s="2">
        <v>2423349.6215968141</v>
      </c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>
        <v>3174329.4296574085</v>
      </c>
      <c r="DT437" s="2"/>
      <c r="DU437" s="2"/>
      <c r="DV437" s="2"/>
      <c r="DW437" s="2"/>
      <c r="DX437" s="2"/>
      <c r="DY437" s="2"/>
      <c r="DZ437" s="2"/>
      <c r="EA437" s="2"/>
      <c r="EB437" s="2">
        <v>542256.05402448564</v>
      </c>
      <c r="EC437" s="2"/>
      <c r="ED437" s="2"/>
      <c r="EE437" s="2">
        <v>383349.44016625662</v>
      </c>
      <c r="EF437" s="2"/>
      <c r="EG437" s="2">
        <v>492763.53653686127</v>
      </c>
      <c r="EH437" s="2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4"/>
      <c r="HX437" s="2"/>
      <c r="HY437" s="2"/>
      <c r="HZ437" s="2"/>
      <c r="IA437" s="2">
        <v>483323.10611520795</v>
      </c>
      <c r="IB437" s="2">
        <v>226014.16349032606</v>
      </c>
      <c r="IC437" s="2">
        <v>214830.66422642613</v>
      </c>
      <c r="ID437" s="2">
        <v>66163.324298469423</v>
      </c>
      <c r="IE437" s="2">
        <v>206807.38257140754</v>
      </c>
      <c r="IF437" s="2">
        <v>331723.3319329638</v>
      </c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  <c r="JY437" s="2"/>
      <c r="JZ437" s="2"/>
      <c r="KA437" s="2"/>
      <c r="KB437" s="2"/>
      <c r="KC437" s="2"/>
      <c r="KD437" s="2"/>
      <c r="KE437" s="2"/>
      <c r="KF437" s="2"/>
      <c r="KG437" s="2"/>
      <c r="KH437" s="2"/>
      <c r="KI437" s="2"/>
      <c r="KJ437" s="2"/>
      <c r="KK437" s="2"/>
      <c r="KL437" s="2"/>
      <c r="KM437" s="2"/>
      <c r="KN437" s="2"/>
      <c r="KO437" s="2"/>
      <c r="KP437" s="2"/>
      <c r="KQ437" s="2"/>
      <c r="KR437" s="2"/>
      <c r="KS437" s="2"/>
      <c r="KT437" s="2"/>
      <c r="KU437" s="2"/>
      <c r="KV437" s="2"/>
      <c r="KW437" s="2"/>
      <c r="KX437" s="2"/>
      <c r="KY437" s="2"/>
      <c r="KZ437" s="2"/>
      <c r="LA437" s="2"/>
      <c r="LB437" s="2"/>
      <c r="LC437" s="2"/>
      <c r="LD437" s="2"/>
      <c r="LE437" s="2"/>
      <c r="LF437" s="2"/>
      <c r="LG437" s="2"/>
      <c r="LH437" s="2"/>
      <c r="LI437" s="2"/>
      <c r="LJ437" s="2"/>
      <c r="LK437" s="2"/>
      <c r="LL437" s="2"/>
      <c r="LM437" s="2"/>
      <c r="LN437" s="2"/>
      <c r="LO437" s="1"/>
      <c r="LP437" s="1"/>
      <c r="LQ437" s="1"/>
      <c r="LR437" s="1">
        <v>749957</v>
      </c>
      <c r="LS437" s="1"/>
      <c r="LT437" s="1"/>
      <c r="LU437" s="1">
        <v>2298960</v>
      </c>
      <c r="LV437" s="1"/>
      <c r="LW437" s="1"/>
      <c r="LX437" s="1"/>
      <c r="LY437" s="1"/>
      <c r="LZ437" s="1"/>
      <c r="MA437" s="1"/>
      <c r="MB437" s="1"/>
      <c r="MC437" s="1"/>
      <c r="MD437" s="1"/>
      <c r="ME437" s="1"/>
    </row>
    <row r="438" spans="1:343">
      <c r="A438" s="1">
        <v>1801</v>
      </c>
      <c r="B438" s="1"/>
      <c r="C438" s="1"/>
      <c r="D438" s="1"/>
      <c r="E438" s="1"/>
      <c r="F438" s="1"/>
      <c r="G438" s="1"/>
      <c r="H438" s="1"/>
      <c r="I438" s="1"/>
      <c r="J438" s="1"/>
      <c r="K438" s="1">
        <v>2834818.8258052287</v>
      </c>
      <c r="L438" s="1"/>
      <c r="M438" s="1"/>
      <c r="N438" s="1"/>
      <c r="O438" s="1"/>
      <c r="P438" s="1"/>
      <c r="Q438" s="1"/>
      <c r="R438" s="1"/>
      <c r="S438" s="1"/>
      <c r="T438" s="1"/>
      <c r="U438" s="1">
        <v>5960035.9671074077</v>
      </c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>
        <v>667374.54008481442</v>
      </c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>
        <v>3537332.9066248904</v>
      </c>
      <c r="AU438" s="1"/>
      <c r="AV438" s="1"/>
      <c r="AW438" s="1"/>
      <c r="AX438" s="1"/>
      <c r="AY438" s="1"/>
      <c r="AZ438" s="1"/>
      <c r="BA438" s="1"/>
      <c r="BB438" s="1"/>
      <c r="BC438" s="1">
        <v>2000067.3407786458</v>
      </c>
      <c r="BD438" s="1"/>
      <c r="BE438" s="1"/>
      <c r="BF438" s="1"/>
      <c r="BG438" s="1"/>
      <c r="BH438" s="1"/>
      <c r="BI438" s="4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>
        <v>1338702.1317376327</v>
      </c>
      <c r="CU438" s="2"/>
      <c r="CV438" s="2"/>
      <c r="CW438" s="2"/>
      <c r="CX438" s="2">
        <v>2435708.7046669582</v>
      </c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>
        <v>3183852.4179463806</v>
      </c>
      <c r="DT438" s="2"/>
      <c r="DU438" s="2"/>
      <c r="DV438" s="2"/>
      <c r="DW438" s="2"/>
      <c r="DX438" s="2"/>
      <c r="DY438" s="2"/>
      <c r="DZ438" s="2"/>
      <c r="EA438" s="2"/>
      <c r="EB438" s="2">
        <v>544967.33429460798</v>
      </c>
      <c r="EC438" s="2"/>
      <c r="ED438" s="2"/>
      <c r="EE438" s="2">
        <v>385419.52714315441</v>
      </c>
      <c r="EF438" s="2"/>
      <c r="EG438" s="2">
        <v>495523.01234146772</v>
      </c>
      <c r="EH438" s="2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4"/>
      <c r="HX438" s="2"/>
      <c r="HY438" s="2"/>
      <c r="HZ438" s="2"/>
      <c r="IA438" s="2">
        <v>486029.71550945315</v>
      </c>
      <c r="IB438" s="2">
        <v>227279.84280587189</v>
      </c>
      <c r="IC438" s="2">
        <v>216033.71594609413</v>
      </c>
      <c r="ID438" s="2">
        <v>66533.838914540858</v>
      </c>
      <c r="IE438" s="2">
        <v>207965.50391380742</v>
      </c>
      <c r="IF438" s="2">
        <v>333580.9825917884</v>
      </c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  <c r="JY438" s="2"/>
      <c r="JZ438" s="2"/>
      <c r="KA438" s="2"/>
      <c r="KB438" s="2"/>
      <c r="KC438" s="2"/>
      <c r="KD438" s="2"/>
      <c r="KE438" s="2"/>
      <c r="KF438" s="2"/>
      <c r="KG438" s="2"/>
      <c r="KH438" s="2"/>
      <c r="KI438" s="2"/>
      <c r="KJ438" s="2"/>
      <c r="KK438" s="2"/>
      <c r="KL438" s="2"/>
      <c r="KM438" s="2"/>
      <c r="KN438" s="2"/>
      <c r="KO438" s="2"/>
      <c r="KP438" s="2"/>
      <c r="KQ438" s="2"/>
      <c r="KR438" s="2"/>
      <c r="KS438" s="2"/>
      <c r="KT438" s="2"/>
      <c r="KU438" s="2"/>
      <c r="KV438" s="2"/>
      <c r="KW438" s="2"/>
      <c r="KX438" s="2"/>
      <c r="KY438" s="2"/>
      <c r="KZ438" s="2"/>
      <c r="LA438" s="2"/>
      <c r="LB438" s="2"/>
      <c r="LC438" s="2"/>
      <c r="LD438" s="2"/>
      <c r="LE438" s="2"/>
      <c r="LF438" s="2"/>
      <c r="LG438" s="2"/>
      <c r="LH438" s="2"/>
      <c r="LI438" s="2"/>
      <c r="LJ438" s="2"/>
      <c r="LK438" s="2"/>
      <c r="LL438" s="2"/>
      <c r="LM438" s="2"/>
      <c r="LN438" s="2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</row>
    <row r="439" spans="1:343">
      <c r="A439" s="1">
        <v>1802</v>
      </c>
      <c r="B439" s="1"/>
      <c r="C439" s="1"/>
      <c r="D439" s="1"/>
      <c r="E439" s="1"/>
      <c r="F439" s="1"/>
      <c r="G439" s="1"/>
      <c r="H439" s="1"/>
      <c r="I439" s="1"/>
      <c r="J439" s="1"/>
      <c r="K439" s="1">
        <v>2843323.282282644</v>
      </c>
      <c r="L439" s="1"/>
      <c r="M439" s="1"/>
      <c r="N439" s="1"/>
      <c r="O439" s="1"/>
      <c r="P439" s="1"/>
      <c r="Q439" s="1"/>
      <c r="R439" s="1"/>
      <c r="S439" s="1"/>
      <c r="T439" s="1"/>
      <c r="U439" s="1">
        <v>5994604.1757166311</v>
      </c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>
        <v>670044.03824515373</v>
      </c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>
        <v>3555373.3044486777</v>
      </c>
      <c r="AU439" s="1"/>
      <c r="AV439" s="1"/>
      <c r="AW439" s="1"/>
      <c r="AX439" s="1"/>
      <c r="AY439" s="1"/>
      <c r="AZ439" s="1"/>
      <c r="BA439" s="1"/>
      <c r="BB439" s="1"/>
      <c r="BC439" s="1">
        <v>2009867.670748461</v>
      </c>
      <c r="BD439" s="1"/>
      <c r="BE439" s="1"/>
      <c r="BF439" s="1"/>
      <c r="BG439" s="1"/>
      <c r="BH439" s="1"/>
      <c r="BI439" s="4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>
        <v>1345529.5126094949</v>
      </c>
      <c r="CU439" s="2"/>
      <c r="CV439" s="2"/>
      <c r="CW439" s="2"/>
      <c r="CX439" s="2">
        <v>2448130.8190607601</v>
      </c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>
        <v>3193403.9752002195</v>
      </c>
      <c r="DT439" s="2"/>
      <c r="DU439" s="2"/>
      <c r="DV439" s="2"/>
      <c r="DW439" s="2"/>
      <c r="DX439" s="2"/>
      <c r="DY439" s="2"/>
      <c r="DZ439" s="2"/>
      <c r="EA439" s="2"/>
      <c r="EB439" s="2">
        <v>547692.17096608097</v>
      </c>
      <c r="EC439" s="2"/>
      <c r="ED439" s="2"/>
      <c r="EE439" s="2">
        <v>387500.7925897275</v>
      </c>
      <c r="EF439" s="2"/>
      <c r="EG439" s="2">
        <v>498297.94121057994</v>
      </c>
      <c r="EH439" s="2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4"/>
      <c r="HX439" s="2"/>
      <c r="HY439" s="2"/>
      <c r="HZ439" s="2"/>
      <c r="IA439" s="2">
        <v>488751.48191630613</v>
      </c>
      <c r="IB439" s="2">
        <v>228552.60992558478</v>
      </c>
      <c r="IC439" s="2">
        <v>217243.50475539226</v>
      </c>
      <c r="ID439" s="2">
        <v>66906.428412462294</v>
      </c>
      <c r="IE439" s="2">
        <v>209130.11073572474</v>
      </c>
      <c r="IF439" s="2">
        <v>335449.03609430243</v>
      </c>
      <c r="IG439" s="2"/>
      <c r="IH439" s="2"/>
      <c r="II439" s="2"/>
      <c r="IJ439" s="2">
        <v>243774</v>
      </c>
      <c r="IK439" s="2">
        <v>264048</v>
      </c>
      <c r="IL439" s="2">
        <v>1029228</v>
      </c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  <c r="JY439" s="2"/>
      <c r="JZ439" s="2"/>
      <c r="KA439" s="2"/>
      <c r="KB439" s="2"/>
      <c r="KC439" s="2"/>
      <c r="KD439" s="2"/>
      <c r="KE439" s="2"/>
      <c r="KF439" s="2"/>
      <c r="KG439" s="2"/>
      <c r="KH439" s="2"/>
      <c r="KI439" s="2"/>
      <c r="KJ439" s="2"/>
      <c r="KK439" s="2"/>
      <c r="KL439" s="2"/>
      <c r="KM439" s="2"/>
      <c r="KN439" s="2"/>
      <c r="KO439" s="2"/>
      <c r="KP439" s="2"/>
      <c r="KQ439" s="2"/>
      <c r="KR439" s="2"/>
      <c r="KS439" s="2"/>
      <c r="KT439" s="2"/>
      <c r="KU439" s="2"/>
      <c r="KV439" s="2"/>
      <c r="KW439" s="2"/>
      <c r="KX439" s="2"/>
      <c r="KY439" s="2"/>
      <c r="KZ439" s="2"/>
      <c r="LA439" s="2"/>
      <c r="LB439" s="2"/>
      <c r="LC439" s="2"/>
      <c r="LD439" s="2"/>
      <c r="LE439" s="2"/>
      <c r="LF439" s="2"/>
      <c r="LG439" s="2"/>
      <c r="LH439" s="2"/>
      <c r="LI439" s="2"/>
      <c r="LJ439" s="2"/>
      <c r="LK439" s="2"/>
      <c r="LL439" s="2"/>
      <c r="LM439" s="2"/>
      <c r="LN439" s="2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</row>
    <row r="440" spans="1:343">
      <c r="A440" s="1">
        <v>1803</v>
      </c>
      <c r="B440" s="1"/>
      <c r="C440" s="1"/>
      <c r="D440" s="1"/>
      <c r="E440" s="1"/>
      <c r="F440" s="1"/>
      <c r="G440" s="1"/>
      <c r="H440" s="1"/>
      <c r="I440" s="1"/>
      <c r="J440" s="1"/>
      <c r="K440" s="1">
        <v>2851853.2521294914</v>
      </c>
      <c r="L440" s="1"/>
      <c r="M440" s="1"/>
      <c r="N440" s="1"/>
      <c r="O440" s="1"/>
      <c r="P440" s="1"/>
      <c r="Q440" s="1"/>
      <c r="R440" s="1"/>
      <c r="S440" s="1"/>
      <c r="T440" s="1"/>
      <c r="U440" s="1">
        <v>6029372.879935788</v>
      </c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>
        <v>672724.21439813438</v>
      </c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>
        <v>3573505.7083013663</v>
      </c>
      <c r="AU440" s="1"/>
      <c r="AV440" s="1"/>
      <c r="AW440" s="1"/>
      <c r="AX440" s="1"/>
      <c r="AY440" s="1"/>
      <c r="AZ440" s="1"/>
      <c r="BA440" s="1"/>
      <c r="BB440" s="1"/>
      <c r="BC440" s="1">
        <v>2019716.0223351284</v>
      </c>
      <c r="BD440" s="1"/>
      <c r="BE440" s="1"/>
      <c r="BF440" s="1"/>
      <c r="BG440" s="1"/>
      <c r="BH440" s="1"/>
      <c r="BI440" s="4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>
        <v>1352391.7131238035</v>
      </c>
      <c r="CU440" s="2"/>
      <c r="CV440" s="2"/>
      <c r="CW440" s="2"/>
      <c r="CX440" s="2">
        <v>2460616.28623797</v>
      </c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>
        <v>3202984.1871258197</v>
      </c>
      <c r="DT440" s="2"/>
      <c r="DU440" s="2"/>
      <c r="DV440" s="2"/>
      <c r="DW440" s="2"/>
      <c r="DX440" s="2"/>
      <c r="DY440" s="2"/>
      <c r="DZ440" s="2"/>
      <c r="EA440" s="2"/>
      <c r="EB440" s="2">
        <v>550430.63182091131</v>
      </c>
      <c r="EC440" s="2"/>
      <c r="ED440" s="2"/>
      <c r="EE440" s="2">
        <v>389593.29686971207</v>
      </c>
      <c r="EF440" s="2"/>
      <c r="EG440" s="2">
        <v>501088.40968135919</v>
      </c>
      <c r="EH440" s="2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4"/>
      <c r="HX440" s="2"/>
      <c r="HY440" s="2"/>
      <c r="HZ440" s="2"/>
      <c r="IA440" s="2">
        <v>489973.36062109686</v>
      </c>
      <c r="IB440" s="2">
        <v>229123.99145039872</v>
      </c>
      <c r="IC440" s="2">
        <v>217786.61351728073</v>
      </c>
      <c r="ID440" s="2">
        <v>67073.69448349344</v>
      </c>
      <c r="IE440" s="2">
        <v>209652.93601256405</v>
      </c>
      <c r="IF440" s="2">
        <v>336287.65868453815</v>
      </c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  <c r="JY440" s="2"/>
      <c r="JZ440" s="2"/>
      <c r="KA440" s="2"/>
      <c r="KB440" s="2"/>
      <c r="KC440" s="2"/>
      <c r="KD440" s="2"/>
      <c r="KE440" s="2"/>
      <c r="KF440" s="2"/>
      <c r="KG440" s="2"/>
      <c r="KH440" s="2"/>
      <c r="KI440" s="2"/>
      <c r="KJ440" s="2"/>
      <c r="KK440" s="2"/>
      <c r="KL440" s="2"/>
      <c r="KM440" s="2"/>
      <c r="KN440" s="2"/>
      <c r="KO440" s="2"/>
      <c r="KP440" s="2"/>
      <c r="KQ440" s="2"/>
      <c r="KR440" s="2"/>
      <c r="KS440" s="2"/>
      <c r="KT440" s="2"/>
      <c r="KU440" s="2"/>
      <c r="KV440" s="2"/>
      <c r="KW440" s="2"/>
      <c r="KX440" s="2"/>
      <c r="KY440" s="2"/>
      <c r="KZ440" s="2"/>
      <c r="LA440" s="2"/>
      <c r="LB440" s="2"/>
      <c r="LC440" s="2"/>
      <c r="LD440" s="2"/>
      <c r="LE440" s="2"/>
      <c r="LF440" s="2"/>
      <c r="LG440" s="2"/>
      <c r="LH440" s="2"/>
      <c r="LI440" s="2"/>
      <c r="LJ440" s="2"/>
      <c r="LK440" s="2"/>
      <c r="LL440" s="2"/>
      <c r="LM440" s="2"/>
      <c r="LN440" s="2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</row>
    <row r="441" spans="1:343">
      <c r="A441" s="1">
        <v>1804</v>
      </c>
      <c r="B441" s="1"/>
      <c r="C441" s="1"/>
      <c r="D441" s="1"/>
      <c r="E441" s="1"/>
      <c r="F441" s="1"/>
      <c r="G441" s="1"/>
      <c r="H441" s="1"/>
      <c r="I441" s="1"/>
      <c r="J441" s="1"/>
      <c r="K441" s="1">
        <v>2860408.8118858794</v>
      </c>
      <c r="L441" s="1"/>
      <c r="M441" s="1"/>
      <c r="N441" s="1"/>
      <c r="O441" s="1"/>
      <c r="P441" s="1"/>
      <c r="Q441" s="1"/>
      <c r="R441" s="1"/>
      <c r="S441" s="1"/>
      <c r="T441" s="1"/>
      <c r="U441" s="1">
        <v>6064343.2426394159</v>
      </c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>
        <v>675415.11125572689</v>
      </c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>
        <v>3591730.5874137036</v>
      </c>
      <c r="AU441" s="1"/>
      <c r="AV441" s="1"/>
      <c r="AW441" s="1"/>
      <c r="AX441" s="1"/>
      <c r="AY441" s="1"/>
      <c r="AZ441" s="1"/>
      <c r="BA441" s="1"/>
      <c r="BB441" s="1"/>
      <c r="BC441" s="1">
        <v>2029612.6308445702</v>
      </c>
      <c r="BD441" s="1"/>
      <c r="BE441" s="1"/>
      <c r="BF441" s="1"/>
      <c r="BG441" s="1"/>
      <c r="BH441" s="1"/>
      <c r="BI441" s="4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>
        <v>1359288.910860735</v>
      </c>
      <c r="CU441" s="2"/>
      <c r="CV441" s="2"/>
      <c r="CW441" s="2"/>
      <c r="CX441" s="2">
        <v>2473165.4292977839</v>
      </c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>
        <v>3212593.1396871968</v>
      </c>
      <c r="DT441" s="2"/>
      <c r="DU441" s="2"/>
      <c r="DV441" s="2"/>
      <c r="DW441" s="2"/>
      <c r="DX441" s="2"/>
      <c r="DY441" s="2"/>
      <c r="DZ441" s="2"/>
      <c r="EA441" s="2"/>
      <c r="EB441" s="2">
        <v>553182.78498001583</v>
      </c>
      <c r="EC441" s="2"/>
      <c r="ED441" s="2"/>
      <c r="EE441" s="2">
        <v>391697.10067280853</v>
      </c>
      <c r="EF441" s="2"/>
      <c r="EG441" s="2">
        <v>503894.50477557484</v>
      </c>
      <c r="EH441" s="2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4"/>
      <c r="HX441" s="2"/>
      <c r="HY441" s="2"/>
      <c r="HZ441" s="2"/>
      <c r="IA441" s="2">
        <v>491198.29402264958</v>
      </c>
      <c r="IB441" s="2">
        <v>229696.80142902472</v>
      </c>
      <c r="IC441" s="2">
        <v>218331.08005107392</v>
      </c>
      <c r="ID441" s="2">
        <v>67241.378719702174</v>
      </c>
      <c r="IE441" s="2">
        <v>210177.06835259544</v>
      </c>
      <c r="IF441" s="2">
        <v>337128.3778312495</v>
      </c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  <c r="JY441" s="2"/>
      <c r="JZ441" s="2"/>
      <c r="KA441" s="2"/>
      <c r="KB441" s="2"/>
      <c r="KC441" s="2"/>
      <c r="KD441" s="2"/>
      <c r="KE441" s="2"/>
      <c r="KF441" s="2"/>
      <c r="KG441" s="2"/>
      <c r="KH441" s="2"/>
      <c r="KI441" s="2"/>
      <c r="KJ441" s="2"/>
      <c r="KK441" s="2"/>
      <c r="KL441" s="2"/>
      <c r="KM441" s="2"/>
      <c r="KN441" s="2"/>
      <c r="KO441" s="2"/>
      <c r="KP441" s="2"/>
      <c r="KQ441" s="2"/>
      <c r="KR441" s="2"/>
      <c r="KS441" s="2"/>
      <c r="KT441" s="2"/>
      <c r="KU441" s="2"/>
      <c r="KV441" s="2"/>
      <c r="KW441" s="2"/>
      <c r="KX441" s="2"/>
      <c r="KY441" s="2"/>
      <c r="KZ441" s="2"/>
      <c r="LA441" s="2"/>
      <c r="LB441" s="2"/>
      <c r="LC441" s="2"/>
      <c r="LD441" s="2"/>
      <c r="LE441" s="2"/>
      <c r="LF441" s="2"/>
      <c r="LG441" s="2"/>
      <c r="LH441" s="2"/>
      <c r="LI441" s="2"/>
      <c r="LJ441" s="2"/>
      <c r="LK441" s="2"/>
      <c r="LL441" s="2"/>
      <c r="LM441" s="2"/>
      <c r="LN441" s="2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</row>
    <row r="442" spans="1:343">
      <c r="A442" s="1">
        <v>1805</v>
      </c>
      <c r="B442" s="1"/>
      <c r="C442" s="1"/>
      <c r="D442" s="1"/>
      <c r="E442" s="1"/>
      <c r="F442" s="1"/>
      <c r="G442" s="1"/>
      <c r="H442" s="1"/>
      <c r="I442" s="1"/>
      <c r="J442" s="1"/>
      <c r="K442" s="1">
        <v>2868990.0383215365</v>
      </c>
      <c r="L442" s="1"/>
      <c r="M442" s="1"/>
      <c r="N442" s="1"/>
      <c r="O442" s="1"/>
      <c r="P442" s="1"/>
      <c r="Q442" s="1"/>
      <c r="R442" s="1"/>
      <c r="S442" s="1"/>
      <c r="T442" s="1"/>
      <c r="U442" s="1">
        <v>6099516.4334467249</v>
      </c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>
        <v>678116.77170074976</v>
      </c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>
        <v>3610048.4134095139</v>
      </c>
      <c r="AU442" s="1"/>
      <c r="AV442" s="1"/>
      <c r="AW442" s="1"/>
      <c r="AX442" s="1"/>
      <c r="AY442" s="1"/>
      <c r="AZ442" s="1"/>
      <c r="BA442" s="1"/>
      <c r="BB442" s="1"/>
      <c r="BC442" s="1">
        <v>2039557.7327357084</v>
      </c>
      <c r="BD442" s="1"/>
      <c r="BE442" s="1"/>
      <c r="BF442" s="1"/>
      <c r="BG442" s="1"/>
      <c r="BH442" s="1"/>
      <c r="BI442" s="4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>
        <v>1366221.2843061248</v>
      </c>
      <c r="CU442" s="2"/>
      <c r="CV442" s="2"/>
      <c r="CW442" s="2"/>
      <c r="CX442" s="2">
        <v>2485778.572987203</v>
      </c>
      <c r="CY442" s="2"/>
      <c r="CZ442" s="2"/>
      <c r="DA442" s="2"/>
      <c r="DB442" s="2"/>
      <c r="DC442" s="2"/>
      <c r="DD442" s="2"/>
      <c r="DE442" s="2">
        <v>316575</v>
      </c>
      <c r="DF442" s="2">
        <v>1300000</v>
      </c>
      <c r="DG442" s="2">
        <v>503040</v>
      </c>
      <c r="DH442" s="2">
        <v>525365</v>
      </c>
      <c r="DI442" s="2">
        <v>301412</v>
      </c>
      <c r="DJ442" s="2">
        <v>260000</v>
      </c>
      <c r="DK442" s="2">
        <v>272677</v>
      </c>
      <c r="DL442" s="2"/>
      <c r="DM442" s="2"/>
      <c r="DN442" s="2"/>
      <c r="DO442" s="2"/>
      <c r="DP442" s="2"/>
      <c r="DQ442" s="2"/>
      <c r="DR442" s="2"/>
      <c r="DS442" s="2">
        <v>3222230.9191062581</v>
      </c>
      <c r="DT442" s="2"/>
      <c r="DU442" s="2"/>
      <c r="DV442" s="2"/>
      <c r="DW442" s="2"/>
      <c r="DX442" s="2"/>
      <c r="DY442" s="2"/>
      <c r="DZ442" s="2"/>
      <c r="EA442" s="2"/>
      <c r="EB442" s="2">
        <v>555948.69890491583</v>
      </c>
      <c r="EC442" s="2"/>
      <c r="ED442" s="2"/>
      <c r="EE442" s="2">
        <v>393812.2650164417</v>
      </c>
      <c r="EF442" s="2"/>
      <c r="EG442" s="2">
        <v>506716.31400231807</v>
      </c>
      <c r="EH442" s="2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4"/>
      <c r="HX442" s="2"/>
      <c r="HY442" s="2"/>
      <c r="HZ442" s="2"/>
      <c r="IA442" s="2">
        <v>492426.28975770617</v>
      </c>
      <c r="IB442" s="2">
        <v>230271.04343259727</v>
      </c>
      <c r="IC442" s="2">
        <v>218876.90775120159</v>
      </c>
      <c r="ID442" s="2">
        <v>67409.482166501431</v>
      </c>
      <c r="IE442" s="2">
        <v>210702.51102347692</v>
      </c>
      <c r="IF442" s="2">
        <v>337971.19877582759</v>
      </c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  <c r="JY442" s="2"/>
      <c r="JZ442" s="2"/>
      <c r="KA442" s="2"/>
      <c r="KB442" s="2"/>
      <c r="KC442" s="2"/>
      <c r="KD442" s="2"/>
      <c r="KE442" s="2"/>
      <c r="KF442" s="2"/>
      <c r="KG442" s="2"/>
      <c r="KH442" s="2"/>
      <c r="KI442" s="2"/>
      <c r="KJ442" s="2"/>
      <c r="KK442" s="2"/>
      <c r="KL442" s="2"/>
      <c r="KM442" s="2"/>
      <c r="KN442" s="2"/>
      <c r="KO442" s="2"/>
      <c r="KP442" s="2"/>
      <c r="KQ442" s="2"/>
      <c r="KR442" s="2"/>
      <c r="KS442" s="2"/>
      <c r="KT442" s="2"/>
      <c r="KU442" s="2"/>
      <c r="KV442" s="2"/>
      <c r="KW442" s="2"/>
      <c r="KX442" s="2"/>
      <c r="KY442" s="2"/>
      <c r="KZ442" s="2"/>
      <c r="LA442" s="2"/>
      <c r="LB442" s="2"/>
      <c r="LC442" s="2"/>
      <c r="LD442" s="2"/>
      <c r="LE442" s="2"/>
      <c r="LF442" s="2"/>
      <c r="LG442" s="2"/>
      <c r="LH442" s="2"/>
      <c r="LI442" s="2"/>
      <c r="LJ442" s="2"/>
      <c r="LK442" s="2"/>
      <c r="LL442" s="2"/>
      <c r="LM442" s="2"/>
      <c r="LN442" s="2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</row>
    <row r="443" spans="1:343">
      <c r="A443" s="1">
        <v>1806</v>
      </c>
      <c r="B443" s="1"/>
      <c r="C443" s="1"/>
      <c r="D443" s="1"/>
      <c r="E443" s="1"/>
      <c r="F443" s="1"/>
      <c r="G443" s="1"/>
      <c r="H443" s="1"/>
      <c r="I443" s="1"/>
      <c r="J443" s="1"/>
      <c r="K443" s="1">
        <v>2877597.008436501</v>
      </c>
      <c r="L443" s="1"/>
      <c r="M443" s="1"/>
      <c r="N443" s="1"/>
      <c r="O443" s="1"/>
      <c r="P443" s="1"/>
      <c r="Q443" s="1"/>
      <c r="R443" s="1"/>
      <c r="S443" s="1"/>
      <c r="T443" s="1"/>
      <c r="U443" s="1">
        <v>6134893.6287607159</v>
      </c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>
        <v>680829.23878755281</v>
      </c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>
        <v>3628459.6603179029</v>
      </c>
      <c r="AU443" s="1"/>
      <c r="AV443" s="1"/>
      <c r="AW443" s="1"/>
      <c r="AX443" s="1"/>
      <c r="AY443" s="1"/>
      <c r="AZ443" s="1"/>
      <c r="BA443" s="1"/>
      <c r="BB443" s="1"/>
      <c r="BC443" s="1">
        <v>2049551.5656261132</v>
      </c>
      <c r="BD443" s="1"/>
      <c r="BE443" s="1"/>
      <c r="BF443" s="1"/>
      <c r="BG443" s="1"/>
      <c r="BH443" s="1"/>
      <c r="BI443" s="4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>
        <v>1373189.0128560863</v>
      </c>
      <c r="CU443" s="2"/>
      <c r="CV443" s="2"/>
      <c r="CW443" s="2"/>
      <c r="CX443" s="2">
        <v>2498456.0437094378</v>
      </c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>
        <v>3231897.6118635763</v>
      </c>
      <c r="DT443" s="2"/>
      <c r="DU443" s="2"/>
      <c r="DV443" s="2"/>
      <c r="DW443" s="2"/>
      <c r="DX443" s="2"/>
      <c r="DY443" s="2"/>
      <c r="DZ443" s="2"/>
      <c r="EA443" s="2"/>
      <c r="EB443" s="2">
        <v>558728.44239944033</v>
      </c>
      <c r="EC443" s="2"/>
      <c r="ED443" s="2"/>
      <c r="EE443" s="2">
        <v>395938.85124753049</v>
      </c>
      <c r="EF443" s="2"/>
      <c r="EG443" s="2">
        <v>509553.92536073108</v>
      </c>
      <c r="EH443" s="2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4"/>
      <c r="HX443" s="2"/>
      <c r="HY443" s="2"/>
      <c r="HZ443" s="2"/>
      <c r="IA443" s="2">
        <v>493657.35548210039</v>
      </c>
      <c r="IB443" s="2">
        <v>230846.72104117877</v>
      </c>
      <c r="IC443" s="2">
        <v>219424.10002057959</v>
      </c>
      <c r="ID443" s="2">
        <v>67578.005871917689</v>
      </c>
      <c r="IE443" s="2">
        <v>211229.26730103561</v>
      </c>
      <c r="IF443" s="2">
        <v>338816.12677276717</v>
      </c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  <c r="JY443" s="2"/>
      <c r="JZ443" s="2"/>
      <c r="KA443" s="2"/>
      <c r="KB443" s="2"/>
      <c r="KC443" s="2"/>
      <c r="KD443" s="2"/>
      <c r="KE443" s="2"/>
      <c r="KF443" s="2"/>
      <c r="KG443" s="2"/>
      <c r="KH443" s="2"/>
      <c r="KI443" s="2"/>
      <c r="KJ443" s="2"/>
      <c r="KK443" s="2"/>
      <c r="KL443" s="2"/>
      <c r="KM443" s="2"/>
      <c r="KN443" s="2"/>
      <c r="KO443" s="2"/>
      <c r="KP443" s="2"/>
      <c r="KQ443" s="2"/>
      <c r="KR443" s="2"/>
      <c r="KS443" s="2"/>
      <c r="KT443" s="2"/>
      <c r="KU443" s="2"/>
      <c r="KV443" s="2"/>
      <c r="KW443" s="2"/>
      <c r="KX443" s="2"/>
      <c r="KY443" s="2"/>
      <c r="KZ443" s="2"/>
      <c r="LA443" s="2"/>
      <c r="LB443" s="2"/>
      <c r="LC443" s="2"/>
      <c r="LD443" s="2"/>
      <c r="LE443" s="2"/>
      <c r="LF443" s="2"/>
      <c r="LG443" s="2"/>
      <c r="LH443" s="2"/>
      <c r="LI443" s="2"/>
      <c r="LJ443" s="2"/>
      <c r="LK443" s="2"/>
      <c r="LL443" s="2"/>
      <c r="LM443" s="2"/>
      <c r="LN443" s="2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</row>
    <row r="444" spans="1:343">
      <c r="A444" s="1">
        <v>1807</v>
      </c>
      <c r="B444" s="1"/>
      <c r="C444" s="1"/>
      <c r="D444" s="1"/>
      <c r="E444" s="1"/>
      <c r="F444" s="1"/>
      <c r="G444" s="1"/>
      <c r="H444" s="1"/>
      <c r="I444" s="1"/>
      <c r="J444" s="1"/>
      <c r="K444" s="1">
        <v>2886229.7994618104</v>
      </c>
      <c r="L444" s="1"/>
      <c r="M444" s="1"/>
      <c r="N444" s="1"/>
      <c r="O444" s="1"/>
      <c r="P444" s="1"/>
      <c r="Q444" s="1"/>
      <c r="R444" s="1"/>
      <c r="S444" s="1"/>
      <c r="T444" s="1"/>
      <c r="U444" s="1">
        <v>6170476.0118075283</v>
      </c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>
        <v>683552.55574270303</v>
      </c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>
        <v>3646964.8045855244</v>
      </c>
      <c r="AU444" s="1"/>
      <c r="AV444" s="1"/>
      <c r="AW444" s="1"/>
      <c r="AX444" s="1"/>
      <c r="AY444" s="1"/>
      <c r="AZ444" s="1"/>
      <c r="BA444" s="1"/>
      <c r="BB444" s="1"/>
      <c r="BC444" s="1">
        <v>2059594.368297681</v>
      </c>
      <c r="BD444" s="1"/>
      <c r="BE444" s="1"/>
      <c r="BF444" s="1"/>
      <c r="BG444" s="1"/>
      <c r="BH444" s="1"/>
      <c r="BI444" s="4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>
        <v>1380192.2768216524</v>
      </c>
      <c r="CU444" s="2"/>
      <c r="CV444" s="2"/>
      <c r="CW444" s="2"/>
      <c r="CX444" s="2">
        <v>2511198.1695323563</v>
      </c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>
        <v>3241593.3046991667</v>
      </c>
      <c r="DT444" s="2"/>
      <c r="DU444" s="2"/>
      <c r="DV444" s="2"/>
      <c r="DW444" s="2"/>
      <c r="DX444" s="2"/>
      <c r="DY444" s="2"/>
      <c r="DZ444" s="2"/>
      <c r="EA444" s="2"/>
      <c r="EB444" s="2">
        <v>561522.08461143752</v>
      </c>
      <c r="EC444" s="2"/>
      <c r="ED444" s="2"/>
      <c r="EE444" s="2">
        <v>398076.92104426719</v>
      </c>
      <c r="EF444" s="2"/>
      <c r="EG444" s="2">
        <v>512407.42734275118</v>
      </c>
      <c r="EH444" s="2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4"/>
      <c r="HX444" s="2"/>
      <c r="HY444" s="2"/>
      <c r="HZ444" s="2"/>
      <c r="IA444" s="2">
        <v>494891.4988708056</v>
      </c>
      <c r="IB444" s="2">
        <v>231423.83784378172</v>
      </c>
      <c r="IC444" s="2">
        <v>219972.66027063102</v>
      </c>
      <c r="ID444" s="2">
        <v>67746.950886597479</v>
      </c>
      <c r="IE444" s="2">
        <v>211757.34046928817</v>
      </c>
      <c r="IF444" s="2">
        <v>339663.16708969907</v>
      </c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  <c r="JY444" s="2"/>
      <c r="JZ444" s="2"/>
      <c r="KA444" s="2"/>
      <c r="KB444" s="2"/>
      <c r="KC444" s="2"/>
      <c r="KD444" s="2"/>
      <c r="KE444" s="2"/>
      <c r="KF444" s="2"/>
      <c r="KG444" s="2"/>
      <c r="KH444" s="2"/>
      <c r="KI444" s="2"/>
      <c r="KJ444" s="2"/>
      <c r="KK444" s="2"/>
      <c r="KL444" s="2"/>
      <c r="KM444" s="2"/>
      <c r="KN444" s="2"/>
      <c r="KO444" s="2"/>
      <c r="KP444" s="2"/>
      <c r="KQ444" s="2"/>
      <c r="KR444" s="2"/>
      <c r="KS444" s="2"/>
      <c r="KT444" s="2"/>
      <c r="KU444" s="2"/>
      <c r="KV444" s="2"/>
      <c r="KW444" s="2"/>
      <c r="KX444" s="2"/>
      <c r="KY444" s="2"/>
      <c r="KZ444" s="2"/>
      <c r="LA444" s="2"/>
      <c r="LB444" s="2"/>
      <c r="LC444" s="2"/>
      <c r="LD444" s="2"/>
      <c r="LE444" s="2"/>
      <c r="LF444" s="2"/>
      <c r="LG444" s="2"/>
      <c r="LH444" s="2"/>
      <c r="LI444" s="2"/>
      <c r="LJ444" s="2"/>
      <c r="LK444" s="2"/>
      <c r="LL444" s="2"/>
      <c r="LM444" s="2"/>
      <c r="LN444" s="2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</row>
    <row r="445" spans="1:343">
      <c r="A445" s="1">
        <v>1808</v>
      </c>
      <c r="B445" s="1"/>
      <c r="C445" s="1"/>
      <c r="D445" s="1"/>
      <c r="E445" s="1"/>
      <c r="F445" s="1"/>
      <c r="G445" s="1"/>
      <c r="H445" s="1"/>
      <c r="I445" s="1"/>
      <c r="J445" s="1"/>
      <c r="K445" s="1">
        <v>2894888.4888601955</v>
      </c>
      <c r="L445" s="1"/>
      <c r="M445" s="1"/>
      <c r="N445" s="1"/>
      <c r="O445" s="1"/>
      <c r="P445" s="1"/>
      <c r="Q445" s="1"/>
      <c r="R445" s="1"/>
      <c r="S445" s="1"/>
      <c r="T445" s="1"/>
      <c r="U445" s="1">
        <v>6206264.7726760125</v>
      </c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>
        <v>686286.76596567384</v>
      </c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>
        <v>3665564.3250889108</v>
      </c>
      <c r="AU445" s="1"/>
      <c r="AV445" s="1"/>
      <c r="AW445" s="1"/>
      <c r="AX445" s="1"/>
      <c r="AY445" s="1"/>
      <c r="AZ445" s="1"/>
      <c r="BA445" s="1"/>
      <c r="BB445" s="1"/>
      <c r="BC445" s="1">
        <v>2069686.3807023393</v>
      </c>
      <c r="BD445" s="1"/>
      <c r="BE445" s="1"/>
      <c r="BF445" s="1"/>
      <c r="BG445" s="1"/>
      <c r="BH445" s="1"/>
      <c r="BI445" s="4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>
        <v>1387231.2574334431</v>
      </c>
      <c r="CU445" s="2"/>
      <c r="CV445" s="2"/>
      <c r="CW445" s="2"/>
      <c r="CX445" s="2">
        <v>2524005.2801969717</v>
      </c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>
        <v>3251318.0846132636</v>
      </c>
      <c r="DT445" s="2"/>
      <c r="DU445" s="2"/>
      <c r="DV445" s="2"/>
      <c r="DW445" s="2"/>
      <c r="DX445" s="2"/>
      <c r="DY445" s="2"/>
      <c r="DZ445" s="2"/>
      <c r="EA445" s="2"/>
      <c r="EB445" s="2">
        <v>564329.69503449462</v>
      </c>
      <c r="EC445" s="2"/>
      <c r="ED445" s="2"/>
      <c r="EE445" s="2">
        <v>400226.53641790629</v>
      </c>
      <c r="EF445" s="2"/>
      <c r="EG445" s="2">
        <v>515276.90893587063</v>
      </c>
      <c r="EH445" s="2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4"/>
      <c r="HX445" s="2"/>
      <c r="HY445" s="2"/>
      <c r="HZ445" s="2"/>
      <c r="IA445" s="2">
        <v>496128.7276179826</v>
      </c>
      <c r="IB445" s="2">
        <v>232002.39743839117</v>
      </c>
      <c r="IC445" s="2">
        <v>220522.59192130758</v>
      </c>
      <c r="ID445" s="2">
        <v>67916.31826381397</v>
      </c>
      <c r="IE445" s="2">
        <v>212286.73382046138</v>
      </c>
      <c r="IF445" s="2">
        <v>340512.32500742329</v>
      </c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  <c r="JY445" s="2"/>
      <c r="JZ445" s="2"/>
      <c r="KA445" s="2"/>
      <c r="KB445" s="2"/>
      <c r="KC445" s="2"/>
      <c r="KD445" s="2"/>
      <c r="KE445" s="2"/>
      <c r="KF445" s="2"/>
      <c r="KG445" s="2"/>
      <c r="KH445" s="2"/>
      <c r="KI445" s="2"/>
      <c r="KJ445" s="2"/>
      <c r="KK445" s="2"/>
      <c r="KL445" s="2"/>
      <c r="KM445" s="2"/>
      <c r="KN445" s="2"/>
      <c r="KO445" s="2"/>
      <c r="KP445" s="2"/>
      <c r="KQ445" s="2"/>
      <c r="KR445" s="2"/>
      <c r="KS445" s="2"/>
      <c r="KT445" s="2"/>
      <c r="KU445" s="2"/>
      <c r="KV445" s="2"/>
      <c r="KW445" s="2"/>
      <c r="KX445" s="2"/>
      <c r="KY445" s="2"/>
      <c r="KZ445" s="2"/>
      <c r="LA445" s="2"/>
      <c r="LB445" s="2"/>
      <c r="LC445" s="2"/>
      <c r="LD445" s="2"/>
      <c r="LE445" s="2"/>
      <c r="LF445" s="2"/>
      <c r="LG445" s="2"/>
      <c r="LH445" s="2"/>
      <c r="LI445" s="2"/>
      <c r="LJ445" s="2"/>
      <c r="LK445" s="2"/>
      <c r="LL445" s="2"/>
      <c r="LM445" s="2"/>
      <c r="LN445" s="2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</row>
    <row r="446" spans="1:343">
      <c r="A446" s="1">
        <v>1809</v>
      </c>
      <c r="B446" s="1"/>
      <c r="C446" s="1">
        <v>4994000</v>
      </c>
      <c r="D446" s="1">
        <v>1158608</v>
      </c>
      <c r="E446" s="1">
        <v>1468236</v>
      </c>
      <c r="F446" s="1">
        <v>644226</v>
      </c>
      <c r="G446" s="1">
        <v>339592</v>
      </c>
      <c r="H446" s="1">
        <v>429483.99999999994</v>
      </c>
      <c r="I446" s="1">
        <v>239712</v>
      </c>
      <c r="J446" s="1">
        <v>714141.99999999988</v>
      </c>
      <c r="K446" s="1">
        <v>2903573.1543267756</v>
      </c>
      <c r="L446" s="1"/>
      <c r="M446" s="1"/>
      <c r="N446" s="1"/>
      <c r="O446" s="1"/>
      <c r="P446" s="1"/>
      <c r="Q446" s="1"/>
      <c r="R446" s="1"/>
      <c r="S446" s="1"/>
      <c r="T446" s="1"/>
      <c r="U446" s="1">
        <v>6242261.1083575338</v>
      </c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>
        <v>689031.91302953649</v>
      </c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>
        <v>3684258.7031468647</v>
      </c>
      <c r="AU446" s="1"/>
      <c r="AV446" s="1"/>
      <c r="AW446" s="1"/>
      <c r="AX446" s="1"/>
      <c r="AY446" s="1"/>
      <c r="AZ446" s="1"/>
      <c r="BA446" s="1"/>
      <c r="BB446" s="1"/>
      <c r="BC446" s="1">
        <v>2079827.8439677807</v>
      </c>
      <c r="BD446" s="1"/>
      <c r="BE446" s="1"/>
      <c r="BF446" s="1"/>
      <c r="BG446" s="1"/>
      <c r="BH446" s="1"/>
      <c r="BI446" s="4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>
        <v>1394306.1368463538</v>
      </c>
      <c r="CU446" s="2"/>
      <c r="CV446" s="2"/>
      <c r="CW446" s="2"/>
      <c r="CX446" s="2">
        <v>2536877.7071259767</v>
      </c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>
        <v>3261072.0388671029</v>
      </c>
      <c r="DT446" s="2"/>
      <c r="DU446" s="2"/>
      <c r="DV446" s="2"/>
      <c r="DW446" s="2"/>
      <c r="DX446" s="2"/>
      <c r="DY446" s="2"/>
      <c r="DZ446" s="2"/>
      <c r="EA446" s="2"/>
      <c r="EB446" s="2">
        <v>567151.34350966709</v>
      </c>
      <c r="EC446" s="2"/>
      <c r="ED446" s="2"/>
      <c r="EE446" s="2">
        <v>402387.75971456303</v>
      </c>
      <c r="EF446" s="2"/>
      <c r="EG446" s="2">
        <v>518162.45962591155</v>
      </c>
      <c r="EH446" s="2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4"/>
      <c r="HX446" s="2"/>
      <c r="HY446" s="2"/>
      <c r="HZ446" s="2"/>
      <c r="IA446" s="2">
        <v>497369.04943702754</v>
      </c>
      <c r="IB446" s="2">
        <v>232582.40343198713</v>
      </c>
      <c r="IC446" s="2">
        <v>221073.89840111084</v>
      </c>
      <c r="ID446" s="2">
        <v>68086.1090594735</v>
      </c>
      <c r="IE446" s="2">
        <v>212817.45065501251</v>
      </c>
      <c r="IF446" s="2">
        <v>341363.60581994185</v>
      </c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  <c r="JY446" s="2"/>
      <c r="JZ446" s="2"/>
      <c r="KA446" s="2"/>
      <c r="KB446" s="2"/>
      <c r="KC446" s="2"/>
      <c r="KD446" s="2"/>
      <c r="KE446" s="2"/>
      <c r="KF446" s="2"/>
      <c r="KG446" s="2"/>
      <c r="KH446" s="2"/>
      <c r="KI446" s="2"/>
      <c r="KJ446" s="2"/>
      <c r="KK446" s="2"/>
      <c r="KL446" s="2"/>
      <c r="KM446" s="2"/>
      <c r="KN446" s="2"/>
      <c r="KO446" s="2"/>
      <c r="KP446" s="2"/>
      <c r="KQ446" s="2"/>
      <c r="KR446" s="2"/>
      <c r="KS446" s="2"/>
      <c r="KT446" s="2"/>
      <c r="KU446" s="2"/>
      <c r="KV446" s="2"/>
      <c r="KW446" s="2"/>
      <c r="KX446" s="2"/>
      <c r="KY446" s="2"/>
      <c r="KZ446" s="2"/>
      <c r="LA446" s="2"/>
      <c r="LB446" s="2"/>
      <c r="LC446" s="2"/>
      <c r="LD446" s="2"/>
      <c r="LE446" s="2"/>
      <c r="LF446" s="2"/>
      <c r="LG446" s="2"/>
      <c r="LH446" s="2"/>
      <c r="LI446" s="2"/>
      <c r="LJ446" s="2"/>
      <c r="LK446" s="2"/>
      <c r="LL446" s="2"/>
      <c r="LM446" s="2"/>
      <c r="LN446" s="2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</row>
    <row r="447" spans="1:343">
      <c r="A447" s="1">
        <v>1810</v>
      </c>
      <c r="B447" s="1"/>
      <c r="C447" s="1"/>
      <c r="D447" s="1"/>
      <c r="E447" s="1"/>
      <c r="F447" s="1"/>
      <c r="G447" s="1"/>
      <c r="H447" s="1"/>
      <c r="I447" s="1"/>
      <c r="J447" s="1"/>
      <c r="K447" s="1">
        <v>2912283.8737897556</v>
      </c>
      <c r="L447" s="1"/>
      <c r="M447" s="1"/>
      <c r="N447" s="1"/>
      <c r="O447" s="1"/>
      <c r="P447" s="1"/>
      <c r="Q447" s="1"/>
      <c r="R447" s="1"/>
      <c r="S447" s="1"/>
      <c r="T447" s="1"/>
      <c r="U447" s="1">
        <v>6278466.2227860074</v>
      </c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>
        <v>691788.04068165459</v>
      </c>
      <c r="AH447" s="1">
        <v>5565370</v>
      </c>
      <c r="AI447" s="1">
        <v>2037249.42</v>
      </c>
      <c r="AJ447" s="1">
        <v>464482.56</v>
      </c>
      <c r="AK447" s="1">
        <v>521806.86</v>
      </c>
      <c r="AL447" s="1">
        <v>379036.38</v>
      </c>
      <c r="AM447" s="1">
        <v>533273.46</v>
      </c>
      <c r="AN447" s="1">
        <v>433256.52</v>
      </c>
      <c r="AO447" s="1">
        <v>2268926.94</v>
      </c>
      <c r="AP447" s="1">
        <v>335637.3</v>
      </c>
      <c r="AQ447" s="1">
        <v>633735.84</v>
      </c>
      <c r="AR447" s="1"/>
      <c r="AS447" s="1"/>
      <c r="AT447" s="1">
        <v>3703048.4225329142</v>
      </c>
      <c r="AU447" s="1"/>
      <c r="AV447" s="1"/>
      <c r="AW447" s="1"/>
      <c r="AX447" s="1"/>
      <c r="AY447" s="1"/>
      <c r="AZ447" s="1"/>
      <c r="BA447" s="1"/>
      <c r="BB447" s="1"/>
      <c r="BC447" s="1">
        <v>2090019.0004032226</v>
      </c>
      <c r="BD447" s="1"/>
      <c r="BE447" s="1"/>
      <c r="BF447" s="1"/>
      <c r="BG447" s="1"/>
      <c r="BH447" s="1"/>
      <c r="BI447" s="4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>
        <v>1401417.0981442702</v>
      </c>
      <c r="CU447" s="2"/>
      <c r="CV447" s="2"/>
      <c r="CW447" s="2"/>
      <c r="CX447" s="2">
        <v>2549815.7834323193</v>
      </c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>
        <v>3270855.2549837041</v>
      </c>
      <c r="DT447" s="2"/>
      <c r="DU447" s="2"/>
      <c r="DV447" s="2"/>
      <c r="DW447" s="2"/>
      <c r="DX447" s="2"/>
      <c r="DY447" s="2"/>
      <c r="DZ447" s="2"/>
      <c r="EA447" s="2"/>
      <c r="EB447" s="2">
        <v>569987.10022721533</v>
      </c>
      <c r="EC447" s="2"/>
      <c r="ED447" s="2"/>
      <c r="EE447" s="2">
        <v>404560.65361702169</v>
      </c>
      <c r="EF447" s="2"/>
      <c r="EG447" s="2">
        <v>521064.16939981666</v>
      </c>
      <c r="EH447" s="2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4"/>
      <c r="HX447" s="2"/>
      <c r="HY447" s="2"/>
      <c r="HZ447" s="2"/>
      <c r="IA447" s="2">
        <v>498612.47206062009</v>
      </c>
      <c r="IB447" s="2">
        <v>233163.85944056709</v>
      </c>
      <c r="IC447" s="2">
        <v>221626.58314711362</v>
      </c>
      <c r="ID447" s="2">
        <v>68256.324332122182</v>
      </c>
      <c r="IE447" s="2">
        <v>213349.49428165003</v>
      </c>
      <c r="IF447" s="2">
        <v>342217.01483449171</v>
      </c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  <c r="JY447" s="2"/>
      <c r="JZ447" s="2"/>
      <c r="KA447" s="2"/>
      <c r="KB447" s="2"/>
      <c r="KC447" s="2"/>
      <c r="KD447" s="2"/>
      <c r="KE447" s="2"/>
      <c r="KF447" s="2"/>
      <c r="KG447" s="2"/>
      <c r="KH447" s="2"/>
      <c r="KI447" s="2"/>
      <c r="KJ447" s="2"/>
      <c r="KK447" s="2"/>
      <c r="KL447" s="2"/>
      <c r="KM447" s="2"/>
      <c r="KN447" s="2"/>
      <c r="KO447" s="2"/>
      <c r="KP447" s="2"/>
      <c r="KQ447" s="2"/>
      <c r="KR447" s="2"/>
      <c r="KS447" s="2"/>
      <c r="KT447" s="2"/>
      <c r="KU447" s="2"/>
      <c r="KV447" s="2"/>
      <c r="KW447" s="2"/>
      <c r="KX447" s="2"/>
      <c r="KY447" s="2"/>
      <c r="KZ447" s="2"/>
      <c r="LA447" s="2"/>
      <c r="LB447" s="2"/>
      <c r="LC447" s="2"/>
      <c r="LD447" s="2"/>
      <c r="LE447" s="2"/>
      <c r="LF447" s="2"/>
      <c r="LG447" s="2"/>
      <c r="LH447" s="2"/>
      <c r="LI447" s="2"/>
      <c r="LJ447" s="2"/>
      <c r="LK447" s="2"/>
      <c r="LL447" s="2"/>
      <c r="LM447" s="2"/>
      <c r="LN447" s="2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</row>
    <row r="448" spans="1:343">
      <c r="A448" s="1">
        <v>1811</v>
      </c>
      <c r="B448" s="1"/>
      <c r="C448" s="1"/>
      <c r="D448" s="1"/>
      <c r="E448" s="1"/>
      <c r="F448" s="1"/>
      <c r="G448" s="1"/>
      <c r="H448" s="1"/>
      <c r="I448" s="1"/>
      <c r="J448" s="1"/>
      <c r="K448" s="1">
        <v>2921020.7254111245</v>
      </c>
      <c r="L448" s="1"/>
      <c r="M448" s="1"/>
      <c r="N448" s="1"/>
      <c r="O448" s="1"/>
      <c r="P448" s="1"/>
      <c r="Q448" s="1"/>
      <c r="R448" s="1"/>
      <c r="S448" s="1"/>
      <c r="T448" s="1"/>
      <c r="U448" s="1">
        <v>6314881.3268781668</v>
      </c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>
        <v>694555.19284438121</v>
      </c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>
        <v>3721933.9694878324</v>
      </c>
      <c r="AU448" s="1"/>
      <c r="AV448" s="1"/>
      <c r="AW448" s="1"/>
      <c r="AX448" s="1"/>
      <c r="AY448" s="1"/>
      <c r="AZ448" s="1"/>
      <c r="BA448" s="1"/>
      <c r="BB448" s="1"/>
      <c r="BC448" s="1">
        <v>2100260.0935051981</v>
      </c>
      <c r="BD448" s="1"/>
      <c r="BE448" s="1"/>
      <c r="BF448" s="1"/>
      <c r="BG448" s="1"/>
      <c r="BH448" s="1"/>
      <c r="BI448" s="4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>
        <v>1408564.3253448061</v>
      </c>
      <c r="CU448" s="2"/>
      <c r="CV448" s="2"/>
      <c r="CW448" s="2"/>
      <c r="CX448" s="2">
        <v>2562819.8439278244</v>
      </c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>
        <v>3280667.8207486547</v>
      </c>
      <c r="DT448" s="2"/>
      <c r="DU448" s="2"/>
      <c r="DV448" s="2"/>
      <c r="DW448" s="2"/>
      <c r="DX448" s="2"/>
      <c r="DY448" s="2"/>
      <c r="DZ448" s="2"/>
      <c r="EA448" s="2"/>
      <c r="EB448" s="2">
        <v>572837.03572835133</v>
      </c>
      <c r="EC448" s="2"/>
      <c r="ED448" s="2"/>
      <c r="EE448" s="2">
        <v>406745.28114655364</v>
      </c>
      <c r="EF448" s="2"/>
      <c r="EG448" s="2">
        <v>523982.12874845567</v>
      </c>
      <c r="EH448" s="2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4"/>
      <c r="HX448" s="2"/>
      <c r="HY448" s="2"/>
      <c r="HZ448" s="2"/>
      <c r="IA448" s="2">
        <v>499859.00324077159</v>
      </c>
      <c r="IB448" s="2">
        <v>233746.76908916849</v>
      </c>
      <c r="IC448" s="2">
        <v>222180.64960498139</v>
      </c>
      <c r="ID448" s="2">
        <v>68426.965142952482</v>
      </c>
      <c r="IE448" s="2">
        <v>213882.86801735414</v>
      </c>
      <c r="IF448" s="2">
        <v>343072.55737157795</v>
      </c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  <c r="JY448" s="2"/>
      <c r="JZ448" s="2"/>
      <c r="KA448" s="2"/>
      <c r="KB448" s="2"/>
      <c r="KC448" s="2"/>
      <c r="KD448" s="2"/>
      <c r="KE448" s="2"/>
      <c r="KF448" s="2"/>
      <c r="KG448" s="2"/>
      <c r="KH448" s="2"/>
      <c r="KI448" s="2"/>
      <c r="KJ448" s="2"/>
      <c r="KK448" s="2"/>
      <c r="KL448" s="2"/>
      <c r="KM448" s="2"/>
      <c r="KN448" s="2"/>
      <c r="KO448" s="2"/>
      <c r="KP448" s="2"/>
      <c r="KQ448" s="2"/>
      <c r="KR448" s="2"/>
      <c r="KS448" s="2"/>
      <c r="KT448" s="2"/>
      <c r="KU448" s="2"/>
      <c r="KV448" s="2"/>
      <c r="KW448" s="2"/>
      <c r="KX448" s="2"/>
      <c r="KY448" s="2"/>
      <c r="KZ448" s="2"/>
      <c r="LA448" s="2"/>
      <c r="LB448" s="2"/>
      <c r="LC448" s="2"/>
      <c r="LD448" s="2"/>
      <c r="LE448" s="2"/>
      <c r="LF448" s="2"/>
      <c r="LG448" s="2"/>
      <c r="LH448" s="2"/>
      <c r="LI448" s="2"/>
      <c r="LJ448" s="2"/>
      <c r="LK448" s="2"/>
      <c r="LL448" s="2"/>
      <c r="LM448" s="2"/>
      <c r="LN448" s="2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</row>
    <row r="449" spans="1:343">
      <c r="A449" s="1">
        <v>1812</v>
      </c>
      <c r="B449" s="1"/>
      <c r="C449" s="1"/>
      <c r="D449" s="1"/>
      <c r="E449" s="1"/>
      <c r="F449" s="1"/>
      <c r="G449" s="1"/>
      <c r="H449" s="1"/>
      <c r="I449" s="1"/>
      <c r="J449" s="1"/>
      <c r="K449" s="1">
        <v>2929783.7875873577</v>
      </c>
      <c r="L449" s="1"/>
      <c r="M449" s="1"/>
      <c r="N449" s="1"/>
      <c r="O449" s="1"/>
      <c r="P449" s="1"/>
      <c r="Q449" s="1"/>
      <c r="R449" s="1"/>
      <c r="S449" s="1"/>
      <c r="T449" s="1"/>
      <c r="U449" s="1">
        <v>6351507.6385740601</v>
      </c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>
        <v>697333.41361575876</v>
      </c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>
        <v>3740915.8327322206</v>
      </c>
      <c r="AU449" s="1"/>
      <c r="AV449" s="1"/>
      <c r="AW449" s="1"/>
      <c r="AX449" s="1"/>
      <c r="AY449" s="1"/>
      <c r="AZ449" s="1"/>
      <c r="BA449" s="1"/>
      <c r="BB449" s="1"/>
      <c r="BC449" s="1">
        <v>2110551.3679633732</v>
      </c>
      <c r="BD449" s="1"/>
      <c r="BE449" s="1"/>
      <c r="BF449" s="1"/>
      <c r="BG449" s="1"/>
      <c r="BH449" s="1"/>
      <c r="BI449" s="4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>
        <v>1415748.0034040648</v>
      </c>
      <c r="CU449" s="2"/>
      <c r="CV449" s="2"/>
      <c r="CW449" s="2"/>
      <c r="CX449" s="2">
        <v>2575890.2251318567</v>
      </c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>
        <v>3290509.8242109003</v>
      </c>
      <c r="DT449" s="2"/>
      <c r="DU449" s="2"/>
      <c r="DV449" s="2"/>
      <c r="DW449" s="2"/>
      <c r="DX449" s="2"/>
      <c r="DY449" s="2"/>
      <c r="DZ449" s="2"/>
      <c r="EA449" s="2"/>
      <c r="EB449" s="2">
        <v>575701.22090699302</v>
      </c>
      <c r="EC449" s="2"/>
      <c r="ED449" s="2"/>
      <c r="EE449" s="2">
        <v>408941.70566474507</v>
      </c>
      <c r="EF449" s="2"/>
      <c r="EG449" s="2">
        <v>526916.42866944708</v>
      </c>
      <c r="EH449" s="2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4"/>
      <c r="HX449" s="2"/>
      <c r="HY449" s="2"/>
      <c r="HZ449" s="2"/>
      <c r="IA449" s="2">
        <v>501108.65074887348</v>
      </c>
      <c r="IB449" s="2">
        <v>234331.13601189139</v>
      </c>
      <c r="IC449" s="2">
        <v>222736.10122899382</v>
      </c>
      <c r="ID449" s="2">
        <v>68598.032555809856</v>
      </c>
      <c r="IE449" s="2">
        <v>214417.57518739751</v>
      </c>
      <c r="IF449" s="2">
        <v>343930.23876500688</v>
      </c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  <c r="JY449" s="2"/>
      <c r="JZ449" s="2"/>
      <c r="KA449" s="2"/>
      <c r="KB449" s="2"/>
      <c r="KC449" s="2"/>
      <c r="KD449" s="2"/>
      <c r="KE449" s="2"/>
      <c r="KF449" s="2"/>
      <c r="KG449" s="2"/>
      <c r="KH449" s="2"/>
      <c r="KI449" s="2"/>
      <c r="KJ449" s="2"/>
      <c r="KK449" s="2"/>
      <c r="KL449" s="2"/>
      <c r="KM449" s="2"/>
      <c r="KN449" s="2"/>
      <c r="KO449" s="2"/>
      <c r="KP449" s="2"/>
      <c r="KQ449" s="2"/>
      <c r="KR449" s="2"/>
      <c r="KS449" s="2"/>
      <c r="KT449" s="2"/>
      <c r="KU449" s="2"/>
      <c r="KV449" s="2"/>
      <c r="KW449" s="2"/>
      <c r="KX449" s="2"/>
      <c r="KY449" s="2"/>
      <c r="KZ449" s="2"/>
      <c r="LA449" s="2"/>
      <c r="LB449" s="2"/>
      <c r="LC449" s="2"/>
      <c r="LD449" s="2"/>
      <c r="LE449" s="2"/>
      <c r="LF449" s="2"/>
      <c r="LG449" s="2"/>
      <c r="LH449" s="2"/>
      <c r="LI449" s="2"/>
      <c r="LJ449" s="2"/>
      <c r="LK449" s="2"/>
      <c r="LL449" s="2"/>
      <c r="LM449" s="2"/>
      <c r="LN449" s="2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</row>
    <row r="450" spans="1:343">
      <c r="A450" s="1">
        <v>1813</v>
      </c>
      <c r="B450" s="1"/>
      <c r="C450" s="1"/>
      <c r="D450" s="1"/>
      <c r="E450" s="1"/>
      <c r="F450" s="1"/>
      <c r="G450" s="1"/>
      <c r="H450" s="1"/>
      <c r="I450" s="1"/>
      <c r="J450" s="1"/>
      <c r="K450" s="1">
        <v>2938573.1389501193</v>
      </c>
      <c r="L450" s="1"/>
      <c r="M450" s="1"/>
      <c r="N450" s="1"/>
      <c r="O450" s="1"/>
      <c r="P450" s="1"/>
      <c r="Q450" s="1"/>
      <c r="R450" s="1"/>
      <c r="S450" s="1"/>
      <c r="T450" s="1"/>
      <c r="U450" s="1">
        <v>6388346.3828777894</v>
      </c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>
        <v>700122.74727022182</v>
      </c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>
        <v>3759994.5034791552</v>
      </c>
      <c r="AU450" s="1"/>
      <c r="AV450" s="1"/>
      <c r="AW450" s="1"/>
      <c r="AX450" s="1"/>
      <c r="AY450" s="1"/>
      <c r="AZ450" s="1"/>
      <c r="BA450" s="1"/>
      <c r="BB450" s="1"/>
      <c r="BC450" s="1">
        <v>2120893.0696663936</v>
      </c>
      <c r="BD450" s="1"/>
      <c r="BE450" s="1"/>
      <c r="BF450" s="1"/>
      <c r="BG450" s="1"/>
      <c r="BH450" s="1"/>
      <c r="BI450" s="4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>
        <v>1422968.3182214256</v>
      </c>
      <c r="CU450" s="2"/>
      <c r="CV450" s="2"/>
      <c r="CW450" s="2"/>
      <c r="CX450" s="2">
        <v>2589027.2652800293</v>
      </c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>
        <v>3300381.3536835327</v>
      </c>
      <c r="DT450" s="2"/>
      <c r="DU450" s="2"/>
      <c r="DV450" s="2"/>
      <c r="DW450" s="2"/>
      <c r="DX450" s="2"/>
      <c r="DY450" s="2"/>
      <c r="DZ450" s="2"/>
      <c r="EA450" s="2"/>
      <c r="EB450" s="2">
        <v>578579.72701152798</v>
      </c>
      <c r="EC450" s="2"/>
      <c r="ED450" s="2"/>
      <c r="EE450" s="2">
        <v>411149.99087533471</v>
      </c>
      <c r="EF450" s="2"/>
      <c r="EG450" s="2">
        <v>529867.16066999605</v>
      </c>
      <c r="EH450" s="2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4"/>
      <c r="HX450" s="2"/>
      <c r="HY450" s="2"/>
      <c r="HZ450" s="2"/>
      <c r="IA450" s="2">
        <v>502361.42237574566</v>
      </c>
      <c r="IB450" s="2">
        <v>234916.96385192111</v>
      </c>
      <c r="IC450" s="2">
        <v>223292.94148206629</v>
      </c>
      <c r="ID450" s="2">
        <v>68769.527637199382</v>
      </c>
      <c r="IE450" s="2">
        <v>214953.61912536598</v>
      </c>
      <c r="IF450" s="2">
        <v>344790.06436191936</v>
      </c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  <c r="JY450" s="2"/>
      <c r="JZ450" s="2"/>
      <c r="KA450" s="2"/>
      <c r="KB450" s="2"/>
      <c r="KC450" s="2"/>
      <c r="KD450" s="2"/>
      <c r="KE450" s="2"/>
      <c r="KF450" s="2"/>
      <c r="KG450" s="2"/>
      <c r="KH450" s="2"/>
      <c r="KI450" s="2"/>
      <c r="KJ450" s="2"/>
      <c r="KK450" s="2"/>
      <c r="KL450" s="2"/>
      <c r="KM450" s="2"/>
      <c r="KN450" s="2"/>
      <c r="KO450" s="2"/>
      <c r="KP450" s="2"/>
      <c r="KQ450" s="2"/>
      <c r="KR450" s="2"/>
      <c r="KS450" s="2"/>
      <c r="KT450" s="2"/>
      <c r="KU450" s="2"/>
      <c r="KV450" s="2"/>
      <c r="KW450" s="2"/>
      <c r="KX450" s="2"/>
      <c r="KY450" s="2"/>
      <c r="KZ450" s="2"/>
      <c r="LA450" s="2"/>
      <c r="LB450" s="2"/>
      <c r="LC450" s="2"/>
      <c r="LD450" s="2"/>
      <c r="LE450" s="2"/>
      <c r="LF450" s="2"/>
      <c r="LG450" s="2"/>
      <c r="LH450" s="2"/>
      <c r="LI450" s="2"/>
      <c r="LJ450" s="2"/>
      <c r="LK450" s="2"/>
      <c r="LL450" s="2"/>
      <c r="LM450" s="2"/>
      <c r="LN450" s="2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</row>
    <row r="451" spans="1:343">
      <c r="A451" s="1">
        <v>1814</v>
      </c>
      <c r="B451" s="1"/>
      <c r="C451" s="1"/>
      <c r="D451" s="1"/>
      <c r="E451" s="1"/>
      <c r="F451" s="1"/>
      <c r="G451" s="1"/>
      <c r="H451" s="1"/>
      <c r="I451" s="1"/>
      <c r="J451" s="1"/>
      <c r="K451" s="1">
        <v>2947388.8583669695</v>
      </c>
      <c r="L451" s="1"/>
      <c r="M451" s="1"/>
      <c r="N451" s="1"/>
      <c r="O451" s="1"/>
      <c r="P451" s="1"/>
      <c r="Q451" s="1"/>
      <c r="R451" s="1"/>
      <c r="S451" s="1"/>
      <c r="T451" s="1"/>
      <c r="U451" s="1">
        <v>6425398.7918984806</v>
      </c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>
        <v>702923.23825930269</v>
      </c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>
        <v>3779170.4754468994</v>
      </c>
      <c r="AU451" s="1"/>
      <c r="AV451" s="1"/>
      <c r="AW451" s="1"/>
      <c r="AX451" s="1"/>
      <c r="AY451" s="1"/>
      <c r="AZ451" s="1"/>
      <c r="BA451" s="1"/>
      <c r="BB451" s="1"/>
      <c r="BC451" s="1">
        <v>2131285.4457077589</v>
      </c>
      <c r="BD451" s="1"/>
      <c r="BE451" s="1"/>
      <c r="BF451" s="1"/>
      <c r="BG451" s="1"/>
      <c r="BH451" s="1"/>
      <c r="BI451" s="4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>
        <v>1430225.4566443551</v>
      </c>
      <c r="CU451" s="2"/>
      <c r="CV451" s="2"/>
      <c r="CW451" s="2"/>
      <c r="CX451" s="2">
        <v>2602231.3043329576</v>
      </c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>
        <v>3310282.4977445831</v>
      </c>
      <c r="DT451" s="2"/>
      <c r="DU451" s="2"/>
      <c r="DV451" s="2"/>
      <c r="DW451" s="2"/>
      <c r="DX451" s="2"/>
      <c r="DY451" s="2"/>
      <c r="DZ451" s="2"/>
      <c r="EA451" s="2"/>
      <c r="EB451" s="2">
        <v>581472.6256465856</v>
      </c>
      <c r="EC451" s="2"/>
      <c r="ED451" s="2"/>
      <c r="EE451" s="2">
        <v>413370.20082606154</v>
      </c>
      <c r="EF451" s="2"/>
      <c r="EG451" s="2">
        <v>532834.41676974809</v>
      </c>
      <c r="EH451" s="2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4"/>
      <c r="HX451" s="2"/>
      <c r="HY451" s="2"/>
      <c r="HZ451" s="2"/>
      <c r="IA451" s="2">
        <v>503617.32593168499</v>
      </c>
      <c r="IB451" s="2">
        <v>235504.25626155091</v>
      </c>
      <c r="IC451" s="2">
        <v>223851.17383577145</v>
      </c>
      <c r="ID451" s="2">
        <v>68941.451456292372</v>
      </c>
      <c r="IE451" s="2">
        <v>215491.00317317937</v>
      </c>
      <c r="IF451" s="2">
        <v>345652.03952282411</v>
      </c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  <c r="JY451" s="2"/>
      <c r="JZ451" s="2"/>
      <c r="KA451" s="2"/>
      <c r="KB451" s="2"/>
      <c r="KC451" s="2"/>
      <c r="KD451" s="2"/>
      <c r="KE451" s="2"/>
      <c r="KF451" s="2"/>
      <c r="KG451" s="2"/>
      <c r="KH451" s="2"/>
      <c r="KI451" s="2"/>
      <c r="KJ451" s="2"/>
      <c r="KK451" s="2"/>
      <c r="KL451" s="2"/>
      <c r="KM451" s="2"/>
      <c r="KN451" s="2"/>
      <c r="KO451" s="2"/>
      <c r="KP451" s="2"/>
      <c r="KQ451" s="2"/>
      <c r="KR451" s="2"/>
      <c r="KS451" s="2"/>
      <c r="KT451" s="2"/>
      <c r="KU451" s="2"/>
      <c r="KV451" s="2"/>
      <c r="KW451" s="2"/>
      <c r="KX451" s="2"/>
      <c r="KY451" s="2"/>
      <c r="KZ451" s="2"/>
      <c r="LA451" s="2"/>
      <c r="LB451" s="2"/>
      <c r="LC451" s="2"/>
      <c r="LD451" s="2"/>
      <c r="LE451" s="2"/>
      <c r="LF451" s="2"/>
      <c r="LG451" s="2"/>
      <c r="LH451" s="2"/>
      <c r="LI451" s="2"/>
      <c r="LJ451" s="2"/>
      <c r="LK451" s="2"/>
      <c r="LL451" s="2"/>
      <c r="LM451" s="2"/>
      <c r="LN451" s="2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</row>
    <row r="452" spans="1:343">
      <c r="A452" s="1">
        <v>1815</v>
      </c>
      <c r="B452" s="1"/>
      <c r="C452" s="1"/>
      <c r="D452" s="1"/>
      <c r="E452" s="1"/>
      <c r="F452" s="1"/>
      <c r="G452" s="1"/>
      <c r="H452" s="1"/>
      <c r="I452" s="1"/>
      <c r="J452" s="1"/>
      <c r="K452" s="1">
        <v>2956231.0249420702</v>
      </c>
      <c r="L452" s="1"/>
      <c r="M452" s="1"/>
      <c r="N452" s="1"/>
      <c r="O452" s="1"/>
      <c r="P452" s="1"/>
      <c r="Q452" s="1"/>
      <c r="R452" s="1"/>
      <c r="S452" s="1"/>
      <c r="T452" s="1"/>
      <c r="U452" s="1">
        <v>6462666.1048914921</v>
      </c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>
        <v>705734.9312123399</v>
      </c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>
        <v>3798444.2448716792</v>
      </c>
      <c r="AU452" s="1"/>
      <c r="AV452" s="1"/>
      <c r="AW452" s="1"/>
      <c r="AX452" s="1"/>
      <c r="AY452" s="1"/>
      <c r="AZ452" s="1"/>
      <c r="BA452" s="1"/>
      <c r="BB452" s="1"/>
      <c r="BC452" s="1">
        <v>2141728.7443917268</v>
      </c>
      <c r="BD452" s="1"/>
      <c r="BE452" s="1"/>
      <c r="BF452" s="1"/>
      <c r="BG452" s="1"/>
      <c r="BH452" s="1"/>
      <c r="BI452" s="4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>
        <v>1437519.6064732415</v>
      </c>
      <c r="CU452" s="2"/>
      <c r="CV452" s="2"/>
      <c r="CW452" s="2"/>
      <c r="CX452" s="2">
        <v>2615502.6839850559</v>
      </c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>
        <v>3320213.3452378162</v>
      </c>
      <c r="DT452" s="2"/>
      <c r="DU452" s="2"/>
      <c r="DV452" s="2"/>
      <c r="DW452" s="2"/>
      <c r="DX452" s="2"/>
      <c r="DY452" s="2"/>
      <c r="DZ452" s="2"/>
      <c r="EA452" s="2"/>
      <c r="EB452" s="2">
        <v>584379.98877481848</v>
      </c>
      <c r="EC452" s="2"/>
      <c r="ED452" s="2"/>
      <c r="EE452" s="2">
        <v>415602.39991052228</v>
      </c>
      <c r="EF452" s="2"/>
      <c r="EG452" s="2">
        <v>535818.28950365866</v>
      </c>
      <c r="EH452" s="2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4"/>
      <c r="HX452" s="2"/>
      <c r="HY452" s="2"/>
      <c r="HZ452" s="2"/>
      <c r="IA452" s="2">
        <v>504876.36924651416</v>
      </c>
      <c r="IB452" s="2">
        <v>236093.01690220478</v>
      </c>
      <c r="IC452" s="2">
        <v>224410.80177036088</v>
      </c>
      <c r="ID452" s="2">
        <v>69113.805084933105</v>
      </c>
      <c r="IE452" s="2">
        <v>216029.7306811123</v>
      </c>
      <c r="IF452" s="2">
        <v>346516.16962163115</v>
      </c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  <c r="JY452" s="2"/>
      <c r="JZ452" s="2"/>
      <c r="KA452" s="2"/>
      <c r="KB452" s="2"/>
      <c r="KC452" s="2"/>
      <c r="KD452" s="2"/>
      <c r="KE452" s="2"/>
      <c r="KF452" s="2"/>
      <c r="KG452" s="2"/>
      <c r="KH452" s="2"/>
      <c r="KI452" s="2"/>
      <c r="KJ452" s="2"/>
      <c r="KK452" s="2"/>
      <c r="KL452" s="2"/>
      <c r="KM452" s="2"/>
      <c r="KN452" s="2"/>
      <c r="KO452" s="2"/>
      <c r="KP452" s="2"/>
      <c r="KQ452" s="2"/>
      <c r="KR452" s="2"/>
      <c r="KS452" s="2"/>
      <c r="KT452" s="2"/>
      <c r="KU452" s="2"/>
      <c r="KV452" s="2"/>
      <c r="KW452" s="2"/>
      <c r="KX452" s="2"/>
      <c r="KY452" s="2"/>
      <c r="KZ452" s="2"/>
      <c r="LA452" s="2"/>
      <c r="LB452" s="2"/>
      <c r="LC452" s="2"/>
      <c r="LD452" s="2"/>
      <c r="LE452" s="2"/>
      <c r="LF452" s="2"/>
      <c r="LG452" s="2"/>
      <c r="LH452" s="2"/>
      <c r="LI452" s="2"/>
      <c r="LJ452" s="2"/>
      <c r="LK452" s="2"/>
      <c r="LL452" s="2"/>
      <c r="LM452" s="2"/>
      <c r="LN452" s="2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</row>
    <row r="453" spans="1:343">
      <c r="A453" s="1">
        <v>1816</v>
      </c>
      <c r="B453" s="1"/>
      <c r="C453" s="1"/>
      <c r="D453" s="1"/>
      <c r="E453" s="1"/>
      <c r="F453" s="1"/>
      <c r="G453" s="1"/>
      <c r="H453" s="1"/>
      <c r="I453" s="1"/>
      <c r="J453" s="1"/>
      <c r="K453" s="1">
        <v>2965099.7180168959</v>
      </c>
      <c r="L453" s="1"/>
      <c r="M453" s="1"/>
      <c r="N453" s="1"/>
      <c r="O453" s="1"/>
      <c r="P453" s="1"/>
      <c r="Q453" s="1"/>
      <c r="R453" s="1"/>
      <c r="S453" s="1"/>
      <c r="T453" s="1"/>
      <c r="U453" s="1">
        <v>6500149.5682998626</v>
      </c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>
        <v>708557.8709371892</v>
      </c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>
        <v>3817816.3105205251</v>
      </c>
      <c r="AU453" s="1"/>
      <c r="AV453" s="1"/>
      <c r="AW453" s="1"/>
      <c r="AX453" s="1"/>
      <c r="AY453" s="1"/>
      <c r="AZ453" s="1"/>
      <c r="BA453" s="1"/>
      <c r="BB453" s="1"/>
      <c r="BC453" s="1">
        <v>2152223.2152392459</v>
      </c>
      <c r="BD453" s="1"/>
      <c r="BE453" s="1"/>
      <c r="BF453" s="1"/>
      <c r="BG453" s="1"/>
      <c r="BH453" s="1"/>
      <c r="BI453" s="4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>
        <v>1444850.9564662552</v>
      </c>
      <c r="CU453" s="2"/>
      <c r="CV453" s="2"/>
      <c r="CW453" s="2"/>
      <c r="CX453" s="2">
        <v>2628841.7476733797</v>
      </c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>
        <v>3330173.9852735293</v>
      </c>
      <c r="DT453" s="2"/>
      <c r="DU453" s="2"/>
      <c r="DV453" s="2"/>
      <c r="DW453" s="2"/>
      <c r="DX453" s="2"/>
      <c r="DY453" s="2"/>
      <c r="DZ453" s="2"/>
      <c r="EA453" s="2"/>
      <c r="EB453" s="2">
        <v>587301.88871869247</v>
      </c>
      <c r="EC453" s="2"/>
      <c r="ED453" s="2"/>
      <c r="EE453" s="2">
        <v>417846.65287003911</v>
      </c>
      <c r="EF453" s="2"/>
      <c r="EG453" s="2">
        <v>538818.87192487915</v>
      </c>
      <c r="EH453" s="2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4"/>
      <c r="HX453" s="2"/>
      <c r="HY453" s="2"/>
      <c r="HZ453" s="2"/>
      <c r="IA453" s="2">
        <v>506138.56016963045</v>
      </c>
      <c r="IB453" s="2">
        <v>236683.24944446026</v>
      </c>
      <c r="IC453" s="2">
        <v>224971.82877478676</v>
      </c>
      <c r="ID453" s="2">
        <v>69286.589597645434</v>
      </c>
      <c r="IE453" s="2">
        <v>216569.80500781507</v>
      </c>
      <c r="IF453" s="2">
        <v>347382.46004568523</v>
      </c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  <c r="JY453" s="2"/>
      <c r="JZ453" s="2"/>
      <c r="KA453" s="2"/>
      <c r="KB453" s="2"/>
      <c r="KC453" s="2"/>
      <c r="KD453" s="2"/>
      <c r="KE453" s="2"/>
      <c r="KF453" s="2"/>
      <c r="KG453" s="2"/>
      <c r="KH453" s="2"/>
      <c r="KI453" s="2"/>
      <c r="KJ453" s="2"/>
      <c r="KK453" s="2"/>
      <c r="KL453" s="2"/>
      <c r="KM453" s="2"/>
      <c r="KN453" s="2"/>
      <c r="KO453" s="2"/>
      <c r="KP453" s="2"/>
      <c r="KQ453" s="2"/>
      <c r="KR453" s="2"/>
      <c r="KS453" s="2"/>
      <c r="KT453" s="2"/>
      <c r="KU453" s="2"/>
      <c r="KV453" s="2"/>
      <c r="KW453" s="2"/>
      <c r="KX453" s="2"/>
      <c r="KY453" s="2"/>
      <c r="KZ453" s="2"/>
      <c r="LA453" s="2"/>
      <c r="LB453" s="2"/>
      <c r="LC453" s="2"/>
      <c r="LD453" s="2"/>
      <c r="LE453" s="2"/>
      <c r="LF453" s="2"/>
      <c r="LG453" s="2"/>
      <c r="LH453" s="2"/>
      <c r="LI453" s="2"/>
      <c r="LJ453" s="2"/>
      <c r="LK453" s="2"/>
      <c r="LL453" s="2"/>
      <c r="LM453" s="2"/>
      <c r="LN453" s="2"/>
      <c r="LO453" s="1"/>
      <c r="LP453" s="1"/>
      <c r="LQ453" s="1"/>
      <c r="LR453" s="1"/>
      <c r="LS453" s="1"/>
      <c r="LT453" s="1"/>
      <c r="LU453" s="1">
        <v>2484728</v>
      </c>
      <c r="LV453" s="1"/>
      <c r="LW453" s="1"/>
      <c r="LX453" s="1"/>
      <c r="LY453" s="1"/>
      <c r="LZ453" s="1"/>
      <c r="MA453" s="1"/>
      <c r="MB453" s="1"/>
      <c r="MC453" s="1"/>
      <c r="MD453" s="1"/>
      <c r="ME453" s="1"/>
    </row>
    <row r="454" spans="1:343">
      <c r="A454" s="1">
        <v>1817</v>
      </c>
      <c r="B454" s="1"/>
      <c r="C454" s="1"/>
      <c r="D454" s="1"/>
      <c r="E454" s="1"/>
      <c r="F454" s="1"/>
      <c r="G454" s="1"/>
      <c r="H454" s="1"/>
      <c r="I454" s="1"/>
      <c r="J454" s="1"/>
      <c r="K454" s="1">
        <v>2973995.0171709461</v>
      </c>
      <c r="L454" s="1"/>
      <c r="M454" s="1"/>
      <c r="N454" s="1"/>
      <c r="O454" s="1"/>
      <c r="P454" s="1"/>
      <c r="Q454" s="1"/>
      <c r="R454" s="1"/>
      <c r="S454" s="1"/>
      <c r="T454" s="1"/>
      <c r="U454" s="1">
        <v>6537850.4357960019</v>
      </c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>
        <v>711392.10242093797</v>
      </c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>
        <v>3837287.1737041804</v>
      </c>
      <c r="AU454" s="1"/>
      <c r="AV454" s="1"/>
      <c r="AW454" s="1"/>
      <c r="AX454" s="1"/>
      <c r="AY454" s="1"/>
      <c r="AZ454" s="1"/>
      <c r="BA454" s="1"/>
      <c r="BB454" s="1"/>
      <c r="BC454" s="1">
        <v>2162769.1089939182</v>
      </c>
      <c r="BD454" s="1"/>
      <c r="BE454" s="1"/>
      <c r="BF454" s="1"/>
      <c r="BG454" s="1"/>
      <c r="BH454" s="1"/>
      <c r="BI454" s="4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>
        <v>1452219.6963442334</v>
      </c>
      <c r="CU454" s="2"/>
      <c r="CV454" s="2"/>
      <c r="CW454" s="2"/>
      <c r="CX454" s="2">
        <v>2642248.8405865142</v>
      </c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>
        <v>3340164.5072293496</v>
      </c>
      <c r="DT454" s="2"/>
      <c r="DU454" s="2"/>
      <c r="DV454" s="2"/>
      <c r="DW454" s="2"/>
      <c r="DX454" s="2"/>
      <c r="DY454" s="2"/>
      <c r="DZ454" s="2"/>
      <c r="EA454" s="2"/>
      <c r="EB454" s="2">
        <v>590238.39816228591</v>
      </c>
      <c r="EC454" s="2"/>
      <c r="ED454" s="2"/>
      <c r="EE454" s="2">
        <v>420103.02479553735</v>
      </c>
      <c r="EF454" s="2"/>
      <c r="EG454" s="2">
        <v>541836.25760765851</v>
      </c>
      <c r="EH454" s="2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4"/>
      <c r="HX454" s="2"/>
      <c r="HY454" s="2"/>
      <c r="HZ454" s="2"/>
      <c r="IA454" s="2">
        <v>507403.90657005447</v>
      </c>
      <c r="IB454" s="2">
        <v>237274.9575680714</v>
      </c>
      <c r="IC454" s="2">
        <v>225534.25834672371</v>
      </c>
      <c r="ID454" s="2">
        <v>69459.806071639541</v>
      </c>
      <c r="IE454" s="2">
        <v>217111.2295203346</v>
      </c>
      <c r="IF454" s="2">
        <v>348250.91619579942</v>
      </c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  <c r="JY454" s="2"/>
      <c r="JZ454" s="2"/>
      <c r="KA454" s="2"/>
      <c r="KB454" s="2"/>
      <c r="KC454" s="2"/>
      <c r="KD454" s="2"/>
      <c r="KE454" s="2"/>
      <c r="KF454" s="2"/>
      <c r="KG454" s="2"/>
      <c r="KH454" s="2"/>
      <c r="KI454" s="2"/>
      <c r="KJ454" s="2"/>
      <c r="KK454" s="2"/>
      <c r="KL454" s="2"/>
      <c r="KM454" s="2"/>
      <c r="KN454" s="2"/>
      <c r="KO454" s="2"/>
      <c r="KP454" s="2"/>
      <c r="KQ454" s="2"/>
      <c r="KR454" s="2"/>
      <c r="KS454" s="2"/>
      <c r="KT454" s="2"/>
      <c r="KU454" s="2"/>
      <c r="KV454" s="2"/>
      <c r="KW454" s="2"/>
      <c r="KX454" s="2"/>
      <c r="KY454" s="2"/>
      <c r="KZ454" s="2"/>
      <c r="LA454" s="2"/>
      <c r="LB454" s="2"/>
      <c r="LC454" s="2"/>
      <c r="LD454" s="2"/>
      <c r="LE454" s="2"/>
      <c r="LF454" s="2"/>
      <c r="LG454" s="2"/>
      <c r="LH454" s="2"/>
      <c r="LI454" s="2"/>
      <c r="LJ454" s="2"/>
      <c r="LK454" s="2"/>
      <c r="LL454" s="2"/>
      <c r="LM454" s="2"/>
      <c r="LN454" s="2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</row>
    <row r="455" spans="1:343">
      <c r="A455" s="1">
        <v>1818</v>
      </c>
      <c r="B455" s="1"/>
      <c r="C455" s="1"/>
      <c r="D455" s="1"/>
      <c r="E455" s="1"/>
      <c r="F455" s="1"/>
      <c r="G455" s="1"/>
      <c r="H455" s="1"/>
      <c r="I455" s="1"/>
      <c r="J455" s="1"/>
      <c r="K455" s="1">
        <v>2982917.0022224588</v>
      </c>
      <c r="L455" s="1"/>
      <c r="M455" s="1"/>
      <c r="N455" s="1"/>
      <c r="O455" s="1"/>
      <c r="P455" s="1"/>
      <c r="Q455" s="1"/>
      <c r="R455" s="1"/>
      <c r="S455" s="1"/>
      <c r="T455" s="1"/>
      <c r="U455" s="1">
        <v>6575769.9683236191</v>
      </c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>
        <v>714237.67083062173</v>
      </c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>
        <v>3856857.338290072</v>
      </c>
      <c r="AU455" s="1"/>
      <c r="AV455" s="1"/>
      <c r="AW455" s="1"/>
      <c r="AX455" s="1"/>
      <c r="AY455" s="1"/>
      <c r="AZ455" s="1"/>
      <c r="BA455" s="1"/>
      <c r="BB455" s="1"/>
      <c r="BC455" s="1">
        <v>2173366.6776279882</v>
      </c>
      <c r="BD455" s="1"/>
      <c r="BE455" s="1"/>
      <c r="BF455" s="1"/>
      <c r="BG455" s="1"/>
      <c r="BH455" s="1"/>
      <c r="BI455" s="4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>
        <v>1459626.0167955891</v>
      </c>
      <c r="CU455" s="2"/>
      <c r="CV455" s="2"/>
      <c r="CW455" s="2"/>
      <c r="CX455" s="2">
        <v>2655724.3096735058</v>
      </c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>
        <v>3350185.0007510372</v>
      </c>
      <c r="DT455" s="2"/>
      <c r="DU455" s="2"/>
      <c r="DV455" s="2"/>
      <c r="DW455" s="2"/>
      <c r="DX455" s="2"/>
      <c r="DY455" s="2"/>
      <c r="DZ455" s="2"/>
      <c r="EA455" s="2"/>
      <c r="EB455" s="2">
        <v>593189.59015309729</v>
      </c>
      <c r="EC455" s="2"/>
      <c r="ED455" s="2"/>
      <c r="EE455" s="2">
        <v>422371.5811294333</v>
      </c>
      <c r="EF455" s="2"/>
      <c r="EG455" s="2">
        <v>544870.54065026145</v>
      </c>
      <c r="EH455" s="2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4"/>
      <c r="HX455" s="2"/>
      <c r="HY455" s="2"/>
      <c r="HZ455" s="2"/>
      <c r="IA455" s="2">
        <v>508672.4163364796</v>
      </c>
      <c r="IB455" s="2">
        <v>237868.14496199158</v>
      </c>
      <c r="IC455" s="2">
        <v>226098.0939925905</v>
      </c>
      <c r="ID455" s="2">
        <v>69633.455586818643</v>
      </c>
      <c r="IE455" s="2">
        <v>217654.00759413542</v>
      </c>
      <c r="IF455" s="2">
        <v>349121.54348628892</v>
      </c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  <c r="JY455" s="2"/>
      <c r="JZ455" s="2"/>
      <c r="KA455" s="2"/>
      <c r="KB455" s="2"/>
      <c r="KC455" s="2"/>
      <c r="KD455" s="2"/>
      <c r="KE455" s="2"/>
      <c r="KF455" s="2"/>
      <c r="KG455" s="2"/>
      <c r="KH455" s="2"/>
      <c r="KI455" s="2"/>
      <c r="KJ455" s="2"/>
      <c r="KK455" s="2"/>
      <c r="KL455" s="2"/>
      <c r="KM455" s="2"/>
      <c r="KN455" s="2"/>
      <c r="KO455" s="2"/>
      <c r="KP455" s="2"/>
      <c r="KQ455" s="2"/>
      <c r="KR455" s="2"/>
      <c r="KS455" s="2"/>
      <c r="KT455" s="2"/>
      <c r="KU455" s="2"/>
      <c r="KV455" s="2"/>
      <c r="KW455" s="2"/>
      <c r="KX455" s="2"/>
      <c r="KY455" s="2"/>
      <c r="KZ455" s="2"/>
      <c r="LA455" s="2"/>
      <c r="LB455" s="2"/>
      <c r="LC455" s="2"/>
      <c r="LD455" s="2"/>
      <c r="LE455" s="2"/>
      <c r="LF455" s="2"/>
      <c r="LG455" s="2"/>
      <c r="LH455" s="2"/>
      <c r="LI455" s="2"/>
      <c r="LJ455" s="2"/>
      <c r="LK455" s="2"/>
      <c r="LL455" s="2"/>
      <c r="LM455" s="2"/>
      <c r="LN455" s="2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</row>
    <row r="456" spans="1:343">
      <c r="A456" s="1">
        <v>1819</v>
      </c>
      <c r="B456" s="1"/>
      <c r="C456" s="1"/>
      <c r="D456" s="1"/>
      <c r="E456" s="1"/>
      <c r="F456" s="1"/>
      <c r="G456" s="1"/>
      <c r="H456" s="1"/>
      <c r="I456" s="1"/>
      <c r="J456" s="1"/>
      <c r="K456" s="1">
        <v>2991865.7532291259</v>
      </c>
      <c r="L456" s="1"/>
      <c r="M456" s="1"/>
      <c r="N456" s="1"/>
      <c r="O456" s="1"/>
      <c r="P456" s="1"/>
      <c r="Q456" s="1"/>
      <c r="R456" s="1"/>
      <c r="S456" s="1"/>
      <c r="T456" s="1"/>
      <c r="U456" s="1">
        <v>6613909.4341398962</v>
      </c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>
        <v>717094.62151394424</v>
      </c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>
        <v>3876527.3107153517</v>
      </c>
      <c r="AU456" s="1"/>
      <c r="AV456" s="1"/>
      <c r="AW456" s="1"/>
      <c r="AX456" s="1"/>
      <c r="AY456" s="1"/>
      <c r="AZ456" s="1"/>
      <c r="BA456" s="1"/>
      <c r="BB456" s="1"/>
      <c r="BC456" s="1">
        <v>2184016.174348365</v>
      </c>
      <c r="BD456" s="1"/>
      <c r="BE456" s="1"/>
      <c r="BF456" s="1"/>
      <c r="BG456" s="1"/>
      <c r="BH456" s="1"/>
      <c r="BI456" s="4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>
        <v>1467070.1094812467</v>
      </c>
      <c r="CU456" s="2"/>
      <c r="CV456" s="2"/>
      <c r="CW456" s="2"/>
      <c r="CX456" s="2">
        <v>2669268.5036528409</v>
      </c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>
        <v>3360235.5557532897</v>
      </c>
      <c r="DT456" s="2"/>
      <c r="DU456" s="2"/>
      <c r="DV456" s="2"/>
      <c r="DW456" s="2"/>
      <c r="DX456" s="2"/>
      <c r="DY456" s="2"/>
      <c r="DZ456" s="2"/>
      <c r="EA456" s="2"/>
      <c r="EB456" s="2">
        <v>596155.53810386267</v>
      </c>
      <c r="EC456" s="2"/>
      <c r="ED456" s="2"/>
      <c r="EE456" s="2">
        <v>424652.38766753225</v>
      </c>
      <c r="EF456" s="2"/>
      <c r="EG456" s="2">
        <v>547921.81567790289</v>
      </c>
      <c r="EH456" s="2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4"/>
      <c r="HX456" s="2"/>
      <c r="HY456" s="2"/>
      <c r="HZ456" s="2"/>
      <c r="IA456" s="2">
        <v>509944.09737732075</v>
      </c>
      <c r="IB456" s="2">
        <v>238462.81532439654</v>
      </c>
      <c r="IC456" s="2">
        <v>226663.33922757197</v>
      </c>
      <c r="ID456" s="2">
        <v>69807.539225785687</v>
      </c>
      <c r="IE456" s="2">
        <v>218198.14261312076</v>
      </c>
      <c r="IF456" s="2">
        <v>349994.34734500461</v>
      </c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  <c r="JY456" s="2"/>
      <c r="JZ456" s="2"/>
      <c r="KA456" s="2"/>
      <c r="KB456" s="2"/>
      <c r="KC456" s="2"/>
      <c r="KD456" s="2"/>
      <c r="KE456" s="2"/>
      <c r="KF456" s="2"/>
      <c r="KG456" s="2"/>
      <c r="KH456" s="2"/>
      <c r="KI456" s="2"/>
      <c r="KJ456" s="2"/>
      <c r="KK456" s="2"/>
      <c r="KL456" s="2"/>
      <c r="KM456" s="2"/>
      <c r="KN456" s="2"/>
      <c r="KO456" s="2"/>
      <c r="KP456" s="2"/>
      <c r="KQ456" s="2"/>
      <c r="KR456" s="2"/>
      <c r="KS456" s="2"/>
      <c r="KT456" s="2"/>
      <c r="KU456" s="2"/>
      <c r="KV456" s="2"/>
      <c r="KW456" s="2"/>
      <c r="KX456" s="2"/>
      <c r="KY456" s="2"/>
      <c r="KZ456" s="2"/>
      <c r="LA456" s="2"/>
      <c r="LB456" s="2"/>
      <c r="LC456" s="2"/>
      <c r="LD456" s="2"/>
      <c r="LE456" s="2"/>
      <c r="LF456" s="2"/>
      <c r="LG456" s="2"/>
      <c r="LH456" s="2"/>
      <c r="LI456" s="2"/>
      <c r="LJ456" s="2"/>
      <c r="LK456" s="2"/>
      <c r="LL456" s="2"/>
      <c r="LM456" s="2"/>
      <c r="LN456" s="2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</row>
    <row r="457" spans="1:343">
      <c r="A457" s="1">
        <v>1820</v>
      </c>
      <c r="B457" s="1">
        <v>31661326.100000005</v>
      </c>
      <c r="C457" s="1">
        <v>5252175</v>
      </c>
      <c r="D457" s="1">
        <v>1218504.6000000001</v>
      </c>
      <c r="E457" s="1">
        <v>1544139.45</v>
      </c>
      <c r="F457" s="1">
        <v>677530.57500000007</v>
      </c>
      <c r="G457" s="1">
        <v>357147.9</v>
      </c>
      <c r="H457" s="1">
        <v>451687.05</v>
      </c>
      <c r="I457" s="1">
        <v>252104.4</v>
      </c>
      <c r="J457" s="1">
        <v>751061.02499999991</v>
      </c>
      <c r="K457" s="1">
        <v>3000044</v>
      </c>
      <c r="L457" s="1"/>
      <c r="M457" s="1"/>
      <c r="N457" s="1"/>
      <c r="O457" s="1"/>
      <c r="P457" s="1"/>
      <c r="Q457" s="1"/>
      <c r="R457" s="1">
        <v>1225656</v>
      </c>
      <c r="S457" s="1"/>
      <c r="T457" s="1"/>
      <c r="U457" s="1">
        <v>6663492</v>
      </c>
      <c r="V457" s="1"/>
      <c r="W457" s="1"/>
      <c r="X457" s="1"/>
      <c r="Y457" s="1"/>
      <c r="Z457" s="1"/>
      <c r="AA457" s="1"/>
      <c r="AB457" s="1"/>
      <c r="AC457" s="1"/>
      <c r="AD457" s="1">
        <v>2800790.3000000003</v>
      </c>
      <c r="AE457" s="1"/>
      <c r="AF457" s="1">
        <v>1070000</v>
      </c>
      <c r="AG457" s="1">
        <v>719963</v>
      </c>
      <c r="AH457" s="1">
        <v>5907959.4000000004</v>
      </c>
      <c r="AI457" s="1">
        <v>2110159</v>
      </c>
      <c r="AJ457" s="1">
        <v>479184</v>
      </c>
      <c r="AK457" s="1">
        <v>572083</v>
      </c>
      <c r="AL457" s="1">
        <v>385970</v>
      </c>
      <c r="AM457" s="1">
        <v>581443</v>
      </c>
      <c r="AN457" s="1">
        <v>461994</v>
      </c>
      <c r="AO457" s="1">
        <v>260663</v>
      </c>
      <c r="AP457" s="1">
        <v>404871</v>
      </c>
      <c r="AQ457" s="1">
        <v>652438</v>
      </c>
      <c r="AR457" s="1"/>
      <c r="AS457" s="1"/>
      <c r="AT457" s="1">
        <v>3896297.6000000006</v>
      </c>
      <c r="AU457" s="1"/>
      <c r="AV457" s="1"/>
      <c r="AW457" s="1"/>
      <c r="AX457" s="1"/>
      <c r="AY457" s="1"/>
      <c r="AZ457" s="1"/>
      <c r="BA457" s="1"/>
      <c r="BB457" s="1"/>
      <c r="BC457" s="1">
        <v>2194948.7999999998</v>
      </c>
      <c r="BD457" s="1"/>
      <c r="BE457" s="1"/>
      <c r="BF457" s="1"/>
      <c r="BG457" s="1"/>
      <c r="BH457" s="1"/>
      <c r="BI457" s="4">
        <v>35437429.200000003</v>
      </c>
      <c r="BJ457" s="2">
        <v>5462680</v>
      </c>
      <c r="BK457" s="2"/>
      <c r="BL457" s="2"/>
      <c r="BM457" s="2"/>
      <c r="BN457" s="2"/>
      <c r="BO457" s="2"/>
      <c r="BP457" s="2"/>
      <c r="BQ457" s="2">
        <v>3548133</v>
      </c>
      <c r="BR457" s="2"/>
      <c r="BS457" s="2"/>
      <c r="BT457" s="2"/>
      <c r="BU457" s="2"/>
      <c r="BV457" s="2"/>
      <c r="BW457" s="2">
        <v>1433224.7999999998</v>
      </c>
      <c r="BX457" s="2"/>
      <c r="BY457" s="2"/>
      <c r="BZ457" s="2">
        <v>4355208</v>
      </c>
      <c r="CA457" s="2"/>
      <c r="CB457" s="2"/>
      <c r="CC457" s="2"/>
      <c r="CD457" s="2"/>
      <c r="CE457" s="2"/>
      <c r="CF457" s="2"/>
      <c r="CG457" s="2"/>
      <c r="CH457" s="2">
        <v>1569235</v>
      </c>
      <c r="CI457" s="2"/>
      <c r="CJ457" s="2"/>
      <c r="CK457" s="2"/>
      <c r="CL457" s="2">
        <v>3977820</v>
      </c>
      <c r="CM457" s="2"/>
      <c r="CN457" s="2"/>
      <c r="CO457" s="2"/>
      <c r="CP457" s="2"/>
      <c r="CQ457" s="2"/>
      <c r="CR457" s="2"/>
      <c r="CS457" s="2"/>
      <c r="CT457" s="2">
        <v>1478913.2</v>
      </c>
      <c r="CU457" s="2"/>
      <c r="CV457" s="2"/>
      <c r="CW457" s="2"/>
      <c r="CX457" s="2">
        <v>2755270.7</v>
      </c>
      <c r="CY457" s="2"/>
      <c r="CZ457" s="2"/>
      <c r="DA457" s="2"/>
      <c r="DB457" s="2"/>
      <c r="DC457" s="2"/>
      <c r="DD457" s="2"/>
      <c r="DE457" s="2">
        <v>3433212</v>
      </c>
      <c r="DF457" s="2"/>
      <c r="DG457" s="2"/>
      <c r="DH457" s="2"/>
      <c r="DI457" s="2"/>
      <c r="DJ457" s="2"/>
      <c r="DK457" s="2"/>
      <c r="DL457" s="2">
        <v>2474996</v>
      </c>
      <c r="DM457" s="2"/>
      <c r="DN457" s="2"/>
      <c r="DO457" s="2"/>
      <c r="DP457" s="2"/>
      <c r="DQ457" s="2"/>
      <c r="DR457" s="2"/>
      <c r="DS457" s="2">
        <v>3369711</v>
      </c>
      <c r="DT457" s="2"/>
      <c r="DU457" s="2"/>
      <c r="DV457" s="2"/>
      <c r="DW457" s="2"/>
      <c r="DX457" s="2"/>
      <c r="DY457" s="2"/>
      <c r="DZ457" s="2"/>
      <c r="EA457" s="2"/>
      <c r="EB457" s="2">
        <v>600127.5</v>
      </c>
      <c r="EC457" s="2"/>
      <c r="ED457" s="2"/>
      <c r="EE457" s="2">
        <v>427944.1</v>
      </c>
      <c r="EF457" s="2"/>
      <c r="EG457" s="2">
        <v>550953.9</v>
      </c>
      <c r="EH457" s="2"/>
      <c r="EI457" s="1">
        <v>27249897.100000001</v>
      </c>
      <c r="EJ457" s="1">
        <v>3197234.1999999997</v>
      </c>
      <c r="EK457" s="1"/>
      <c r="EL457" s="1"/>
      <c r="EM457" s="1"/>
      <c r="EN457" s="1"/>
      <c r="EO457" s="1"/>
      <c r="EP457" s="1"/>
      <c r="EQ457" s="1"/>
      <c r="ER457" s="1"/>
      <c r="ES457" s="1"/>
      <c r="ET457" s="1">
        <v>1460942</v>
      </c>
      <c r="EU457" s="1"/>
      <c r="EV457" s="1"/>
      <c r="EW457" s="1"/>
      <c r="EX457" s="1"/>
      <c r="EY457" s="1"/>
      <c r="EZ457" s="1"/>
      <c r="FA457" s="1">
        <v>2718343.9</v>
      </c>
      <c r="FB457" s="1"/>
      <c r="FC457" s="1"/>
      <c r="FD457" s="1"/>
      <c r="FE457" s="1"/>
      <c r="FF457" s="1"/>
      <c r="FG457" s="1"/>
      <c r="FH457" s="1"/>
      <c r="FI457" s="1">
        <v>2568032.4000000004</v>
      </c>
      <c r="FJ457" s="1"/>
      <c r="FK457" s="1"/>
      <c r="FL457" s="1"/>
      <c r="FM457" s="1"/>
      <c r="FN457" s="1"/>
      <c r="FO457" s="1"/>
      <c r="FP457" s="1"/>
      <c r="FQ457" s="1">
        <v>5392360</v>
      </c>
      <c r="FR457" s="1"/>
      <c r="FS457" s="1"/>
      <c r="FT457" s="1"/>
      <c r="FU457" s="1"/>
      <c r="FV457" s="1"/>
      <c r="FW457" s="1"/>
      <c r="FX457" s="1"/>
      <c r="FY457" s="1"/>
      <c r="FZ457" s="1">
        <v>2355801.6</v>
      </c>
      <c r="GA457" s="1"/>
      <c r="GB457" s="1"/>
      <c r="GC457" s="1"/>
      <c r="GD457" s="1"/>
      <c r="GE457" s="1"/>
      <c r="GF457" s="1"/>
      <c r="GG457" s="1"/>
      <c r="GH457" s="1">
        <v>2774376</v>
      </c>
      <c r="GI457" s="1"/>
      <c r="GJ457" s="1"/>
      <c r="GK457" s="1"/>
      <c r="GL457" s="1"/>
      <c r="GM457" s="1"/>
      <c r="GN457" s="1"/>
      <c r="GO457" s="1">
        <v>2550057.7999999998</v>
      </c>
      <c r="GP457" s="1"/>
      <c r="GQ457" s="1"/>
      <c r="GR457" s="1"/>
      <c r="GS457" s="1"/>
      <c r="GT457" s="1"/>
      <c r="GU457" s="1"/>
      <c r="GV457" s="1"/>
      <c r="GW457" s="1"/>
      <c r="GX457" s="1">
        <v>1141336.2</v>
      </c>
      <c r="GY457" s="1"/>
      <c r="GZ457" s="1"/>
      <c r="HA457" s="1"/>
      <c r="HB457" s="1"/>
      <c r="HC457" s="1"/>
      <c r="HD457" s="1">
        <v>1074060</v>
      </c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>
        <v>2017353</v>
      </c>
      <c r="HP457" s="1"/>
      <c r="HQ457" s="1"/>
      <c r="HR457" s="1"/>
      <c r="HS457" s="1"/>
      <c r="HT457" s="1"/>
      <c r="HU457" s="1"/>
      <c r="HV457" s="1"/>
      <c r="HW457" s="4">
        <v>22261874.900000002</v>
      </c>
      <c r="HX457" s="1">
        <v>3755325</v>
      </c>
      <c r="HY457" s="2"/>
      <c r="HZ457" s="2"/>
      <c r="IA457" s="2">
        <v>511218.95762076403</v>
      </c>
      <c r="IB457" s="2">
        <v>239058.97236270751</v>
      </c>
      <c r="IC457" s="2">
        <v>227229.99757564088</v>
      </c>
      <c r="ID457" s="2">
        <v>69982.058073850145</v>
      </c>
      <c r="IE457" s="2">
        <v>218743.63796965356</v>
      </c>
      <c r="IF457" s="2">
        <v>350869.33321336709</v>
      </c>
      <c r="IG457" s="2"/>
      <c r="IH457" s="1">
        <v>945853.8</v>
      </c>
      <c r="II457" s="2"/>
      <c r="IJ457" s="2"/>
      <c r="IK457" s="2"/>
      <c r="IL457" s="1">
        <v>1299220</v>
      </c>
      <c r="IM457" s="2"/>
      <c r="IN457" s="2"/>
      <c r="IO457" s="2"/>
      <c r="IP457" s="2"/>
      <c r="IQ457" s="2"/>
      <c r="IR457" s="1">
        <v>966837.8</v>
      </c>
      <c r="IS457" s="2"/>
      <c r="IT457" s="2"/>
      <c r="IU457" s="2"/>
      <c r="IV457" s="2"/>
      <c r="IW457" s="1">
        <v>1830654</v>
      </c>
      <c r="IX457" s="2"/>
      <c r="IY457" s="2"/>
      <c r="IZ457" s="2"/>
      <c r="JA457" s="2"/>
      <c r="JB457" s="2"/>
      <c r="JC457" s="2"/>
      <c r="JD457" s="2"/>
      <c r="JE457" s="1">
        <v>1485432</v>
      </c>
      <c r="JF457" s="2"/>
      <c r="JG457" s="2"/>
      <c r="JH457" s="2"/>
      <c r="JI457" s="2"/>
      <c r="JJ457" s="2"/>
      <c r="JK457" s="2"/>
      <c r="JL457" s="2"/>
      <c r="JM457" s="1">
        <v>1314013.5</v>
      </c>
      <c r="JN457" s="2"/>
      <c r="JO457" s="2"/>
      <c r="JP457" s="2"/>
      <c r="JQ457" s="2"/>
      <c r="JR457" s="2"/>
      <c r="JS457" s="1">
        <v>1573004.9999999998</v>
      </c>
      <c r="JT457" s="2"/>
      <c r="JU457" s="2"/>
      <c r="JV457" s="2"/>
      <c r="JW457" s="2"/>
      <c r="JX457" s="2"/>
      <c r="JY457" s="2"/>
      <c r="JZ457" s="1">
        <v>3103120</v>
      </c>
      <c r="KA457" s="2"/>
      <c r="KB457" s="2"/>
      <c r="KC457" s="2"/>
      <c r="KD457" s="2"/>
      <c r="KE457" s="2"/>
      <c r="KF457" s="2"/>
      <c r="KG457" s="2"/>
      <c r="KH457" s="2"/>
      <c r="KI457" s="2"/>
      <c r="KJ457" s="2"/>
      <c r="KK457" s="1">
        <v>1201892</v>
      </c>
      <c r="KL457" s="2"/>
      <c r="KM457" s="2"/>
      <c r="KN457" s="2"/>
      <c r="KO457" s="2"/>
      <c r="KP457" s="1">
        <v>722092</v>
      </c>
      <c r="KQ457" s="2"/>
      <c r="KR457" s="2"/>
      <c r="KS457" s="2"/>
      <c r="KT457" s="2"/>
      <c r="KU457" s="2"/>
      <c r="KV457" s="1">
        <v>2513796</v>
      </c>
      <c r="KW457" s="2"/>
      <c r="KX457" s="2"/>
      <c r="KY457" s="2"/>
      <c r="KZ457" s="2"/>
      <c r="LA457" s="2"/>
      <c r="LB457" s="2"/>
      <c r="LC457" s="2"/>
      <c r="LD457" s="2"/>
      <c r="LE457" s="2"/>
      <c r="LF457" s="2"/>
      <c r="LG457" s="1">
        <v>877892</v>
      </c>
      <c r="LH457" s="2"/>
      <c r="LI457" s="2"/>
      <c r="LJ457" s="1">
        <v>672741.8</v>
      </c>
      <c r="LK457" s="2"/>
      <c r="LL457" s="2"/>
      <c r="LM457" s="2"/>
      <c r="LN457" s="2"/>
      <c r="LO457" s="1">
        <v>4403838.3</v>
      </c>
      <c r="LP457" s="1">
        <v>1772041.5999999999</v>
      </c>
      <c r="LQ457" s="1"/>
      <c r="LR457" s="1"/>
      <c r="LS457" s="1"/>
      <c r="LT457" s="1"/>
      <c r="LU457" s="1">
        <v>2631796.7000000002</v>
      </c>
      <c r="LV457" s="1"/>
      <c r="LW457" s="1"/>
      <c r="LX457" s="1"/>
      <c r="LY457" s="1"/>
      <c r="LZ457" s="1"/>
      <c r="MA457" s="1"/>
      <c r="MB457" s="1"/>
      <c r="MC457" s="1"/>
      <c r="MD457" s="1"/>
      <c r="ME457" s="1"/>
    </row>
    <row r="458" spans="1:343">
      <c r="A458" s="1">
        <v>1821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>
        <v>716861.48584273236</v>
      </c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4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4"/>
      <c r="HX458" s="2"/>
      <c r="HY458" s="2"/>
      <c r="HZ458" s="2"/>
      <c r="IA458" s="2">
        <v>512497.00501481589</v>
      </c>
      <c r="IB458" s="2">
        <v>239656.61979361426</v>
      </c>
      <c r="IC458" s="2">
        <v>227798.07256957996</v>
      </c>
      <c r="ID458" s="2">
        <v>70157.013219034765</v>
      </c>
      <c r="IE458" s="2">
        <v>219290.49706457768</v>
      </c>
      <c r="IF458" s="2">
        <v>351746.50654640049</v>
      </c>
      <c r="IG458" s="2"/>
      <c r="IH458" s="2">
        <v>1189210.9615069986</v>
      </c>
      <c r="II458" s="2">
        <v>648475</v>
      </c>
      <c r="IJ458" s="2">
        <v>259573.96150699872</v>
      </c>
      <c r="IK458" s="2">
        <v>281162</v>
      </c>
      <c r="IL458" s="2">
        <v>1299000</v>
      </c>
      <c r="IM458" s="2">
        <v>311242</v>
      </c>
      <c r="IN458" s="2">
        <v>160770</v>
      </c>
      <c r="IO458" s="2">
        <v>156959</v>
      </c>
      <c r="IP458" s="2">
        <v>315796</v>
      </c>
      <c r="IQ458" s="2">
        <v>183449</v>
      </c>
      <c r="IR458" s="2">
        <v>951008.6</v>
      </c>
      <c r="IS458" s="2">
        <v>90348.599999999991</v>
      </c>
      <c r="IT458" s="2">
        <v>360893</v>
      </c>
      <c r="IU458" s="2">
        <v>402881.8</v>
      </c>
      <c r="IV458" s="2">
        <v>96885.2</v>
      </c>
      <c r="IW458" s="2">
        <v>1777277</v>
      </c>
      <c r="IX458" s="2">
        <v>431881</v>
      </c>
      <c r="IY458" s="2">
        <v>355168</v>
      </c>
      <c r="IZ458" s="2">
        <v>237481</v>
      </c>
      <c r="JA458" s="2">
        <v>2888220</v>
      </c>
      <c r="JB458" s="2">
        <v>190272</v>
      </c>
      <c r="JC458" s="2">
        <v>110375</v>
      </c>
      <c r="JD458" s="2">
        <v>163880</v>
      </c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  <c r="JY458" s="2"/>
      <c r="JZ458" s="2">
        <v>3104000</v>
      </c>
      <c r="KA458" s="2"/>
      <c r="KB458" s="2"/>
      <c r="KC458" s="2"/>
      <c r="KD458" s="2"/>
      <c r="KE458" s="2"/>
      <c r="KF458" s="2"/>
      <c r="KG458" s="2"/>
      <c r="KH458" s="2"/>
      <c r="KI458" s="2"/>
      <c r="KJ458" s="2"/>
      <c r="KK458" s="2">
        <v>1202000</v>
      </c>
      <c r="KL458" s="2"/>
      <c r="KM458" s="2"/>
      <c r="KN458" s="2"/>
      <c r="KO458" s="2"/>
      <c r="KP458" s="2"/>
      <c r="KQ458" s="2"/>
      <c r="KR458" s="2"/>
      <c r="KS458" s="2"/>
      <c r="KT458" s="2"/>
      <c r="KU458" s="2"/>
      <c r="KV458" s="2"/>
      <c r="KW458" s="2"/>
      <c r="KX458" s="2"/>
      <c r="KY458" s="2"/>
      <c r="KZ458" s="2"/>
      <c r="LA458" s="2"/>
      <c r="LB458" s="2"/>
      <c r="LC458" s="2"/>
      <c r="LD458" s="2"/>
      <c r="LE458" s="2"/>
      <c r="LF458" s="2"/>
      <c r="LG458" s="2"/>
      <c r="LH458" s="2"/>
      <c r="LI458" s="2"/>
      <c r="LJ458" s="2">
        <v>673000</v>
      </c>
      <c r="LK458" s="2"/>
      <c r="LL458" s="2"/>
      <c r="LM458" s="2"/>
      <c r="LN458" s="2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</row>
    <row r="459" spans="1:343">
      <c r="A459" s="1">
        <v>1822</v>
      </c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>
        <v>719298.81489459774</v>
      </c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4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4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1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  <c r="JY459" s="2"/>
      <c r="JZ459" s="2"/>
      <c r="KA459" s="2"/>
      <c r="KB459" s="2"/>
      <c r="KC459" s="2"/>
      <c r="KD459" s="2"/>
      <c r="KE459" s="2"/>
      <c r="KF459" s="2"/>
      <c r="KG459" s="2"/>
      <c r="KH459" s="2"/>
      <c r="KI459" s="2"/>
      <c r="KJ459" s="2"/>
      <c r="KK459" s="2"/>
      <c r="KL459" s="2"/>
      <c r="KM459" s="2"/>
      <c r="KN459" s="2"/>
      <c r="KO459" s="2"/>
      <c r="KP459" s="2"/>
      <c r="KQ459" s="2"/>
      <c r="KR459" s="2"/>
      <c r="KS459" s="2"/>
      <c r="KT459" s="2"/>
      <c r="KU459" s="2"/>
      <c r="KV459" s="2"/>
      <c r="KW459" s="2"/>
      <c r="KX459" s="2"/>
      <c r="KY459" s="2"/>
      <c r="KZ459" s="2"/>
      <c r="LA459" s="2"/>
      <c r="LB459" s="2"/>
      <c r="LC459" s="2"/>
      <c r="LD459" s="2"/>
      <c r="LE459" s="2"/>
      <c r="LF459" s="2"/>
      <c r="LG459" s="2"/>
      <c r="LH459" s="2"/>
      <c r="LI459" s="2"/>
      <c r="LJ459" s="2"/>
      <c r="LK459" s="2"/>
      <c r="LL459" s="2"/>
      <c r="LM459" s="2"/>
      <c r="LN459" s="2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</row>
    <row r="460" spans="1:343">
      <c r="A460" s="1">
        <v>1823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>
        <v>721744.43086523947</v>
      </c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4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4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  <c r="JY460" s="2"/>
      <c r="JZ460" s="2"/>
      <c r="KA460" s="2"/>
      <c r="KB460" s="2"/>
      <c r="KC460" s="2"/>
      <c r="KD460" s="2"/>
      <c r="KE460" s="2"/>
      <c r="KF460" s="2"/>
      <c r="KG460" s="2"/>
      <c r="KH460" s="2"/>
      <c r="KI460" s="2"/>
      <c r="KJ460" s="2"/>
      <c r="KK460" s="2"/>
      <c r="KL460" s="2"/>
      <c r="KM460" s="2"/>
      <c r="KN460" s="2"/>
      <c r="KO460" s="2"/>
      <c r="KP460" s="2"/>
      <c r="KQ460" s="2"/>
      <c r="KR460" s="2"/>
      <c r="KS460" s="2"/>
      <c r="KT460" s="2"/>
      <c r="KU460" s="2"/>
      <c r="KV460" s="2"/>
      <c r="KW460" s="2"/>
      <c r="KX460" s="2"/>
      <c r="KY460" s="2"/>
      <c r="KZ460" s="2"/>
      <c r="LA460" s="2"/>
      <c r="LB460" s="2"/>
      <c r="LC460" s="2"/>
      <c r="LD460" s="2"/>
      <c r="LE460" s="2"/>
      <c r="LF460" s="2"/>
      <c r="LG460" s="2"/>
      <c r="LH460" s="2"/>
      <c r="LI460" s="2"/>
      <c r="LJ460" s="2"/>
      <c r="LK460" s="2"/>
      <c r="LL460" s="2"/>
      <c r="LM460" s="2"/>
      <c r="LN460" s="2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</row>
    <row r="461" spans="1:343">
      <c r="A461" s="1">
        <v>1824</v>
      </c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>
        <v>724198.36193018139</v>
      </c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4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1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4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  <c r="JY461" s="2"/>
      <c r="JZ461" s="2"/>
      <c r="KA461" s="2"/>
      <c r="KB461" s="2"/>
      <c r="KC461" s="2"/>
      <c r="KD461" s="2"/>
      <c r="KE461" s="2"/>
      <c r="KF461" s="2"/>
      <c r="KG461" s="2"/>
      <c r="KH461" s="2"/>
      <c r="KI461" s="2"/>
      <c r="KJ461" s="2"/>
      <c r="KK461" s="2"/>
      <c r="KL461" s="2"/>
      <c r="KM461" s="2"/>
      <c r="KN461" s="2"/>
      <c r="KO461" s="2"/>
      <c r="KP461" s="2"/>
      <c r="KQ461" s="2"/>
      <c r="KR461" s="2"/>
      <c r="KS461" s="2"/>
      <c r="KT461" s="2"/>
      <c r="KU461" s="2"/>
      <c r="KV461" s="2"/>
      <c r="KW461" s="2"/>
      <c r="KX461" s="2"/>
      <c r="KY461" s="2"/>
      <c r="KZ461" s="2"/>
      <c r="LA461" s="2"/>
      <c r="LB461" s="2"/>
      <c r="LC461" s="2"/>
      <c r="LD461" s="2"/>
      <c r="LE461" s="2"/>
      <c r="LF461" s="2"/>
      <c r="LG461" s="2"/>
      <c r="LH461" s="2"/>
      <c r="LI461" s="2"/>
      <c r="LJ461" s="2"/>
      <c r="LK461" s="2"/>
      <c r="LL461" s="2"/>
      <c r="LM461" s="2"/>
      <c r="LN461" s="2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</row>
    <row r="462" spans="1:343">
      <c r="A462" s="1">
        <v>1825</v>
      </c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>
        <v>726660.63636074401</v>
      </c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4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>
        <v>272000</v>
      </c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4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  <c r="JY462" s="2"/>
      <c r="JZ462" s="2"/>
      <c r="KA462" s="2"/>
      <c r="KB462" s="2"/>
      <c r="KC462" s="2"/>
      <c r="KD462" s="2"/>
      <c r="KE462" s="2"/>
      <c r="KF462" s="2"/>
      <c r="KG462" s="2"/>
      <c r="KH462" s="2"/>
      <c r="KI462" s="2"/>
      <c r="KJ462" s="2"/>
      <c r="KK462" s="2"/>
      <c r="KL462" s="2"/>
      <c r="KM462" s="2"/>
      <c r="KN462" s="2"/>
      <c r="KO462" s="2"/>
      <c r="KP462" s="2"/>
      <c r="KQ462" s="2"/>
      <c r="KR462" s="2"/>
      <c r="KS462" s="2"/>
      <c r="KT462" s="2"/>
      <c r="KU462" s="2"/>
      <c r="KV462" s="2"/>
      <c r="KW462" s="2"/>
      <c r="KX462" s="2"/>
      <c r="KY462" s="2"/>
      <c r="KZ462" s="2"/>
      <c r="LA462" s="2"/>
      <c r="LB462" s="2"/>
      <c r="LC462" s="2"/>
      <c r="LD462" s="2"/>
      <c r="LE462" s="2"/>
      <c r="LF462" s="2"/>
      <c r="LG462" s="2"/>
      <c r="LH462" s="2"/>
      <c r="LI462" s="2"/>
      <c r="LJ462" s="2"/>
      <c r="LK462" s="2"/>
      <c r="LL462" s="2"/>
      <c r="LM462" s="2"/>
      <c r="LN462" s="2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</row>
    <row r="463" spans="1:343">
      <c r="A463" s="1">
        <v>1826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>
        <v>729131.28252437059</v>
      </c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4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4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  <c r="JY463" s="2"/>
      <c r="JZ463" s="2"/>
      <c r="KA463" s="2"/>
      <c r="KB463" s="2"/>
      <c r="KC463" s="2"/>
      <c r="KD463" s="2"/>
      <c r="KE463" s="2"/>
      <c r="KF463" s="2"/>
      <c r="KG463" s="2"/>
      <c r="KH463" s="2"/>
      <c r="KI463" s="2"/>
      <c r="KJ463" s="2"/>
      <c r="KK463" s="2"/>
      <c r="KL463" s="2"/>
      <c r="KM463" s="2"/>
      <c r="KN463" s="2"/>
      <c r="KO463" s="2"/>
      <c r="KP463" s="2"/>
      <c r="KQ463" s="2"/>
      <c r="KR463" s="2"/>
      <c r="KS463" s="2"/>
      <c r="KT463" s="2"/>
      <c r="KU463" s="2"/>
      <c r="KV463" s="2"/>
      <c r="KW463" s="2"/>
      <c r="KX463" s="2"/>
      <c r="KY463" s="2"/>
      <c r="KZ463" s="2"/>
      <c r="LA463" s="2"/>
      <c r="LB463" s="2"/>
      <c r="LC463" s="2"/>
      <c r="LD463" s="2"/>
      <c r="LE463" s="2"/>
      <c r="LF463" s="2"/>
      <c r="LG463" s="2"/>
      <c r="LH463" s="2"/>
      <c r="LI463" s="2"/>
      <c r="LJ463" s="2"/>
      <c r="LK463" s="2"/>
      <c r="LL463" s="2"/>
      <c r="LM463" s="2"/>
      <c r="LN463" s="2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</row>
    <row r="464" spans="1:343">
      <c r="A464" s="1">
        <v>1827</v>
      </c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>
        <v>731610.32888495352</v>
      </c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4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4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  <c r="JY464" s="2"/>
      <c r="JZ464" s="2"/>
      <c r="KA464" s="2"/>
      <c r="KB464" s="2"/>
      <c r="KC464" s="2"/>
      <c r="KD464" s="2"/>
      <c r="KE464" s="2"/>
      <c r="KF464" s="2"/>
      <c r="KG464" s="2"/>
      <c r="KH464" s="2"/>
      <c r="KI464" s="2"/>
      <c r="KJ464" s="2"/>
      <c r="KK464" s="2"/>
      <c r="KL464" s="2"/>
      <c r="KM464" s="2"/>
      <c r="KN464" s="2"/>
      <c r="KO464" s="2"/>
      <c r="KP464" s="2"/>
      <c r="KQ464" s="2"/>
      <c r="KR464" s="2"/>
      <c r="KS464" s="2"/>
      <c r="KT464" s="2"/>
      <c r="KU464" s="2"/>
      <c r="KV464" s="2"/>
      <c r="KW464" s="2"/>
      <c r="KX464" s="2"/>
      <c r="KY464" s="2"/>
      <c r="KZ464" s="2"/>
      <c r="LA464" s="2"/>
      <c r="LB464" s="2"/>
      <c r="LC464" s="2"/>
      <c r="LD464" s="2"/>
      <c r="LE464" s="2"/>
      <c r="LF464" s="2"/>
      <c r="LG464" s="2"/>
      <c r="LH464" s="2"/>
      <c r="LI464" s="2"/>
      <c r="LJ464" s="2"/>
      <c r="LK464" s="2"/>
      <c r="LL464" s="2"/>
      <c r="LM464" s="2"/>
      <c r="LN464" s="2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</row>
    <row r="465" spans="1:343">
      <c r="A465" s="1">
        <v>1828</v>
      </c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>
        <v>734097.80400316243</v>
      </c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4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4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  <c r="JY465" s="2"/>
      <c r="JZ465" s="2"/>
      <c r="KA465" s="2"/>
      <c r="KB465" s="2"/>
      <c r="KC465" s="2"/>
      <c r="KD465" s="2"/>
      <c r="KE465" s="2"/>
      <c r="KF465" s="2"/>
      <c r="KG465" s="2"/>
      <c r="KH465" s="2"/>
      <c r="KI465" s="2"/>
      <c r="KJ465" s="2"/>
      <c r="KK465" s="2"/>
      <c r="KL465" s="2"/>
      <c r="KM465" s="2"/>
      <c r="KN465" s="2"/>
      <c r="KO465" s="2"/>
      <c r="KP465" s="2"/>
      <c r="KQ465" s="2"/>
      <c r="KR465" s="2"/>
      <c r="KS465" s="2"/>
      <c r="KT465" s="2"/>
      <c r="KU465" s="2"/>
      <c r="KV465" s="2"/>
      <c r="KW465" s="2"/>
      <c r="KX465" s="2"/>
      <c r="KY465" s="2"/>
      <c r="KZ465" s="2"/>
      <c r="LA465" s="2"/>
      <c r="LB465" s="2"/>
      <c r="LC465" s="2"/>
      <c r="LD465" s="2"/>
      <c r="LE465" s="2"/>
      <c r="LF465" s="2"/>
      <c r="LG465" s="2"/>
      <c r="LH465" s="2"/>
      <c r="LI465" s="2"/>
      <c r="LJ465" s="2"/>
      <c r="LK465" s="2"/>
      <c r="LL465" s="2"/>
      <c r="LM465" s="2"/>
      <c r="LN465" s="2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</row>
    <row r="466" spans="1:343">
      <c r="A466" s="1">
        <v>1829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>
        <v>736593.73653677327</v>
      </c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4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4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  <c r="JY466" s="2"/>
      <c r="JZ466" s="2"/>
      <c r="KA466" s="2"/>
      <c r="KB466" s="2"/>
      <c r="KC466" s="2"/>
      <c r="KD466" s="2"/>
      <c r="KE466" s="2"/>
      <c r="KF466" s="2"/>
      <c r="KG466" s="2"/>
      <c r="KH466" s="2"/>
      <c r="KI466" s="2"/>
      <c r="KJ466" s="2"/>
      <c r="KK466" s="2"/>
      <c r="KL466" s="2"/>
      <c r="KM466" s="2"/>
      <c r="KN466" s="2"/>
      <c r="KO466" s="2"/>
      <c r="KP466" s="2"/>
      <c r="KQ466" s="2"/>
      <c r="KR466" s="2"/>
      <c r="KS466" s="2"/>
      <c r="KT466" s="2"/>
      <c r="KU466" s="2"/>
      <c r="KV466" s="2"/>
      <c r="KW466" s="2"/>
      <c r="KX466" s="2"/>
      <c r="KY466" s="2"/>
      <c r="KZ466" s="2"/>
      <c r="LA466" s="2"/>
      <c r="LB466" s="2"/>
      <c r="LC466" s="2"/>
      <c r="LD466" s="2"/>
      <c r="LE466" s="2"/>
      <c r="LF466" s="2"/>
      <c r="LG466" s="2"/>
      <c r="LH466" s="2"/>
      <c r="LI466" s="2"/>
      <c r="LJ466" s="2"/>
      <c r="LK466" s="2"/>
      <c r="LL466" s="2"/>
      <c r="LM466" s="2"/>
      <c r="LN466" s="2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</row>
    <row r="467" spans="1:343">
      <c r="A467" s="1">
        <v>1830</v>
      </c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>
        <v>739098.15524099837</v>
      </c>
      <c r="AH467" s="1">
        <v>5938087.5599999996</v>
      </c>
      <c r="AI467" s="1">
        <v>2508650.2200000002</v>
      </c>
      <c r="AJ467" s="1">
        <v>515708.15999999997</v>
      </c>
      <c r="AK467" s="1">
        <v>548731.62</v>
      </c>
      <c r="AL467" s="1">
        <v>404255.94</v>
      </c>
      <c r="AM467" s="1">
        <v>544994.1</v>
      </c>
      <c r="AN467" s="1">
        <v>470777.88</v>
      </c>
      <c r="AO467" s="1">
        <v>258503.1</v>
      </c>
      <c r="AP467" s="1">
        <v>359108.16</v>
      </c>
      <c r="AQ467" s="1">
        <v>327184.38</v>
      </c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4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4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  <c r="JY467" s="2"/>
      <c r="JZ467" s="2"/>
      <c r="KA467" s="2"/>
      <c r="KB467" s="2"/>
      <c r="KC467" s="2"/>
      <c r="KD467" s="2"/>
      <c r="KE467" s="2"/>
      <c r="KF467" s="2"/>
      <c r="KG467" s="2"/>
      <c r="KH467" s="2"/>
      <c r="KI467" s="2"/>
      <c r="KJ467" s="2"/>
      <c r="KK467" s="2"/>
      <c r="KL467" s="2"/>
      <c r="KM467" s="2"/>
      <c r="KN467" s="2"/>
      <c r="KO467" s="2"/>
      <c r="KP467" s="2"/>
      <c r="KQ467" s="2"/>
      <c r="KR467" s="2"/>
      <c r="KS467" s="2"/>
      <c r="KT467" s="2"/>
      <c r="KU467" s="2"/>
      <c r="KV467" s="2"/>
      <c r="KW467" s="2"/>
      <c r="KX467" s="2"/>
      <c r="KY467" s="2"/>
      <c r="KZ467" s="2"/>
      <c r="LA467" s="2"/>
      <c r="LB467" s="2"/>
      <c r="LC467" s="2"/>
      <c r="LD467" s="2"/>
      <c r="LE467" s="2"/>
      <c r="LF467" s="2"/>
      <c r="LG467" s="2"/>
      <c r="LH467" s="2"/>
      <c r="LI467" s="2"/>
      <c r="LJ467" s="2"/>
      <c r="LK467" s="2"/>
      <c r="LL467" s="2"/>
      <c r="LM467" s="2"/>
      <c r="LN467" s="2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</row>
    <row r="468" spans="1:343">
      <c r="A468" s="1">
        <v>1831</v>
      </c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>
        <v>741611.08896881784</v>
      </c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4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4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  <c r="JY468" s="2"/>
      <c r="JZ468" s="2"/>
      <c r="KA468" s="2"/>
      <c r="KB468" s="2"/>
      <c r="KC468" s="2"/>
      <c r="KD468" s="2"/>
      <c r="KE468" s="2"/>
      <c r="KF468" s="2"/>
      <c r="KG468" s="2"/>
      <c r="KH468" s="2"/>
      <c r="KI468" s="2"/>
      <c r="KJ468" s="2"/>
      <c r="KK468" s="2"/>
      <c r="KL468" s="2"/>
      <c r="KM468" s="2"/>
      <c r="KN468" s="2"/>
      <c r="KO468" s="2"/>
      <c r="KP468" s="2"/>
      <c r="KQ468" s="2"/>
      <c r="KR468" s="2"/>
      <c r="KS468" s="2"/>
      <c r="KT468" s="2"/>
      <c r="KU468" s="2"/>
      <c r="KV468" s="2"/>
      <c r="KW468" s="2"/>
      <c r="KX468" s="2"/>
      <c r="KY468" s="2"/>
      <c r="KZ468" s="2"/>
      <c r="LA468" s="2"/>
      <c r="LB468" s="2"/>
      <c r="LC468" s="2"/>
      <c r="LD468" s="2"/>
      <c r="LE468" s="2"/>
      <c r="LF468" s="2"/>
      <c r="LG468" s="2"/>
      <c r="LH468" s="2"/>
      <c r="LI468" s="2"/>
      <c r="LJ468" s="2"/>
      <c r="LK468" s="2"/>
      <c r="LL468" s="2"/>
      <c r="LM468" s="2"/>
      <c r="LN468" s="2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</row>
    <row r="469" spans="1:343">
      <c r="A469" s="1">
        <v>1832</v>
      </c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>
        <v>744132.56667131186</v>
      </c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4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4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  <c r="JY469" s="2"/>
      <c r="JZ469" s="2"/>
      <c r="KA469" s="2"/>
      <c r="KB469" s="2"/>
      <c r="KC469" s="2"/>
      <c r="KD469" s="2"/>
      <c r="KE469" s="2"/>
      <c r="KF469" s="2"/>
      <c r="KG469" s="2"/>
      <c r="KH469" s="2"/>
      <c r="KI469" s="2"/>
      <c r="KJ469" s="2"/>
      <c r="KK469" s="2"/>
      <c r="KL469" s="2"/>
      <c r="KM469" s="2"/>
      <c r="KN469" s="2"/>
      <c r="KO469" s="2"/>
      <c r="KP469" s="2"/>
      <c r="KQ469" s="2"/>
      <c r="KR469" s="2"/>
      <c r="KS469" s="2"/>
      <c r="KT469" s="2"/>
      <c r="KU469" s="2"/>
      <c r="KV469" s="2"/>
      <c r="KW469" s="2"/>
      <c r="KX469" s="2"/>
      <c r="KY469" s="2"/>
      <c r="KZ469" s="2"/>
      <c r="LA469" s="2"/>
      <c r="LB469" s="2"/>
      <c r="LC469" s="2"/>
      <c r="LD469" s="2"/>
      <c r="LE469" s="2"/>
      <c r="LF469" s="2"/>
      <c r="LG469" s="2"/>
      <c r="LH469" s="2"/>
      <c r="LI469" s="2"/>
      <c r="LJ469" s="2"/>
      <c r="LK469" s="2"/>
      <c r="LL469" s="2"/>
      <c r="LM469" s="2"/>
      <c r="LN469" s="2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</row>
    <row r="470" spans="1:343">
      <c r="A470" s="1">
        <v>1833</v>
      </c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>
        <v>746662.61739799439</v>
      </c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4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4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  <c r="JY470" s="2"/>
      <c r="JZ470" s="2"/>
      <c r="KA470" s="2"/>
      <c r="KB470" s="2"/>
      <c r="KC470" s="2"/>
      <c r="KD470" s="2"/>
      <c r="KE470" s="2"/>
      <c r="KF470" s="2"/>
      <c r="KG470" s="2"/>
      <c r="KH470" s="2"/>
      <c r="KI470" s="2"/>
      <c r="KJ470" s="2"/>
      <c r="KK470" s="2"/>
      <c r="KL470" s="2"/>
      <c r="KM470" s="2"/>
      <c r="KN470" s="2"/>
      <c r="KO470" s="2"/>
      <c r="KP470" s="2"/>
      <c r="KQ470" s="2"/>
      <c r="KR470" s="2"/>
      <c r="KS470" s="2"/>
      <c r="KT470" s="2"/>
      <c r="KU470" s="2"/>
      <c r="KV470" s="2"/>
      <c r="KW470" s="2"/>
      <c r="KX470" s="2"/>
      <c r="KY470" s="2"/>
      <c r="KZ470" s="2"/>
      <c r="LA470" s="2"/>
      <c r="LB470" s="2"/>
      <c r="LC470" s="2"/>
      <c r="LD470" s="2"/>
      <c r="LE470" s="2"/>
      <c r="LF470" s="2"/>
      <c r="LG470" s="2"/>
      <c r="LH470" s="2"/>
      <c r="LI470" s="2"/>
      <c r="LJ470" s="2"/>
      <c r="LK470" s="2"/>
      <c r="LL470" s="2"/>
      <c r="LM470" s="2"/>
      <c r="LN470" s="2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</row>
    <row r="471" spans="1:343">
      <c r="A471" s="1">
        <v>1834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>
        <v>749201.27029714757</v>
      </c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4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4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  <c r="JY471" s="2"/>
      <c r="JZ471" s="2"/>
      <c r="KA471" s="2"/>
      <c r="KB471" s="2"/>
      <c r="KC471" s="2"/>
      <c r="KD471" s="2"/>
      <c r="KE471" s="2"/>
      <c r="KF471" s="2"/>
      <c r="KG471" s="2"/>
      <c r="KH471" s="2"/>
      <c r="KI471" s="2"/>
      <c r="KJ471" s="2"/>
      <c r="KK471" s="2"/>
      <c r="KL471" s="2"/>
      <c r="KM471" s="2"/>
      <c r="KN471" s="2"/>
      <c r="KO471" s="2"/>
      <c r="KP471" s="2"/>
      <c r="KQ471" s="2"/>
      <c r="KR471" s="2"/>
      <c r="KS471" s="2"/>
      <c r="KT471" s="2"/>
      <c r="KU471" s="2"/>
      <c r="KV471" s="2"/>
      <c r="KW471" s="2"/>
      <c r="KX471" s="2"/>
      <c r="KY471" s="2"/>
      <c r="KZ471" s="2"/>
      <c r="LA471" s="2"/>
      <c r="LB471" s="2"/>
      <c r="LC471" s="2"/>
      <c r="LD471" s="2"/>
      <c r="LE471" s="2"/>
      <c r="LF471" s="2"/>
      <c r="LG471" s="2"/>
      <c r="LH471" s="2"/>
      <c r="LI471" s="2"/>
      <c r="LJ471" s="2"/>
      <c r="LK471" s="2"/>
      <c r="LL471" s="2"/>
      <c r="LM471" s="2"/>
      <c r="LN471" s="2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</row>
    <row r="472" spans="1:343">
      <c r="A472" s="1">
        <v>1835</v>
      </c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>
        <v>751748.5546161579</v>
      </c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4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4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  <c r="JY472" s="2"/>
      <c r="JZ472" s="2"/>
      <c r="KA472" s="2"/>
      <c r="KB472" s="2"/>
      <c r="KC472" s="2"/>
      <c r="KD472" s="2"/>
      <c r="KE472" s="2"/>
      <c r="KF472" s="2"/>
      <c r="KG472" s="2"/>
      <c r="KH472" s="2"/>
      <c r="KI472" s="2"/>
      <c r="KJ472" s="2"/>
      <c r="KK472" s="2"/>
      <c r="KL472" s="2"/>
      <c r="KM472" s="2"/>
      <c r="KN472" s="2"/>
      <c r="KO472" s="2"/>
      <c r="KP472" s="2"/>
      <c r="KQ472" s="2"/>
      <c r="KR472" s="2"/>
      <c r="KS472" s="2"/>
      <c r="KT472" s="2"/>
      <c r="KU472" s="2"/>
      <c r="KV472" s="2"/>
      <c r="KW472" s="2"/>
      <c r="KX472" s="2"/>
      <c r="KY472" s="2"/>
      <c r="KZ472" s="2"/>
      <c r="LA472" s="2"/>
      <c r="LB472" s="2"/>
      <c r="LC472" s="2"/>
      <c r="LD472" s="2"/>
      <c r="LE472" s="2"/>
      <c r="LF472" s="2"/>
      <c r="LG472" s="2"/>
      <c r="LH472" s="2"/>
      <c r="LI472" s="2"/>
      <c r="LJ472" s="2"/>
      <c r="LK472" s="2"/>
      <c r="LL472" s="2"/>
      <c r="LM472" s="2"/>
      <c r="LN472" s="2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</row>
    <row r="473" spans="1:343">
      <c r="A473" s="1">
        <v>1836</v>
      </c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>
        <v>754304.49970185291</v>
      </c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4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4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  <c r="JY473" s="2"/>
      <c r="JZ473" s="2"/>
      <c r="KA473" s="2"/>
      <c r="KB473" s="2"/>
      <c r="KC473" s="2"/>
      <c r="KD473" s="2"/>
      <c r="KE473" s="2"/>
      <c r="KF473" s="2"/>
      <c r="KG473" s="2"/>
      <c r="KH473" s="2"/>
      <c r="KI473" s="2"/>
      <c r="KJ473" s="2"/>
      <c r="KK473" s="2"/>
      <c r="KL473" s="2"/>
      <c r="KM473" s="2"/>
      <c r="KN473" s="2"/>
      <c r="KO473" s="2"/>
      <c r="KP473" s="2"/>
      <c r="KQ473" s="2"/>
      <c r="KR473" s="2"/>
      <c r="KS473" s="2"/>
      <c r="KT473" s="2"/>
      <c r="KU473" s="2"/>
      <c r="KV473" s="2"/>
      <c r="KW473" s="2"/>
      <c r="KX473" s="2"/>
      <c r="KY473" s="2"/>
      <c r="KZ473" s="2"/>
      <c r="LA473" s="2"/>
      <c r="LB473" s="2"/>
      <c r="LC473" s="2"/>
      <c r="LD473" s="2"/>
      <c r="LE473" s="2"/>
      <c r="LF473" s="2"/>
      <c r="LG473" s="2"/>
      <c r="LH473" s="2"/>
      <c r="LI473" s="2"/>
      <c r="LJ473" s="2"/>
      <c r="LK473" s="2"/>
      <c r="LL473" s="2"/>
      <c r="LM473" s="2"/>
      <c r="LN473" s="2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</row>
    <row r="474" spans="1:343">
      <c r="A474" s="1">
        <v>1837</v>
      </c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>
        <v>756869.13500083925</v>
      </c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4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4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  <c r="JY474" s="2"/>
      <c r="JZ474" s="2"/>
      <c r="KA474" s="2"/>
      <c r="KB474" s="2"/>
      <c r="KC474" s="2"/>
      <c r="KD474" s="2"/>
      <c r="KE474" s="2"/>
      <c r="KF474" s="2"/>
      <c r="KG474" s="2"/>
      <c r="KH474" s="2"/>
      <c r="KI474" s="2"/>
      <c r="KJ474" s="2"/>
      <c r="KK474" s="2"/>
      <c r="KL474" s="2"/>
      <c r="KM474" s="2"/>
      <c r="KN474" s="2"/>
      <c r="KO474" s="2"/>
      <c r="KP474" s="2"/>
      <c r="KQ474" s="2"/>
      <c r="KR474" s="2"/>
      <c r="KS474" s="2"/>
      <c r="KT474" s="2"/>
      <c r="KU474" s="2"/>
      <c r="KV474" s="2"/>
      <c r="KW474" s="2"/>
      <c r="KX474" s="2"/>
      <c r="KY474" s="2"/>
      <c r="KZ474" s="2"/>
      <c r="LA474" s="2"/>
      <c r="LB474" s="2"/>
      <c r="LC474" s="2"/>
      <c r="LD474" s="2"/>
      <c r="LE474" s="2"/>
      <c r="LF474" s="2"/>
      <c r="LG474" s="2"/>
      <c r="LH474" s="2"/>
      <c r="LI474" s="2"/>
      <c r="LJ474" s="2"/>
      <c r="LK474" s="2"/>
      <c r="LL474" s="2"/>
      <c r="LM474" s="2"/>
      <c r="LN474" s="2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</row>
    <row r="475" spans="1:343">
      <c r="A475" s="1">
        <v>1838</v>
      </c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>
        <v>759442.49005984212</v>
      </c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4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>
        <v>2933764</v>
      </c>
      <c r="FB475" s="1">
        <v>619577</v>
      </c>
      <c r="FC475" s="1">
        <v>502860</v>
      </c>
      <c r="FD475" s="1">
        <v>277013</v>
      </c>
      <c r="FE475" s="1">
        <v>379422</v>
      </c>
      <c r="FF475" s="1">
        <v>327125</v>
      </c>
      <c r="FG475" s="1">
        <v>304306</v>
      </c>
      <c r="FH475" s="1">
        <v>523461</v>
      </c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4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  <c r="JY475" s="2"/>
      <c r="JZ475" s="2"/>
      <c r="KA475" s="2"/>
      <c r="KB475" s="2"/>
      <c r="KC475" s="2"/>
      <c r="KD475" s="2"/>
      <c r="KE475" s="2"/>
      <c r="KF475" s="2"/>
      <c r="KG475" s="2"/>
      <c r="KH475" s="2"/>
      <c r="KI475" s="2"/>
      <c r="KJ475" s="2"/>
      <c r="KK475" s="2"/>
      <c r="KL475" s="2"/>
      <c r="KM475" s="2"/>
      <c r="KN475" s="2"/>
      <c r="KO475" s="2"/>
      <c r="KP475" s="2"/>
      <c r="KQ475" s="2"/>
      <c r="KR475" s="2"/>
      <c r="KS475" s="2"/>
      <c r="KT475" s="2"/>
      <c r="KU475" s="2"/>
      <c r="KV475" s="2"/>
      <c r="KW475" s="2"/>
      <c r="KX475" s="2"/>
      <c r="KY475" s="2"/>
      <c r="KZ475" s="2"/>
      <c r="LA475" s="2"/>
      <c r="LB475" s="2"/>
      <c r="LC475" s="2"/>
      <c r="LD475" s="2"/>
      <c r="LE475" s="2"/>
      <c r="LF475" s="2"/>
      <c r="LG475" s="2"/>
      <c r="LH475" s="2"/>
      <c r="LI475" s="2"/>
      <c r="LJ475" s="2"/>
      <c r="LK475" s="2"/>
      <c r="LL475" s="2"/>
      <c r="LM475" s="2"/>
      <c r="LN475" s="2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</row>
    <row r="476" spans="1:343">
      <c r="A476" s="1">
        <v>1839</v>
      </c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>
        <v>762024.59452604561</v>
      </c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4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4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  <c r="JY476" s="2"/>
      <c r="JZ476" s="2"/>
      <c r="KA476" s="2"/>
      <c r="KB476" s="2"/>
      <c r="KC476" s="2"/>
      <c r="KD476" s="2"/>
      <c r="KE476" s="2"/>
      <c r="KF476" s="2"/>
      <c r="KG476" s="2"/>
      <c r="KH476" s="2"/>
      <c r="KI476" s="2"/>
      <c r="KJ476" s="2"/>
      <c r="KK476" s="2"/>
      <c r="KL476" s="2"/>
      <c r="KM476" s="2"/>
      <c r="KN476" s="2"/>
      <c r="KO476" s="2"/>
      <c r="KP476" s="2"/>
      <c r="KQ476" s="2"/>
      <c r="KR476" s="2"/>
      <c r="KS476" s="2"/>
      <c r="KT476" s="2"/>
      <c r="KU476" s="2"/>
      <c r="KV476" s="2"/>
      <c r="KW476" s="2"/>
      <c r="KX476" s="2"/>
      <c r="KY476" s="2"/>
      <c r="KZ476" s="2"/>
      <c r="LA476" s="2"/>
      <c r="LB476" s="2"/>
      <c r="LC476" s="2"/>
      <c r="LD476" s="2"/>
      <c r="LE476" s="2"/>
      <c r="LF476" s="2"/>
      <c r="LG476" s="2"/>
      <c r="LH476" s="2"/>
      <c r="LI476" s="2"/>
      <c r="LJ476" s="2"/>
      <c r="LK476" s="2"/>
      <c r="LL476" s="2"/>
      <c r="LM476" s="2"/>
      <c r="LN476" s="2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</row>
    <row r="477" spans="1:343">
      <c r="A477" s="1">
        <v>1840</v>
      </c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>
        <v>764615.47814743419</v>
      </c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4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4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  <c r="JY477" s="2"/>
      <c r="JZ477" s="2"/>
      <c r="KA477" s="2"/>
      <c r="KB477" s="2"/>
      <c r="KC477" s="2"/>
      <c r="KD477" s="2"/>
      <c r="KE477" s="2"/>
      <c r="KF477" s="2"/>
      <c r="KG477" s="2"/>
      <c r="KH477" s="2"/>
      <c r="KI477" s="2"/>
      <c r="KJ477" s="2"/>
      <c r="KK477" s="2"/>
      <c r="KL477" s="2"/>
      <c r="KM477" s="2"/>
      <c r="KN477" s="2"/>
      <c r="KO477" s="2"/>
      <c r="KP477" s="2"/>
      <c r="KQ477" s="2"/>
      <c r="KR477" s="2"/>
      <c r="KS477" s="2"/>
      <c r="KT477" s="2"/>
      <c r="KU477" s="2"/>
      <c r="KV477" s="2"/>
      <c r="KW477" s="2"/>
      <c r="KX477" s="2"/>
      <c r="KY477" s="2"/>
      <c r="KZ477" s="2"/>
      <c r="LA477" s="2"/>
      <c r="LB477" s="2"/>
      <c r="LC477" s="2"/>
      <c r="LD477" s="2"/>
      <c r="LE477" s="2"/>
      <c r="LF477" s="2"/>
      <c r="LG477" s="2"/>
      <c r="LH477" s="2"/>
      <c r="LI477" s="2"/>
      <c r="LJ477" s="2"/>
      <c r="LK477" s="2"/>
      <c r="LL477" s="2"/>
      <c r="LM477" s="2"/>
      <c r="LN477" s="2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</row>
    <row r="478" spans="1:343">
      <c r="A478" s="1">
        <v>1841</v>
      </c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>
        <v>767215.1707731355</v>
      </c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4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4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  <c r="JY478" s="2"/>
      <c r="JZ478" s="2"/>
      <c r="KA478" s="2"/>
      <c r="KB478" s="2"/>
      <c r="KC478" s="2"/>
      <c r="KD478" s="2"/>
      <c r="KE478" s="2"/>
      <c r="KF478" s="2"/>
      <c r="KG478" s="2"/>
      <c r="KH478" s="2"/>
      <c r="KI478" s="2"/>
      <c r="KJ478" s="2"/>
      <c r="KK478" s="2"/>
      <c r="KL478" s="2"/>
      <c r="KM478" s="2"/>
      <c r="KN478" s="2"/>
      <c r="KO478" s="2"/>
      <c r="KP478" s="2"/>
      <c r="KQ478" s="2"/>
      <c r="KR478" s="2"/>
      <c r="KS478" s="2"/>
      <c r="KT478" s="2"/>
      <c r="KU478" s="2"/>
      <c r="KV478" s="2"/>
      <c r="KW478" s="2"/>
      <c r="KX478" s="2"/>
      <c r="KY478" s="2"/>
      <c r="KZ478" s="2"/>
      <c r="LA478" s="2"/>
      <c r="LB478" s="2"/>
      <c r="LC478" s="2"/>
      <c r="LD478" s="2"/>
      <c r="LE478" s="2"/>
      <c r="LF478" s="2"/>
      <c r="LG478" s="2"/>
      <c r="LH478" s="2"/>
      <c r="LI478" s="2"/>
      <c r="LJ478" s="2"/>
      <c r="LK478" s="2"/>
      <c r="LL478" s="2"/>
      <c r="LM478" s="2"/>
      <c r="LN478" s="2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</row>
    <row r="479" spans="1:343">
      <c r="A479" s="1">
        <v>1842</v>
      </c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>
        <v>769823.70235376421</v>
      </c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4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4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  <c r="JY479" s="2"/>
      <c r="JZ479" s="2"/>
      <c r="KA479" s="2"/>
      <c r="KB479" s="2"/>
      <c r="KC479" s="2"/>
      <c r="KD479" s="2"/>
      <c r="KE479" s="2"/>
      <c r="KF479" s="2"/>
      <c r="KG479" s="2"/>
      <c r="KH479" s="2"/>
      <c r="KI479" s="2"/>
      <c r="KJ479" s="2"/>
      <c r="KK479" s="2"/>
      <c r="KL479" s="2"/>
      <c r="KM479" s="2"/>
      <c r="KN479" s="2"/>
      <c r="KO479" s="2"/>
      <c r="KP479" s="2"/>
      <c r="KQ479" s="2"/>
      <c r="KR479" s="2"/>
      <c r="KS479" s="2"/>
      <c r="KT479" s="2"/>
      <c r="KU479" s="2"/>
      <c r="KV479" s="2"/>
      <c r="KW479" s="2"/>
      <c r="KX479" s="2"/>
      <c r="KY479" s="2"/>
      <c r="KZ479" s="2"/>
      <c r="LA479" s="2"/>
      <c r="LB479" s="2"/>
      <c r="LC479" s="2"/>
      <c r="LD479" s="2"/>
      <c r="LE479" s="2"/>
      <c r="LF479" s="2"/>
      <c r="LG479" s="2"/>
      <c r="LH479" s="2"/>
      <c r="LI479" s="2"/>
      <c r="LJ479" s="2"/>
      <c r="LK479" s="2"/>
      <c r="LL479" s="2"/>
      <c r="LM479" s="2"/>
      <c r="LN479" s="2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</row>
    <row r="480" spans="1:343">
      <c r="A480" s="1">
        <v>1843</v>
      </c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>
        <v>772441.10294176708</v>
      </c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4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4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  <c r="JY480" s="2"/>
      <c r="JZ480" s="2"/>
      <c r="KA480" s="2"/>
      <c r="KB480" s="2"/>
      <c r="KC480" s="2"/>
      <c r="KD480" s="2"/>
      <c r="KE480" s="2"/>
      <c r="KF480" s="2"/>
      <c r="KG480" s="2"/>
      <c r="KH480" s="2"/>
      <c r="KI480" s="2"/>
      <c r="KJ480" s="2"/>
      <c r="KK480" s="2"/>
      <c r="KL480" s="2"/>
      <c r="KM480" s="2"/>
      <c r="KN480" s="2"/>
      <c r="KO480" s="2"/>
      <c r="KP480" s="2"/>
      <c r="KQ480" s="2"/>
      <c r="KR480" s="2"/>
      <c r="KS480" s="2"/>
      <c r="KT480" s="2"/>
      <c r="KU480" s="2"/>
      <c r="KV480" s="2"/>
      <c r="KW480" s="2"/>
      <c r="KX480" s="2"/>
      <c r="KY480" s="2"/>
      <c r="KZ480" s="2"/>
      <c r="LA480" s="2"/>
      <c r="LB480" s="2"/>
      <c r="LC480" s="2"/>
      <c r="LD480" s="2"/>
      <c r="LE480" s="2"/>
      <c r="LF480" s="2"/>
      <c r="LG480" s="2"/>
      <c r="LH480" s="2"/>
      <c r="LI480" s="2"/>
      <c r="LJ480" s="2"/>
      <c r="LK480" s="2"/>
      <c r="LL480" s="2"/>
      <c r="LM480" s="2"/>
      <c r="LN480" s="2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</row>
    <row r="481" spans="1:343">
      <c r="A481" s="1">
        <v>1844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>
        <v>775067.40269176918</v>
      </c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4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4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  <c r="JY481" s="2"/>
      <c r="JZ481" s="2"/>
      <c r="KA481" s="2"/>
      <c r="KB481" s="2"/>
      <c r="KC481" s="2"/>
      <c r="KD481" s="2"/>
      <c r="KE481" s="2"/>
      <c r="KF481" s="2"/>
      <c r="KG481" s="2"/>
      <c r="KH481" s="2"/>
      <c r="KI481" s="2"/>
      <c r="KJ481" s="2"/>
      <c r="KK481" s="2"/>
      <c r="KL481" s="2"/>
      <c r="KM481" s="2"/>
      <c r="KN481" s="2"/>
      <c r="KO481" s="2"/>
      <c r="KP481" s="2"/>
      <c r="KQ481" s="2"/>
      <c r="KR481" s="2"/>
      <c r="KS481" s="2"/>
      <c r="KT481" s="2"/>
      <c r="KU481" s="2"/>
      <c r="KV481" s="2"/>
      <c r="KW481" s="2"/>
      <c r="KX481" s="2"/>
      <c r="KY481" s="2"/>
      <c r="KZ481" s="2"/>
      <c r="LA481" s="2"/>
      <c r="LB481" s="2"/>
      <c r="LC481" s="2"/>
      <c r="LD481" s="2"/>
      <c r="LE481" s="2"/>
      <c r="LF481" s="2"/>
      <c r="LG481" s="2"/>
      <c r="LH481" s="2"/>
      <c r="LI481" s="2"/>
      <c r="LJ481" s="2"/>
      <c r="LK481" s="2"/>
      <c r="LL481" s="2"/>
      <c r="LM481" s="2"/>
      <c r="LN481" s="2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</row>
    <row r="482" spans="1:343">
      <c r="A482" s="1">
        <v>1845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>
        <v>777702.63186092128</v>
      </c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4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4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  <c r="JY482" s="2"/>
      <c r="JZ482" s="2"/>
      <c r="KA482" s="2"/>
      <c r="KB482" s="2"/>
      <c r="KC482" s="2"/>
      <c r="KD482" s="2"/>
      <c r="KE482" s="2"/>
      <c r="KF482" s="2"/>
      <c r="KG482" s="2"/>
      <c r="KH482" s="2"/>
      <c r="KI482" s="2"/>
      <c r="KJ482" s="2"/>
      <c r="KK482" s="2"/>
      <c r="KL482" s="2"/>
      <c r="KM482" s="2"/>
      <c r="KN482" s="2"/>
      <c r="KO482" s="2"/>
      <c r="KP482" s="2"/>
      <c r="KQ482" s="2"/>
      <c r="KR482" s="2"/>
      <c r="KS482" s="2"/>
      <c r="KT482" s="2"/>
      <c r="KU482" s="2"/>
      <c r="KV482" s="2"/>
      <c r="KW482" s="2"/>
      <c r="KX482" s="2"/>
      <c r="KY482" s="2"/>
      <c r="KZ482" s="2"/>
      <c r="LA482" s="2"/>
      <c r="LB482" s="2"/>
      <c r="LC482" s="2"/>
      <c r="LD482" s="2"/>
      <c r="LE482" s="2"/>
      <c r="LF482" s="2"/>
      <c r="LG482" s="2"/>
      <c r="LH482" s="2"/>
      <c r="LI482" s="2"/>
      <c r="LJ482" s="2"/>
      <c r="LK482" s="2"/>
      <c r="LL482" s="2"/>
      <c r="LM482" s="2"/>
      <c r="LN482" s="2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</row>
    <row r="483" spans="1:343">
      <c r="A483" s="1">
        <v>1846</v>
      </c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>
        <v>780346.82080924849</v>
      </c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4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4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  <c r="JY483" s="2"/>
      <c r="JZ483" s="2"/>
      <c r="KA483" s="2"/>
      <c r="KB483" s="2"/>
      <c r="KC483" s="2"/>
      <c r="KD483" s="2"/>
      <c r="KE483" s="2"/>
      <c r="KF483" s="2"/>
      <c r="KG483" s="2"/>
      <c r="KH483" s="2"/>
      <c r="KI483" s="2"/>
      <c r="KJ483" s="2"/>
      <c r="KK483" s="2"/>
      <c r="KL483" s="2"/>
      <c r="KM483" s="2"/>
      <c r="KN483" s="2"/>
      <c r="KO483" s="2"/>
      <c r="KP483" s="2"/>
      <c r="KQ483" s="2"/>
      <c r="KR483" s="2"/>
      <c r="KS483" s="2"/>
      <c r="KT483" s="2"/>
      <c r="KU483" s="2"/>
      <c r="KV483" s="2"/>
      <c r="KW483" s="2"/>
      <c r="KX483" s="2"/>
      <c r="KY483" s="2"/>
      <c r="KZ483" s="2"/>
      <c r="LA483" s="2"/>
      <c r="LB483" s="2"/>
      <c r="LC483" s="2"/>
      <c r="LD483" s="2"/>
      <c r="LE483" s="2"/>
      <c r="LF483" s="2"/>
      <c r="LG483" s="2"/>
      <c r="LH483" s="2"/>
      <c r="LI483" s="2"/>
      <c r="LJ483" s="2"/>
      <c r="LK483" s="2"/>
      <c r="LL483" s="2"/>
      <c r="LM483" s="2"/>
      <c r="LN483" s="2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</row>
    <row r="484" spans="1:343">
      <c r="A484" s="1">
        <v>1847</v>
      </c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>
        <v>783000</v>
      </c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4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4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  <c r="JY484" s="2"/>
      <c r="JZ484" s="2"/>
      <c r="KA484" s="2"/>
      <c r="KB484" s="2"/>
      <c r="KC484" s="2"/>
      <c r="KD484" s="2"/>
      <c r="KE484" s="2"/>
      <c r="KF484" s="2"/>
      <c r="KG484" s="2"/>
      <c r="KH484" s="2"/>
      <c r="KI484" s="2"/>
      <c r="KJ484" s="2"/>
      <c r="KK484" s="2"/>
      <c r="KL484" s="2"/>
      <c r="KM484" s="2"/>
      <c r="KN484" s="2"/>
      <c r="KO484" s="2"/>
      <c r="KP484" s="2"/>
      <c r="KQ484" s="2"/>
      <c r="KR484" s="2"/>
      <c r="KS484" s="2"/>
      <c r="KT484" s="2"/>
      <c r="KU484" s="2"/>
      <c r="KV484" s="2"/>
      <c r="KW484" s="2"/>
      <c r="KX484" s="2"/>
      <c r="KY484" s="2"/>
      <c r="KZ484" s="2"/>
      <c r="LA484" s="2"/>
      <c r="LB484" s="2"/>
      <c r="LC484" s="2"/>
      <c r="LD484" s="2"/>
      <c r="LE484" s="2"/>
      <c r="LF484" s="2"/>
      <c r="LG484" s="2"/>
      <c r="LH484" s="2"/>
      <c r="LI484" s="2"/>
      <c r="LJ484" s="2"/>
      <c r="LK484" s="2"/>
      <c r="LL484" s="2"/>
      <c r="LM484" s="2"/>
      <c r="LN484" s="2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</row>
    <row r="485" spans="1:343">
      <c r="A485" s="1">
        <v>1848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>
        <v>785662.20000000007</v>
      </c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4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4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  <c r="JY485" s="2"/>
      <c r="JZ485" s="2"/>
      <c r="KA485" s="2"/>
      <c r="KB485" s="2"/>
      <c r="KC485" s="2"/>
      <c r="KD485" s="2"/>
      <c r="KE485" s="2"/>
      <c r="KF485" s="2"/>
      <c r="KG485" s="2"/>
      <c r="KH485" s="2"/>
      <c r="KI485" s="2"/>
      <c r="KJ485" s="2"/>
      <c r="KK485" s="2"/>
      <c r="KL485" s="2"/>
      <c r="KM485" s="2"/>
      <c r="KN485" s="2"/>
      <c r="KO485" s="2"/>
      <c r="KP485" s="2"/>
      <c r="KQ485" s="2"/>
      <c r="KR485" s="2"/>
      <c r="KS485" s="2"/>
      <c r="KT485" s="2"/>
      <c r="KU485" s="2"/>
      <c r="KV485" s="2"/>
      <c r="KW485" s="2"/>
      <c r="KX485" s="2"/>
      <c r="KY485" s="2"/>
      <c r="KZ485" s="2"/>
      <c r="LA485" s="2"/>
      <c r="LB485" s="2"/>
      <c r="LC485" s="2"/>
      <c r="LD485" s="2"/>
      <c r="LE485" s="2"/>
      <c r="LF485" s="2"/>
      <c r="LG485" s="2"/>
      <c r="LH485" s="2"/>
      <c r="LI485" s="2"/>
      <c r="LJ485" s="2"/>
      <c r="LK485" s="2"/>
      <c r="LL485" s="2"/>
      <c r="LM485" s="2"/>
      <c r="LN485" s="2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</row>
    <row r="486" spans="1:343">
      <c r="A486" s="1">
        <v>1849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>
        <v>788333.45148000016</v>
      </c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4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4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  <c r="JY486" s="2"/>
      <c r="JZ486" s="2"/>
      <c r="KA486" s="2"/>
      <c r="KB486" s="2"/>
      <c r="KC486" s="2"/>
      <c r="KD486" s="2"/>
      <c r="KE486" s="2"/>
      <c r="KF486" s="2"/>
      <c r="KG486" s="2"/>
      <c r="KH486" s="2"/>
      <c r="KI486" s="2"/>
      <c r="KJ486" s="2"/>
      <c r="KK486" s="2"/>
      <c r="KL486" s="2"/>
      <c r="KM486" s="2"/>
      <c r="KN486" s="2"/>
      <c r="KO486" s="2"/>
      <c r="KP486" s="2"/>
      <c r="KQ486" s="2"/>
      <c r="KR486" s="2"/>
      <c r="KS486" s="2"/>
      <c r="KT486" s="2"/>
      <c r="KU486" s="2"/>
      <c r="KV486" s="2"/>
      <c r="KW486" s="2"/>
      <c r="KX486" s="2"/>
      <c r="KY486" s="2"/>
      <c r="KZ486" s="2"/>
      <c r="LA486" s="2"/>
      <c r="LB486" s="2"/>
      <c r="LC486" s="2"/>
      <c r="LD486" s="2"/>
      <c r="LE486" s="2"/>
      <c r="LF486" s="2"/>
      <c r="LG486" s="2"/>
      <c r="LH486" s="2"/>
      <c r="LI486" s="2"/>
      <c r="LJ486" s="2"/>
      <c r="LK486" s="2"/>
      <c r="LL486" s="2"/>
      <c r="LM486" s="2"/>
      <c r="LN486" s="2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</row>
    <row r="487" spans="1:343">
      <c r="A487" s="1">
        <v>1850</v>
      </c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>
        <v>1137000</v>
      </c>
      <c r="AG487" s="1">
        <v>791013.78521503217</v>
      </c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4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4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  <c r="JY487" s="2"/>
      <c r="JZ487" s="2"/>
      <c r="KA487" s="2"/>
      <c r="KB487" s="2"/>
      <c r="KC487" s="2"/>
      <c r="KD487" s="2"/>
      <c r="KE487" s="2"/>
      <c r="KF487" s="2"/>
      <c r="KG487" s="2"/>
      <c r="KH487" s="2"/>
      <c r="KI487" s="2"/>
      <c r="KJ487" s="2"/>
      <c r="KK487" s="2"/>
      <c r="KL487" s="2"/>
      <c r="KM487" s="2"/>
      <c r="KN487" s="2"/>
      <c r="KO487" s="2"/>
      <c r="KP487" s="2"/>
      <c r="KQ487" s="2"/>
      <c r="KR487" s="2"/>
      <c r="KS487" s="2"/>
      <c r="KT487" s="2"/>
      <c r="KU487" s="2"/>
      <c r="KV487" s="2"/>
      <c r="KW487" s="2"/>
      <c r="KX487" s="2"/>
      <c r="KY487" s="2"/>
      <c r="KZ487" s="2"/>
      <c r="LA487" s="2"/>
      <c r="LB487" s="2"/>
      <c r="LC487" s="2"/>
      <c r="LD487" s="2"/>
      <c r="LE487" s="2"/>
      <c r="LF487" s="2"/>
      <c r="LG487" s="2"/>
      <c r="LH487" s="2"/>
      <c r="LI487" s="2"/>
      <c r="LJ487" s="2"/>
      <c r="LK487" s="2"/>
      <c r="LL487" s="2"/>
      <c r="LM487" s="2"/>
      <c r="LN487" s="2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</row>
    <row r="488" spans="1:343">
      <c r="A488" s="1">
        <v>1851</v>
      </c>
      <c r="B488" s="1">
        <v>36140872.100000001</v>
      </c>
      <c r="C488" s="1">
        <v>6224800</v>
      </c>
      <c r="D488" s="1"/>
      <c r="E488" s="1"/>
      <c r="F488" s="1"/>
      <c r="G488" s="1"/>
      <c r="H488" s="1"/>
      <c r="I488" s="1"/>
      <c r="J488" s="1"/>
      <c r="K488" s="1">
        <v>3291662</v>
      </c>
      <c r="L488" s="1"/>
      <c r="M488" s="1"/>
      <c r="N488" s="1"/>
      <c r="O488" s="1"/>
      <c r="P488" s="1"/>
      <c r="Q488" s="1"/>
      <c r="R488" s="1">
        <v>1371816</v>
      </c>
      <c r="S488" s="1"/>
      <c r="T488" s="1"/>
      <c r="U488" s="1">
        <v>7980258</v>
      </c>
      <c r="V488" s="1"/>
      <c r="W488" s="1"/>
      <c r="X488" s="1"/>
      <c r="Y488" s="1"/>
      <c r="Z488" s="1"/>
      <c r="AA488" s="1"/>
      <c r="AB488" s="1"/>
      <c r="AC488" s="1"/>
      <c r="AD488" s="1">
        <v>3045113.1</v>
      </c>
      <c r="AE488" s="1"/>
      <c r="AF488" s="1"/>
      <c r="AG488" s="1">
        <v>790956</v>
      </c>
      <c r="AH488" s="1">
        <v>6542911.2000000002</v>
      </c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>
        <v>4409257.6000000006</v>
      </c>
      <c r="AU488" s="1"/>
      <c r="AV488" s="1"/>
      <c r="AW488" s="1"/>
      <c r="AX488" s="1"/>
      <c r="AY488" s="1"/>
      <c r="AZ488" s="1"/>
      <c r="BA488" s="1"/>
      <c r="BB488" s="1"/>
      <c r="BC488" s="1">
        <v>2484098.1999999997</v>
      </c>
      <c r="BD488" s="1"/>
      <c r="BE488" s="1"/>
      <c r="BF488" s="1"/>
      <c r="BG488" s="1"/>
      <c r="BH488" s="1"/>
      <c r="BI488" s="4">
        <v>41084949.399999999</v>
      </c>
      <c r="BJ488" s="2">
        <v>6399520</v>
      </c>
      <c r="BK488" s="2"/>
      <c r="BL488" s="2"/>
      <c r="BM488" s="2"/>
      <c r="BN488" s="2"/>
      <c r="BO488" s="2"/>
      <c r="BP488" s="2"/>
      <c r="BQ488" s="2">
        <v>4165720.9999999995</v>
      </c>
      <c r="BR488" s="2"/>
      <c r="BS488" s="2"/>
      <c r="BT488" s="2"/>
      <c r="BU488" s="2"/>
      <c r="BV488" s="2"/>
      <c r="BW488" s="2">
        <v>1681574.6</v>
      </c>
      <c r="BX488" s="2"/>
      <c r="BY488" s="2"/>
      <c r="BZ488" s="2">
        <v>5113152</v>
      </c>
      <c r="CA488" s="2"/>
      <c r="CB488" s="2"/>
      <c r="CC488" s="2"/>
      <c r="CD488" s="2"/>
      <c r="CE488" s="2"/>
      <c r="CF488" s="2"/>
      <c r="CG488" s="2"/>
      <c r="CH488" s="2">
        <v>1842049</v>
      </c>
      <c r="CI488" s="2"/>
      <c r="CJ488" s="2"/>
      <c r="CK488" s="2"/>
      <c r="CL488" s="2">
        <v>4670105</v>
      </c>
      <c r="CM488" s="2"/>
      <c r="CN488" s="2"/>
      <c r="CO488" s="2"/>
      <c r="CP488" s="2"/>
      <c r="CQ488" s="2"/>
      <c r="CR488" s="2"/>
      <c r="CS488" s="2"/>
      <c r="CT488" s="2">
        <v>1730127.6</v>
      </c>
      <c r="CU488" s="2"/>
      <c r="CV488" s="2"/>
      <c r="CW488" s="2"/>
      <c r="CX488" s="2">
        <v>3220179.9</v>
      </c>
      <c r="CY488" s="2"/>
      <c r="CZ488" s="2"/>
      <c r="DA488" s="2"/>
      <c r="DB488" s="2"/>
      <c r="DC488" s="2"/>
      <c r="DD488" s="2"/>
      <c r="DE488" s="2">
        <v>3999669.0000000005</v>
      </c>
      <c r="DF488" s="2"/>
      <c r="DG488" s="2"/>
      <c r="DH488" s="2"/>
      <c r="DI488" s="2"/>
      <c r="DJ488" s="2"/>
      <c r="DK488" s="2"/>
      <c r="DL488" s="2">
        <v>2715444</v>
      </c>
      <c r="DM488" s="2"/>
      <c r="DN488" s="2"/>
      <c r="DO488" s="2"/>
      <c r="DP488" s="2"/>
      <c r="DQ488" s="2"/>
      <c r="DR488" s="2"/>
      <c r="DS488" s="2">
        <v>3698504</v>
      </c>
      <c r="DT488" s="2"/>
      <c r="DU488" s="2"/>
      <c r="DV488" s="2"/>
      <c r="DW488" s="2"/>
      <c r="DX488" s="2"/>
      <c r="DY488" s="2"/>
      <c r="DZ488" s="2"/>
      <c r="EA488" s="2"/>
      <c r="EB488" s="2">
        <v>703986.29999999993</v>
      </c>
      <c r="EC488" s="2"/>
      <c r="ED488" s="2"/>
      <c r="EE488" s="2">
        <v>501975.5</v>
      </c>
      <c r="EF488" s="2"/>
      <c r="EG488" s="2">
        <v>642941.5</v>
      </c>
      <c r="EH488" s="2"/>
      <c r="EI488" s="1">
        <v>30275677.799999997</v>
      </c>
      <c r="EJ488" s="1">
        <v>3618019.1999999997</v>
      </c>
      <c r="EK488" s="1"/>
      <c r="EL488" s="1"/>
      <c r="EM488" s="1"/>
      <c r="EN488" s="1"/>
      <c r="EO488" s="1"/>
      <c r="EP488" s="1"/>
      <c r="EQ488" s="1"/>
      <c r="ER488" s="1"/>
      <c r="ES488" s="1"/>
      <c r="ET488" s="1">
        <v>991112.5</v>
      </c>
      <c r="EU488" s="1"/>
      <c r="EV488" s="1"/>
      <c r="EW488" s="1"/>
      <c r="EX488" s="1"/>
      <c r="EY488" s="1"/>
      <c r="EZ488" s="1"/>
      <c r="FA488" s="1">
        <v>3089946.1</v>
      </c>
      <c r="FB488" s="1"/>
      <c r="FC488" s="1"/>
      <c r="FD488" s="1"/>
      <c r="FE488" s="1"/>
      <c r="FF488" s="1"/>
      <c r="FG488" s="1"/>
      <c r="FH488" s="1"/>
      <c r="FI488" s="1">
        <v>2906844.2</v>
      </c>
      <c r="FJ488" s="1"/>
      <c r="FK488" s="1"/>
      <c r="FL488" s="1"/>
      <c r="FM488" s="1"/>
      <c r="FN488" s="1"/>
      <c r="FO488" s="1"/>
      <c r="FP488" s="1"/>
      <c r="FQ488" s="1">
        <v>6362030.4000000004</v>
      </c>
      <c r="FR488" s="1"/>
      <c r="FS488" s="1"/>
      <c r="FT488" s="1"/>
      <c r="FU488" s="1"/>
      <c r="FV488" s="1"/>
      <c r="FW488" s="1"/>
      <c r="FX488" s="1"/>
      <c r="FY488" s="1"/>
      <c r="FZ488" s="1">
        <v>2640777.6</v>
      </c>
      <c r="GA488" s="1"/>
      <c r="GB488" s="1"/>
      <c r="GC488" s="1"/>
      <c r="GD488" s="1"/>
      <c r="GE488" s="1"/>
      <c r="GF488" s="1"/>
      <c r="GG488" s="1"/>
      <c r="GH488" s="1">
        <v>3000923.9999999995</v>
      </c>
      <c r="GI488" s="1"/>
      <c r="GJ488" s="1"/>
      <c r="GK488" s="1"/>
      <c r="GL488" s="1"/>
      <c r="GM488" s="1"/>
      <c r="GN488" s="1"/>
      <c r="GO488" s="1">
        <v>2976226.4000000004</v>
      </c>
      <c r="GP488" s="1"/>
      <c r="GQ488" s="1"/>
      <c r="GR488" s="1"/>
      <c r="GS488" s="1"/>
      <c r="GT488" s="1"/>
      <c r="GU488" s="1"/>
      <c r="GV488" s="1"/>
      <c r="GW488" s="1"/>
      <c r="GX488" s="1">
        <v>1204388.4000000001</v>
      </c>
      <c r="GY488" s="1"/>
      <c r="GZ488" s="1"/>
      <c r="HA488" s="1"/>
      <c r="HB488" s="1"/>
      <c r="HC488" s="1"/>
      <c r="HD488" s="1">
        <v>1252152</v>
      </c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>
        <v>2233257</v>
      </c>
      <c r="HP488" s="1"/>
      <c r="HQ488" s="1"/>
      <c r="HR488" s="1"/>
      <c r="HS488" s="1"/>
      <c r="HT488" s="1"/>
      <c r="HU488" s="1"/>
      <c r="HV488" s="1"/>
      <c r="HW488" s="4">
        <v>24194513.600000001</v>
      </c>
      <c r="HX488" s="1">
        <v>3857643.9999999995</v>
      </c>
      <c r="HY488" s="2"/>
      <c r="HZ488" s="2"/>
      <c r="IA488" s="2"/>
      <c r="IB488" s="2"/>
      <c r="IC488" s="2"/>
      <c r="ID488" s="2"/>
      <c r="IE488" s="2"/>
      <c r="IF488" s="2"/>
      <c r="IG488" s="2"/>
      <c r="IH488" s="1">
        <v>1041331</v>
      </c>
      <c r="II488" s="2"/>
      <c r="IJ488" s="2"/>
      <c r="IK488" s="2"/>
      <c r="IL488" s="1">
        <v>1309740</v>
      </c>
      <c r="IM488" s="2"/>
      <c r="IN488" s="2"/>
      <c r="IO488" s="2"/>
      <c r="IP488" s="2"/>
      <c r="IQ488" s="2"/>
      <c r="IR488" s="1">
        <v>1100086.2</v>
      </c>
      <c r="IS488" s="2"/>
      <c r="IT488" s="2"/>
      <c r="IU488" s="2"/>
      <c r="IV488" s="2"/>
      <c r="IW488" s="1">
        <v>2063988.0000000002</v>
      </c>
      <c r="IX488" s="2"/>
      <c r="IY488" s="2"/>
      <c r="IZ488" s="2"/>
      <c r="JA488" s="2"/>
      <c r="JB488" s="2"/>
      <c r="JC488" s="2"/>
      <c r="JD488" s="2"/>
      <c r="JE488" s="1">
        <v>1746576</v>
      </c>
      <c r="JF488" s="2"/>
      <c r="JG488" s="2"/>
      <c r="JH488" s="2"/>
      <c r="JI488" s="2"/>
      <c r="JJ488" s="2"/>
      <c r="JK488" s="2"/>
      <c r="JL488" s="2"/>
      <c r="JM488" s="1">
        <v>1426994.1</v>
      </c>
      <c r="JN488" s="2"/>
      <c r="JO488" s="2"/>
      <c r="JP488" s="2"/>
      <c r="JQ488" s="2"/>
      <c r="JR488" s="2"/>
      <c r="JS488" s="1">
        <v>1628385</v>
      </c>
      <c r="JT488" s="2"/>
      <c r="JU488" s="2"/>
      <c r="JV488" s="2"/>
      <c r="JW488" s="2"/>
      <c r="JX488" s="2"/>
      <c r="JY488" s="2"/>
      <c r="JZ488" s="1">
        <v>3473825</v>
      </c>
      <c r="KA488" s="2"/>
      <c r="KB488" s="2"/>
      <c r="KC488" s="2"/>
      <c r="KD488" s="2"/>
      <c r="KE488" s="2"/>
      <c r="KF488" s="2"/>
      <c r="KG488" s="2"/>
      <c r="KH488" s="2"/>
      <c r="KI488" s="2"/>
      <c r="KJ488" s="2"/>
      <c r="KK488" s="1">
        <v>1326170</v>
      </c>
      <c r="KL488" s="2"/>
      <c r="KM488" s="2"/>
      <c r="KN488" s="2"/>
      <c r="KO488" s="2"/>
      <c r="KP488" s="1">
        <v>816316.20000000007</v>
      </c>
      <c r="KQ488" s="2"/>
      <c r="KR488" s="2"/>
      <c r="KS488" s="2"/>
      <c r="KT488" s="2"/>
      <c r="KU488" s="2"/>
      <c r="KV488" s="1">
        <v>2708592</v>
      </c>
      <c r="KW488" s="2"/>
      <c r="KX488" s="2"/>
      <c r="KY488" s="2"/>
      <c r="KZ488" s="2"/>
      <c r="LA488" s="2"/>
      <c r="LB488" s="2"/>
      <c r="LC488" s="2"/>
      <c r="LD488" s="2"/>
      <c r="LE488" s="2"/>
      <c r="LF488" s="2"/>
      <c r="LG488" s="1">
        <v>910921.6</v>
      </c>
      <c r="LH488" s="2"/>
      <c r="LI488" s="2"/>
      <c r="LJ488" s="1">
        <v>783944.5</v>
      </c>
      <c r="LK488" s="2"/>
      <c r="LL488" s="2"/>
      <c r="LM488" s="2"/>
      <c r="LN488" s="2"/>
      <c r="LO488" s="1">
        <v>4885960.3000000007</v>
      </c>
      <c r="LP488" s="1">
        <v>1971071.9000000001</v>
      </c>
      <c r="LQ488" s="1"/>
      <c r="LR488" s="1"/>
      <c r="LS488" s="1"/>
      <c r="LT488" s="1"/>
      <c r="LU488" s="1">
        <v>2914888.4000000004</v>
      </c>
      <c r="LV488" s="1"/>
      <c r="LW488" s="1"/>
      <c r="LX488" s="1"/>
      <c r="LY488" s="1"/>
      <c r="LZ488" s="1"/>
      <c r="MA488" s="1"/>
      <c r="MB488" s="1"/>
      <c r="MC488" s="1"/>
      <c r="MD488" s="1"/>
      <c r="ME488" s="1"/>
    </row>
    <row r="489" spans="1:343">
      <c r="A489" s="1">
        <v>1852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>
        <v>793645.25040000002</v>
      </c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4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4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  <c r="JY489" s="2"/>
      <c r="JZ489" s="2"/>
      <c r="KA489" s="2"/>
      <c r="KB489" s="2"/>
      <c r="KC489" s="2"/>
      <c r="KD489" s="2"/>
      <c r="KE489" s="2"/>
      <c r="KF489" s="2"/>
      <c r="KG489" s="2"/>
      <c r="KH489" s="2"/>
      <c r="KI489" s="2"/>
      <c r="KJ489" s="2"/>
      <c r="KK489" s="2"/>
      <c r="KL489" s="2"/>
      <c r="KM489" s="2"/>
      <c r="KN489" s="2"/>
      <c r="KO489" s="2"/>
      <c r="KP489" s="2"/>
      <c r="KQ489" s="2"/>
      <c r="KR489" s="2"/>
      <c r="KS489" s="2"/>
      <c r="KT489" s="2"/>
      <c r="KU489" s="2"/>
      <c r="KV489" s="2"/>
      <c r="KW489" s="2"/>
      <c r="KX489" s="2"/>
      <c r="KY489" s="2"/>
      <c r="KZ489" s="2"/>
      <c r="LA489" s="2"/>
      <c r="LB489" s="2"/>
      <c r="LC489" s="2"/>
      <c r="LD489" s="2"/>
      <c r="LE489" s="2"/>
      <c r="LF489" s="2"/>
      <c r="LG489" s="2"/>
      <c r="LH489" s="2"/>
      <c r="LI489" s="2"/>
      <c r="LJ489" s="2"/>
      <c r="LK489" s="2"/>
      <c r="LL489" s="2"/>
      <c r="LM489" s="2"/>
      <c r="LN489" s="2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</row>
    <row r="490" spans="1:343">
      <c r="A490" s="1">
        <v>1853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>
        <v>796343.64425136009</v>
      </c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4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4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  <c r="JY490" s="2"/>
      <c r="JZ490" s="2"/>
      <c r="KA490" s="2"/>
      <c r="KB490" s="2"/>
      <c r="KC490" s="2"/>
      <c r="KD490" s="2"/>
      <c r="KE490" s="2"/>
      <c r="KF490" s="2"/>
      <c r="KG490" s="2"/>
      <c r="KH490" s="2"/>
      <c r="KI490" s="2"/>
      <c r="KJ490" s="2"/>
      <c r="KK490" s="2"/>
      <c r="KL490" s="2"/>
      <c r="KM490" s="2"/>
      <c r="KN490" s="2"/>
      <c r="KO490" s="2"/>
      <c r="KP490" s="2"/>
      <c r="KQ490" s="2"/>
      <c r="KR490" s="2"/>
      <c r="KS490" s="2"/>
      <c r="KT490" s="2"/>
      <c r="KU490" s="2"/>
      <c r="KV490" s="2"/>
      <c r="KW490" s="2"/>
      <c r="KX490" s="2"/>
      <c r="KY490" s="2"/>
      <c r="KZ490" s="2"/>
      <c r="LA490" s="2"/>
      <c r="LB490" s="2"/>
      <c r="LC490" s="2"/>
      <c r="LD490" s="2"/>
      <c r="LE490" s="2"/>
      <c r="LF490" s="2"/>
      <c r="LG490" s="2"/>
      <c r="LH490" s="2"/>
      <c r="LI490" s="2"/>
      <c r="LJ490" s="2"/>
      <c r="LK490" s="2"/>
      <c r="LL490" s="2"/>
      <c r="LM490" s="2"/>
      <c r="LN490" s="2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</row>
    <row r="491" spans="1:343">
      <c r="A491" s="1">
        <v>1854</v>
      </c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>
        <v>799051.21264181472</v>
      </c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4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4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  <c r="JY491" s="2"/>
      <c r="JZ491" s="2"/>
      <c r="KA491" s="2"/>
      <c r="KB491" s="2"/>
      <c r="KC491" s="2"/>
      <c r="KD491" s="2"/>
      <c r="KE491" s="2"/>
      <c r="KF491" s="2"/>
      <c r="KG491" s="2"/>
      <c r="KH491" s="2"/>
      <c r="KI491" s="2"/>
      <c r="KJ491" s="2"/>
      <c r="KK491" s="2"/>
      <c r="KL491" s="2"/>
      <c r="KM491" s="2"/>
      <c r="KN491" s="2"/>
      <c r="KO491" s="2"/>
      <c r="KP491" s="2"/>
      <c r="KQ491" s="2"/>
      <c r="KR491" s="2"/>
      <c r="KS491" s="2"/>
      <c r="KT491" s="2"/>
      <c r="KU491" s="2"/>
      <c r="KV491" s="2"/>
      <c r="KW491" s="2"/>
      <c r="KX491" s="2"/>
      <c r="KY491" s="2"/>
      <c r="KZ491" s="2"/>
      <c r="LA491" s="2"/>
      <c r="LB491" s="2"/>
      <c r="LC491" s="2"/>
      <c r="LD491" s="2"/>
      <c r="LE491" s="2"/>
      <c r="LF491" s="2"/>
      <c r="LG491" s="2"/>
      <c r="LH491" s="2"/>
      <c r="LI491" s="2"/>
      <c r="LJ491" s="2"/>
      <c r="LK491" s="2"/>
      <c r="LL491" s="2"/>
      <c r="LM491" s="2"/>
      <c r="LN491" s="2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</row>
    <row r="492" spans="1:343">
      <c r="A492" s="1">
        <v>1855</v>
      </c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>
        <v>801767.98676479689</v>
      </c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4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4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  <c r="JY492" s="2"/>
      <c r="JZ492" s="2"/>
      <c r="KA492" s="2"/>
      <c r="KB492" s="2"/>
      <c r="KC492" s="2"/>
      <c r="KD492" s="2"/>
      <c r="KE492" s="2"/>
      <c r="KF492" s="2"/>
      <c r="KG492" s="2"/>
      <c r="KH492" s="2"/>
      <c r="KI492" s="2"/>
      <c r="KJ492" s="2"/>
      <c r="KK492" s="2"/>
      <c r="KL492" s="2"/>
      <c r="KM492" s="2"/>
      <c r="KN492" s="2"/>
      <c r="KO492" s="2"/>
      <c r="KP492" s="2"/>
      <c r="KQ492" s="2"/>
      <c r="KR492" s="2"/>
      <c r="KS492" s="2"/>
      <c r="KT492" s="2"/>
      <c r="KU492" s="2"/>
      <c r="KV492" s="2"/>
      <c r="KW492" s="2"/>
      <c r="KX492" s="2"/>
      <c r="KY492" s="2"/>
      <c r="KZ492" s="2"/>
      <c r="LA492" s="2"/>
      <c r="LB492" s="2"/>
      <c r="LC492" s="2"/>
      <c r="LD492" s="2"/>
      <c r="LE492" s="2"/>
      <c r="LF492" s="2"/>
      <c r="LG492" s="2"/>
      <c r="LH492" s="2"/>
      <c r="LI492" s="2"/>
      <c r="LJ492" s="2"/>
      <c r="LK492" s="2"/>
      <c r="LL492" s="2"/>
      <c r="LM492" s="2"/>
      <c r="LN492" s="2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</row>
    <row r="493" spans="1:343">
      <c r="A493" s="1">
        <v>1856</v>
      </c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>
        <v>804493.99791979732</v>
      </c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4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4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  <c r="JY493" s="2"/>
      <c r="JZ493" s="2"/>
      <c r="KA493" s="2"/>
      <c r="KB493" s="2"/>
      <c r="KC493" s="2"/>
      <c r="KD493" s="2"/>
      <c r="KE493" s="2"/>
      <c r="KF493" s="2"/>
      <c r="KG493" s="2"/>
      <c r="KH493" s="2"/>
      <c r="KI493" s="2"/>
      <c r="KJ493" s="2"/>
      <c r="KK493" s="2"/>
      <c r="KL493" s="2"/>
      <c r="KM493" s="2"/>
      <c r="KN493" s="2"/>
      <c r="KO493" s="2"/>
      <c r="KP493" s="2"/>
      <c r="KQ493" s="2"/>
      <c r="KR493" s="2"/>
      <c r="KS493" s="2"/>
      <c r="KT493" s="2"/>
      <c r="KU493" s="2"/>
      <c r="KV493" s="2"/>
      <c r="KW493" s="2"/>
      <c r="KX493" s="2"/>
      <c r="KY493" s="2"/>
      <c r="KZ493" s="2"/>
      <c r="LA493" s="2"/>
      <c r="LB493" s="2"/>
      <c r="LC493" s="2"/>
      <c r="LD493" s="2"/>
      <c r="LE493" s="2"/>
      <c r="LF493" s="2"/>
      <c r="LG493" s="2"/>
      <c r="LH493" s="2"/>
      <c r="LI493" s="2"/>
      <c r="LJ493" s="2"/>
      <c r="LK493" s="2"/>
      <c r="LL493" s="2"/>
      <c r="LM493" s="2"/>
      <c r="LN493" s="2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</row>
    <row r="494" spans="1:343">
      <c r="A494" s="1">
        <v>1857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>
        <v>807229.27751272463</v>
      </c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4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4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  <c r="JY494" s="2"/>
      <c r="JZ494" s="2"/>
      <c r="KA494" s="2"/>
      <c r="KB494" s="2"/>
      <c r="KC494" s="2"/>
      <c r="KD494" s="2"/>
      <c r="KE494" s="2"/>
      <c r="KF494" s="2"/>
      <c r="KG494" s="2"/>
      <c r="KH494" s="2"/>
      <c r="KI494" s="2"/>
      <c r="KJ494" s="2"/>
      <c r="KK494" s="2"/>
      <c r="KL494" s="2"/>
      <c r="KM494" s="2"/>
      <c r="KN494" s="2"/>
      <c r="KO494" s="2"/>
      <c r="KP494" s="2"/>
      <c r="KQ494" s="2"/>
      <c r="KR494" s="2"/>
      <c r="KS494" s="2"/>
      <c r="KT494" s="2"/>
      <c r="KU494" s="2"/>
      <c r="KV494" s="2"/>
      <c r="KW494" s="2"/>
      <c r="KX494" s="2"/>
      <c r="KY494" s="2"/>
      <c r="KZ494" s="2"/>
      <c r="LA494" s="2"/>
      <c r="LB494" s="2"/>
      <c r="LC494" s="2"/>
      <c r="LD494" s="2"/>
      <c r="LE494" s="2"/>
      <c r="LF494" s="2"/>
      <c r="LG494" s="2"/>
      <c r="LH494" s="2"/>
      <c r="LI494" s="2"/>
      <c r="LJ494" s="2"/>
      <c r="LK494" s="2"/>
      <c r="LL494" s="2"/>
      <c r="LM494" s="2"/>
      <c r="LN494" s="2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</row>
    <row r="495" spans="1:343">
      <c r="A495" s="1">
        <v>1858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>
        <v>809973.85705626791</v>
      </c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4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4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  <c r="JY495" s="2"/>
      <c r="JZ495" s="2"/>
      <c r="KA495" s="2"/>
      <c r="KB495" s="2"/>
      <c r="KC495" s="2"/>
      <c r="KD495" s="2"/>
      <c r="KE495" s="2"/>
      <c r="KF495" s="2"/>
      <c r="KG495" s="2"/>
      <c r="KH495" s="2"/>
      <c r="KI495" s="2"/>
      <c r="KJ495" s="2"/>
      <c r="KK495" s="2"/>
      <c r="KL495" s="2"/>
      <c r="KM495" s="2"/>
      <c r="KN495" s="2"/>
      <c r="KO495" s="2"/>
      <c r="KP495" s="2"/>
      <c r="KQ495" s="2"/>
      <c r="KR495" s="2"/>
      <c r="KS495" s="2"/>
      <c r="KT495" s="2"/>
      <c r="KU495" s="2"/>
      <c r="KV495" s="2"/>
      <c r="KW495" s="2"/>
      <c r="KX495" s="2"/>
      <c r="KY495" s="2"/>
      <c r="KZ495" s="2"/>
      <c r="LA495" s="2"/>
      <c r="LB495" s="2"/>
      <c r="LC495" s="2"/>
      <c r="LD495" s="2"/>
      <c r="LE495" s="2"/>
      <c r="LF495" s="2"/>
      <c r="LG495" s="2"/>
      <c r="LH495" s="2"/>
      <c r="LI495" s="2"/>
      <c r="LJ495" s="2"/>
      <c r="LK495" s="2"/>
      <c r="LL495" s="2"/>
      <c r="LM495" s="2"/>
      <c r="LN495" s="2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</row>
    <row r="496" spans="1:343">
      <c r="A496" s="1">
        <v>1859</v>
      </c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>
        <v>812727.76817025931</v>
      </c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4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4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  <c r="JY496" s="2"/>
      <c r="JZ496" s="2"/>
      <c r="KA496" s="2"/>
      <c r="KB496" s="2"/>
      <c r="KC496" s="2"/>
      <c r="KD496" s="2"/>
      <c r="KE496" s="2"/>
      <c r="KF496" s="2"/>
      <c r="KG496" s="2"/>
      <c r="KH496" s="2"/>
      <c r="KI496" s="2"/>
      <c r="KJ496" s="2"/>
      <c r="KK496" s="2"/>
      <c r="KL496" s="2"/>
      <c r="KM496" s="2"/>
      <c r="KN496" s="2"/>
      <c r="KO496" s="2"/>
      <c r="KP496" s="2"/>
      <c r="KQ496" s="2"/>
      <c r="KR496" s="2"/>
      <c r="KS496" s="2"/>
      <c r="KT496" s="2"/>
      <c r="KU496" s="2"/>
      <c r="KV496" s="2"/>
      <c r="KW496" s="2"/>
      <c r="KX496" s="2"/>
      <c r="KY496" s="2"/>
      <c r="KZ496" s="2"/>
      <c r="LA496" s="2"/>
      <c r="LB496" s="2"/>
      <c r="LC496" s="2"/>
      <c r="LD496" s="2"/>
      <c r="LE496" s="2"/>
      <c r="LF496" s="2"/>
      <c r="LG496" s="2"/>
      <c r="LH496" s="2"/>
      <c r="LI496" s="2"/>
      <c r="LJ496" s="2"/>
      <c r="LK496" s="2"/>
      <c r="LL496" s="2"/>
      <c r="LM496" s="2"/>
      <c r="LN496" s="2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</row>
    <row r="497" spans="1:343">
      <c r="A497" s="1">
        <v>1860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>
        <v>815491.04258203821</v>
      </c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4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4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  <c r="JY497" s="2"/>
      <c r="JZ497" s="2"/>
      <c r="KA497" s="2"/>
      <c r="KB497" s="2"/>
      <c r="KC497" s="2"/>
      <c r="KD497" s="2"/>
      <c r="KE497" s="2"/>
      <c r="KF497" s="2"/>
      <c r="KG497" s="2"/>
      <c r="KH497" s="2"/>
      <c r="KI497" s="2"/>
      <c r="KJ497" s="2"/>
      <c r="KK497" s="2"/>
      <c r="KL497" s="2"/>
      <c r="KM497" s="2"/>
      <c r="KN497" s="2"/>
      <c r="KO497" s="2"/>
      <c r="KP497" s="2"/>
      <c r="KQ497" s="2"/>
      <c r="KR497" s="2"/>
      <c r="KS497" s="2"/>
      <c r="KT497" s="2"/>
      <c r="KU497" s="2"/>
      <c r="KV497" s="2"/>
      <c r="KW497" s="2"/>
      <c r="KX497" s="2"/>
      <c r="KY497" s="2"/>
      <c r="KZ497" s="2"/>
      <c r="LA497" s="2"/>
      <c r="LB497" s="2"/>
      <c r="LC497" s="2"/>
      <c r="LD497" s="2"/>
      <c r="LE497" s="2"/>
      <c r="LF497" s="2"/>
      <c r="LG497" s="2"/>
      <c r="LH497" s="2"/>
      <c r="LI497" s="2"/>
      <c r="LJ497" s="2"/>
      <c r="LK497" s="2"/>
      <c r="LL497" s="2"/>
      <c r="LM497" s="2"/>
      <c r="LN497" s="2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</row>
    <row r="498" spans="1:343">
      <c r="A498" s="1">
        <v>1861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>
        <v>818263.7121268172</v>
      </c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4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4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  <c r="JY498" s="2"/>
      <c r="JZ498" s="2"/>
      <c r="KA498" s="2"/>
      <c r="KB498" s="2"/>
      <c r="KC498" s="2"/>
      <c r="KD498" s="2"/>
      <c r="KE498" s="2"/>
      <c r="KF498" s="2"/>
      <c r="KG498" s="2"/>
      <c r="KH498" s="2"/>
      <c r="KI498" s="2"/>
      <c r="KJ498" s="2"/>
      <c r="KK498" s="2"/>
      <c r="KL498" s="2"/>
      <c r="KM498" s="2"/>
      <c r="KN498" s="2"/>
      <c r="KO498" s="2"/>
      <c r="KP498" s="2"/>
      <c r="KQ498" s="2"/>
      <c r="KR498" s="2"/>
      <c r="KS498" s="2"/>
      <c r="KT498" s="2"/>
      <c r="KU498" s="2"/>
      <c r="KV498" s="2"/>
      <c r="KW498" s="2"/>
      <c r="KX498" s="2"/>
      <c r="KY498" s="2"/>
      <c r="KZ498" s="2"/>
      <c r="LA498" s="2"/>
      <c r="LB498" s="2"/>
      <c r="LC498" s="2"/>
      <c r="LD498" s="2"/>
      <c r="LE498" s="2"/>
      <c r="LF498" s="2"/>
      <c r="LG498" s="2"/>
      <c r="LH498" s="2"/>
      <c r="LI498" s="2"/>
      <c r="LJ498" s="2"/>
      <c r="LK498" s="2"/>
      <c r="LL498" s="2"/>
      <c r="LM498" s="2"/>
      <c r="LN498" s="2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</row>
    <row r="499" spans="1:343">
      <c r="A499" s="1">
        <v>1862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>
        <v>821045.8087480485</v>
      </c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4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4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  <c r="JY499" s="2"/>
      <c r="JZ499" s="2"/>
      <c r="KA499" s="2"/>
      <c r="KB499" s="2"/>
      <c r="KC499" s="2"/>
      <c r="KD499" s="2"/>
      <c r="KE499" s="2"/>
      <c r="KF499" s="2"/>
      <c r="KG499" s="2"/>
      <c r="KH499" s="2"/>
      <c r="KI499" s="2"/>
      <c r="KJ499" s="2"/>
      <c r="KK499" s="2"/>
      <c r="KL499" s="2"/>
      <c r="KM499" s="2"/>
      <c r="KN499" s="2"/>
      <c r="KO499" s="2"/>
      <c r="KP499" s="2"/>
      <c r="KQ499" s="2"/>
      <c r="KR499" s="2"/>
      <c r="KS499" s="2"/>
      <c r="KT499" s="2"/>
      <c r="KU499" s="2"/>
      <c r="KV499" s="2"/>
      <c r="KW499" s="2"/>
      <c r="KX499" s="2"/>
      <c r="KY499" s="2"/>
      <c r="KZ499" s="2"/>
      <c r="LA499" s="2"/>
      <c r="LB499" s="2"/>
      <c r="LC499" s="2"/>
      <c r="LD499" s="2"/>
      <c r="LE499" s="2"/>
      <c r="LF499" s="2"/>
      <c r="LG499" s="2"/>
      <c r="LH499" s="2"/>
      <c r="LI499" s="2"/>
      <c r="LJ499" s="2"/>
      <c r="LK499" s="2"/>
      <c r="LL499" s="2"/>
      <c r="LM499" s="2"/>
      <c r="LN499" s="2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</row>
    <row r="500" spans="1:343">
      <c r="A500" s="1">
        <v>1863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>
        <v>823837.36449779198</v>
      </c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4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4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  <c r="JY500" s="2"/>
      <c r="JZ500" s="2"/>
      <c r="KA500" s="2"/>
      <c r="KB500" s="2"/>
      <c r="KC500" s="2"/>
      <c r="KD500" s="2"/>
      <c r="KE500" s="2"/>
      <c r="KF500" s="2"/>
      <c r="KG500" s="2"/>
      <c r="KH500" s="2"/>
      <c r="KI500" s="2"/>
      <c r="KJ500" s="2"/>
      <c r="KK500" s="2"/>
      <c r="KL500" s="2"/>
      <c r="KM500" s="2"/>
      <c r="KN500" s="2"/>
      <c r="KO500" s="2"/>
      <c r="KP500" s="2"/>
      <c r="KQ500" s="2"/>
      <c r="KR500" s="2"/>
      <c r="KS500" s="2"/>
      <c r="KT500" s="2"/>
      <c r="KU500" s="2"/>
      <c r="KV500" s="2"/>
      <c r="KW500" s="2"/>
      <c r="KX500" s="2"/>
      <c r="KY500" s="2"/>
      <c r="KZ500" s="2"/>
      <c r="LA500" s="2"/>
      <c r="LB500" s="2"/>
      <c r="LC500" s="2"/>
      <c r="LD500" s="2"/>
      <c r="LE500" s="2"/>
      <c r="LF500" s="2"/>
      <c r="LG500" s="2"/>
      <c r="LH500" s="2"/>
      <c r="LI500" s="2"/>
      <c r="LJ500" s="2"/>
      <c r="LK500" s="2"/>
      <c r="LL500" s="2"/>
      <c r="LM500" s="2"/>
      <c r="LN500" s="2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</row>
    <row r="501" spans="1:343">
      <c r="A501" s="1">
        <v>1864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>
        <v>826638.4115370845</v>
      </c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4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4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  <c r="JY501" s="2"/>
      <c r="JZ501" s="2"/>
      <c r="KA501" s="2"/>
      <c r="KB501" s="2"/>
      <c r="KC501" s="2"/>
      <c r="KD501" s="2"/>
      <c r="KE501" s="2"/>
      <c r="KF501" s="2"/>
      <c r="KG501" s="2"/>
      <c r="KH501" s="2"/>
      <c r="KI501" s="2"/>
      <c r="KJ501" s="2"/>
      <c r="KK501" s="2"/>
      <c r="KL501" s="2"/>
      <c r="KM501" s="2"/>
      <c r="KN501" s="2"/>
      <c r="KO501" s="2"/>
      <c r="KP501" s="2"/>
      <c r="KQ501" s="2"/>
      <c r="KR501" s="2"/>
      <c r="KS501" s="2"/>
      <c r="KT501" s="2"/>
      <c r="KU501" s="2"/>
      <c r="KV501" s="2"/>
      <c r="KW501" s="2"/>
      <c r="KX501" s="2"/>
      <c r="KY501" s="2"/>
      <c r="KZ501" s="2"/>
      <c r="LA501" s="2"/>
      <c r="LB501" s="2"/>
      <c r="LC501" s="2"/>
      <c r="LD501" s="2"/>
      <c r="LE501" s="2"/>
      <c r="LF501" s="2"/>
      <c r="LG501" s="2"/>
      <c r="LH501" s="2"/>
      <c r="LI501" s="2"/>
      <c r="LJ501" s="2"/>
      <c r="LK501" s="2"/>
      <c r="LL501" s="2"/>
      <c r="LM501" s="2"/>
      <c r="LN501" s="2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</row>
    <row r="502" spans="1:343">
      <c r="A502" s="1">
        <v>1865</v>
      </c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>
        <v>1172000</v>
      </c>
      <c r="AG502" s="1">
        <v>829448.98213631066</v>
      </c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4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4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  <c r="JY502" s="2"/>
      <c r="JZ502" s="2"/>
      <c r="KA502" s="2"/>
      <c r="KB502" s="2"/>
      <c r="KC502" s="2"/>
      <c r="KD502" s="2"/>
      <c r="KE502" s="2"/>
      <c r="KF502" s="2"/>
      <c r="KG502" s="2"/>
      <c r="KH502" s="2"/>
      <c r="KI502" s="2"/>
      <c r="KJ502" s="2"/>
      <c r="KK502" s="2"/>
      <c r="KL502" s="2"/>
      <c r="KM502" s="2"/>
      <c r="KN502" s="2"/>
      <c r="KO502" s="2"/>
      <c r="KP502" s="2"/>
      <c r="KQ502" s="2"/>
      <c r="KR502" s="2"/>
      <c r="KS502" s="2"/>
      <c r="KT502" s="2"/>
      <c r="KU502" s="2"/>
      <c r="KV502" s="2"/>
      <c r="KW502" s="2"/>
      <c r="KX502" s="2"/>
      <c r="KY502" s="2"/>
      <c r="KZ502" s="2"/>
      <c r="LA502" s="2"/>
      <c r="LB502" s="2"/>
      <c r="LC502" s="2"/>
      <c r="LD502" s="2"/>
      <c r="LE502" s="2"/>
      <c r="LF502" s="2"/>
      <c r="LG502" s="2"/>
      <c r="LH502" s="2"/>
      <c r="LI502" s="2"/>
      <c r="LJ502" s="2"/>
      <c r="LK502" s="2"/>
      <c r="LL502" s="2"/>
      <c r="LM502" s="2"/>
      <c r="LN502" s="2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</row>
    <row r="503" spans="1:343">
      <c r="A503" s="1">
        <v>1866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>
        <v>1174344</v>
      </c>
      <c r="AG503" s="1">
        <v>832269.10867557419</v>
      </c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4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4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  <c r="JY503" s="2"/>
      <c r="JZ503" s="2"/>
      <c r="KA503" s="2"/>
      <c r="KB503" s="2"/>
      <c r="KC503" s="2"/>
      <c r="KD503" s="2"/>
      <c r="KE503" s="2"/>
      <c r="KF503" s="2"/>
      <c r="KG503" s="2"/>
      <c r="KH503" s="2"/>
      <c r="KI503" s="2"/>
      <c r="KJ503" s="2"/>
      <c r="KK503" s="2"/>
      <c r="KL503" s="2"/>
      <c r="KM503" s="2"/>
      <c r="KN503" s="2"/>
      <c r="KO503" s="2"/>
      <c r="KP503" s="2"/>
      <c r="KQ503" s="2"/>
      <c r="KR503" s="2"/>
      <c r="KS503" s="2"/>
      <c r="KT503" s="2"/>
      <c r="KU503" s="2"/>
      <c r="KV503" s="2"/>
      <c r="KW503" s="2"/>
      <c r="KX503" s="2"/>
      <c r="KY503" s="2"/>
      <c r="KZ503" s="2"/>
      <c r="LA503" s="2"/>
      <c r="LB503" s="2"/>
      <c r="LC503" s="2"/>
      <c r="LD503" s="2"/>
      <c r="LE503" s="2"/>
      <c r="LF503" s="2"/>
      <c r="LG503" s="2"/>
      <c r="LH503" s="2"/>
      <c r="LI503" s="2"/>
      <c r="LJ503" s="2"/>
      <c r="LK503" s="2"/>
      <c r="LL503" s="2"/>
      <c r="LM503" s="2"/>
      <c r="LN503" s="2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</row>
    <row r="504" spans="1:343">
      <c r="A504" s="1">
        <v>1867</v>
      </c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>
        <v>1176692.6880000001</v>
      </c>
      <c r="AG504" s="1">
        <v>835098.82364507124</v>
      </c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4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4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  <c r="JY504" s="2"/>
      <c r="JZ504" s="2"/>
      <c r="KA504" s="2"/>
      <c r="KB504" s="2"/>
      <c r="KC504" s="2"/>
      <c r="KD504" s="2"/>
      <c r="KE504" s="2"/>
      <c r="KF504" s="2"/>
      <c r="KG504" s="2"/>
      <c r="KH504" s="2"/>
      <c r="KI504" s="2"/>
      <c r="KJ504" s="2"/>
      <c r="KK504" s="2"/>
      <c r="KL504" s="2"/>
      <c r="KM504" s="2"/>
      <c r="KN504" s="2"/>
      <c r="KO504" s="2"/>
      <c r="KP504" s="2"/>
      <c r="KQ504" s="2"/>
      <c r="KR504" s="2"/>
      <c r="KS504" s="2"/>
      <c r="KT504" s="2"/>
      <c r="KU504" s="2"/>
      <c r="KV504" s="2"/>
      <c r="KW504" s="2"/>
      <c r="KX504" s="2"/>
      <c r="KY504" s="2"/>
      <c r="KZ504" s="2"/>
      <c r="LA504" s="2"/>
      <c r="LB504" s="2"/>
      <c r="LC504" s="2"/>
      <c r="LD504" s="2"/>
      <c r="LE504" s="2"/>
      <c r="LF504" s="2"/>
      <c r="LG504" s="2"/>
      <c r="LH504" s="2"/>
      <c r="LI504" s="2"/>
      <c r="LJ504" s="2"/>
      <c r="LK504" s="2"/>
      <c r="LL504" s="2"/>
      <c r="LM504" s="2"/>
      <c r="LN504" s="2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</row>
    <row r="505" spans="1:343">
      <c r="A505" s="1">
        <v>1868</v>
      </c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>
        <v>1179046.0733760002</v>
      </c>
      <c r="AG505" s="1">
        <v>837938.1596454645</v>
      </c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4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4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  <c r="JY505" s="2"/>
      <c r="JZ505" s="2"/>
      <c r="KA505" s="2"/>
      <c r="KB505" s="2"/>
      <c r="KC505" s="2"/>
      <c r="KD505" s="2"/>
      <c r="KE505" s="2"/>
      <c r="KF505" s="2"/>
      <c r="KG505" s="2"/>
      <c r="KH505" s="2"/>
      <c r="KI505" s="2"/>
      <c r="KJ505" s="2"/>
      <c r="KK505" s="2"/>
      <c r="KL505" s="2"/>
      <c r="KM505" s="2"/>
      <c r="KN505" s="2"/>
      <c r="KO505" s="2"/>
      <c r="KP505" s="2"/>
      <c r="KQ505" s="2"/>
      <c r="KR505" s="2"/>
      <c r="KS505" s="2"/>
      <c r="KT505" s="2"/>
      <c r="KU505" s="2"/>
      <c r="KV505" s="2"/>
      <c r="KW505" s="2"/>
      <c r="KX505" s="2"/>
      <c r="KY505" s="2"/>
      <c r="KZ505" s="2"/>
      <c r="LA505" s="2"/>
      <c r="LB505" s="2"/>
      <c r="LC505" s="2"/>
      <c r="LD505" s="2"/>
      <c r="LE505" s="2"/>
      <c r="LF505" s="2"/>
      <c r="LG505" s="2"/>
      <c r="LH505" s="2"/>
      <c r="LI505" s="2"/>
      <c r="LJ505" s="2"/>
      <c r="LK505" s="2"/>
      <c r="LL505" s="2"/>
      <c r="LM505" s="2"/>
      <c r="LN505" s="2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</row>
    <row r="506" spans="1:343">
      <c r="A506" s="1">
        <v>1869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>
        <v>1181404.1655227521</v>
      </c>
      <c r="AG506" s="1">
        <v>847000</v>
      </c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4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4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  <c r="JY506" s="2"/>
      <c r="JZ506" s="2"/>
      <c r="KA506" s="2"/>
      <c r="KB506" s="2"/>
      <c r="KC506" s="2"/>
      <c r="KD506" s="2"/>
      <c r="KE506" s="2"/>
      <c r="KF506" s="2"/>
      <c r="KG506" s="2"/>
      <c r="KH506" s="2"/>
      <c r="KI506" s="2"/>
      <c r="KJ506" s="2"/>
      <c r="KK506" s="2"/>
      <c r="KL506" s="2"/>
      <c r="KM506" s="2"/>
      <c r="KN506" s="2"/>
      <c r="KO506" s="2"/>
      <c r="KP506" s="2"/>
      <c r="KQ506" s="2"/>
      <c r="KR506" s="2"/>
      <c r="KS506" s="2"/>
      <c r="KT506" s="2"/>
      <c r="KU506" s="2"/>
      <c r="KV506" s="2"/>
      <c r="KW506" s="2"/>
      <c r="KX506" s="2"/>
      <c r="KY506" s="2"/>
      <c r="KZ506" s="2"/>
      <c r="LA506" s="2"/>
      <c r="LB506" s="2"/>
      <c r="LC506" s="2"/>
      <c r="LD506" s="2"/>
      <c r="LE506" s="2"/>
      <c r="LF506" s="2"/>
      <c r="LG506" s="2"/>
      <c r="LH506" s="2"/>
      <c r="LI506" s="2"/>
      <c r="LJ506" s="2"/>
      <c r="LK506" s="2"/>
      <c r="LL506" s="2"/>
      <c r="LM506" s="2"/>
      <c r="LN506" s="2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</row>
    <row r="507" spans="1:343">
      <c r="A507" s="1">
        <v>1870</v>
      </c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>
        <v>1183766.9738537977</v>
      </c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4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4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  <c r="JY507" s="2"/>
      <c r="JZ507" s="2"/>
      <c r="KA507" s="2"/>
      <c r="KB507" s="2"/>
      <c r="KC507" s="2"/>
      <c r="KD507" s="2"/>
      <c r="KE507" s="2"/>
      <c r="KF507" s="2"/>
      <c r="KG507" s="2"/>
      <c r="KH507" s="2"/>
      <c r="KI507" s="2"/>
      <c r="KJ507" s="2"/>
      <c r="KK507" s="2"/>
      <c r="KL507" s="2"/>
      <c r="KM507" s="2"/>
      <c r="KN507" s="2"/>
      <c r="KO507" s="2"/>
      <c r="KP507" s="2"/>
      <c r="KQ507" s="2"/>
      <c r="KR507" s="2"/>
      <c r="KS507" s="2"/>
      <c r="KT507" s="2"/>
      <c r="KU507" s="2"/>
      <c r="KV507" s="2"/>
      <c r="KW507" s="2"/>
      <c r="KX507" s="2"/>
      <c r="KY507" s="2"/>
      <c r="KZ507" s="2"/>
      <c r="LA507" s="2"/>
      <c r="LB507" s="2"/>
      <c r="LC507" s="2"/>
      <c r="LD507" s="2"/>
      <c r="LE507" s="2"/>
      <c r="LF507" s="2"/>
      <c r="LG507" s="2"/>
      <c r="LH507" s="2"/>
      <c r="LI507" s="2"/>
      <c r="LJ507" s="2"/>
      <c r="LK507" s="2"/>
      <c r="LL507" s="2"/>
      <c r="LM507" s="2"/>
      <c r="LN507" s="2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</row>
    <row r="508" spans="1:343">
      <c r="A508" s="1">
        <v>1871</v>
      </c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>
        <v>1186134.5078015053</v>
      </c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4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4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  <c r="JY508" s="2"/>
      <c r="JZ508" s="2"/>
      <c r="KA508" s="2"/>
      <c r="KB508" s="2"/>
      <c r="KC508" s="2"/>
      <c r="KD508" s="2"/>
      <c r="KE508" s="2"/>
      <c r="KF508" s="2"/>
      <c r="KG508" s="2"/>
      <c r="KH508" s="2"/>
      <c r="KI508" s="2"/>
      <c r="KJ508" s="2"/>
      <c r="KK508" s="2"/>
      <c r="KL508" s="2"/>
      <c r="KM508" s="2"/>
      <c r="KN508" s="2"/>
      <c r="KO508" s="2"/>
      <c r="KP508" s="2"/>
      <c r="KQ508" s="2"/>
      <c r="KR508" s="2"/>
      <c r="KS508" s="2"/>
      <c r="KT508" s="2"/>
      <c r="KU508" s="2"/>
      <c r="KV508" s="2"/>
      <c r="KW508" s="2"/>
      <c r="KX508" s="2"/>
      <c r="KY508" s="2"/>
      <c r="KZ508" s="2"/>
      <c r="LA508" s="2"/>
      <c r="LB508" s="2"/>
      <c r="LC508" s="2"/>
      <c r="LD508" s="2"/>
      <c r="LE508" s="2"/>
      <c r="LF508" s="2"/>
      <c r="LG508" s="2"/>
      <c r="LH508" s="2"/>
      <c r="LI508" s="2"/>
      <c r="LJ508" s="2"/>
      <c r="LK508" s="2"/>
      <c r="LL508" s="2"/>
      <c r="LM508" s="2"/>
      <c r="LN508" s="2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</row>
    <row r="509" spans="1:343">
      <c r="A509" s="1">
        <v>1872</v>
      </c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>
        <v>1188506.7768171083</v>
      </c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4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4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  <c r="JY509" s="2"/>
      <c r="JZ509" s="2"/>
      <c r="KA509" s="2"/>
      <c r="KB509" s="2"/>
      <c r="KC509" s="2"/>
      <c r="KD509" s="2"/>
      <c r="KE509" s="2"/>
      <c r="KF509" s="2"/>
      <c r="KG509" s="2"/>
      <c r="KH509" s="2"/>
      <c r="KI509" s="2"/>
      <c r="KJ509" s="2"/>
      <c r="KK509" s="2"/>
      <c r="KL509" s="2"/>
      <c r="KM509" s="2"/>
      <c r="KN509" s="2"/>
      <c r="KO509" s="2"/>
      <c r="KP509" s="2"/>
      <c r="KQ509" s="2"/>
      <c r="KR509" s="2"/>
      <c r="KS509" s="2"/>
      <c r="KT509" s="2"/>
      <c r="KU509" s="2"/>
      <c r="KV509" s="2"/>
      <c r="KW509" s="2"/>
      <c r="KX509" s="2"/>
      <c r="KY509" s="2"/>
      <c r="KZ509" s="2"/>
      <c r="LA509" s="2"/>
      <c r="LB509" s="2"/>
      <c r="LC509" s="2"/>
      <c r="LD509" s="2"/>
      <c r="LE509" s="2"/>
      <c r="LF509" s="2"/>
      <c r="LG509" s="2"/>
      <c r="LH509" s="2"/>
      <c r="LI509" s="2"/>
      <c r="LJ509" s="2"/>
      <c r="LK509" s="2"/>
      <c r="LL509" s="2"/>
      <c r="LM509" s="2"/>
      <c r="LN509" s="2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</row>
    <row r="510" spans="1:343">
      <c r="A510" s="1">
        <v>1873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>
        <v>1190883.7903707426</v>
      </c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4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4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  <c r="JY510" s="2"/>
      <c r="JZ510" s="2"/>
      <c r="KA510" s="2"/>
      <c r="KB510" s="2"/>
      <c r="KC510" s="2"/>
      <c r="KD510" s="2"/>
      <c r="KE510" s="2"/>
      <c r="KF510" s="2"/>
      <c r="KG510" s="2"/>
      <c r="KH510" s="2"/>
      <c r="KI510" s="2"/>
      <c r="KJ510" s="2"/>
      <c r="KK510" s="2"/>
      <c r="KL510" s="2"/>
      <c r="KM510" s="2"/>
      <c r="KN510" s="2"/>
      <c r="KO510" s="2"/>
      <c r="KP510" s="2"/>
      <c r="KQ510" s="2"/>
      <c r="KR510" s="2"/>
      <c r="KS510" s="2"/>
      <c r="KT510" s="2"/>
      <c r="KU510" s="2"/>
      <c r="KV510" s="2"/>
      <c r="KW510" s="2"/>
      <c r="KX510" s="2"/>
      <c r="KY510" s="2"/>
      <c r="KZ510" s="2"/>
      <c r="LA510" s="2"/>
      <c r="LB510" s="2"/>
      <c r="LC510" s="2"/>
      <c r="LD510" s="2"/>
      <c r="LE510" s="2"/>
      <c r="LF510" s="2"/>
      <c r="LG510" s="2"/>
      <c r="LH510" s="2"/>
      <c r="LI510" s="2"/>
      <c r="LJ510" s="2"/>
      <c r="LK510" s="2"/>
      <c r="LL510" s="2"/>
      <c r="LM510" s="2"/>
      <c r="LN510" s="2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</row>
    <row r="511" spans="1:343">
      <c r="A511" s="1">
        <v>1874</v>
      </c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>
        <v>1193265.5579514841</v>
      </c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4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4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  <c r="JY511" s="2"/>
      <c r="JZ511" s="2"/>
      <c r="KA511" s="2"/>
      <c r="KB511" s="2"/>
      <c r="KC511" s="2"/>
      <c r="KD511" s="2"/>
      <c r="KE511" s="2"/>
      <c r="KF511" s="2"/>
      <c r="KG511" s="2"/>
      <c r="KH511" s="2"/>
      <c r="KI511" s="2"/>
      <c r="KJ511" s="2"/>
      <c r="KK511" s="2"/>
      <c r="KL511" s="2"/>
      <c r="KM511" s="2"/>
      <c r="KN511" s="2"/>
      <c r="KO511" s="2"/>
      <c r="KP511" s="2"/>
      <c r="KQ511" s="2"/>
      <c r="KR511" s="2"/>
      <c r="KS511" s="2"/>
      <c r="KT511" s="2"/>
      <c r="KU511" s="2"/>
      <c r="KV511" s="2"/>
      <c r="KW511" s="2"/>
      <c r="KX511" s="2"/>
      <c r="KY511" s="2"/>
      <c r="KZ511" s="2"/>
      <c r="LA511" s="2"/>
      <c r="LB511" s="2"/>
      <c r="LC511" s="2"/>
      <c r="LD511" s="2"/>
      <c r="LE511" s="2"/>
      <c r="LF511" s="2"/>
      <c r="LG511" s="2"/>
      <c r="LH511" s="2"/>
      <c r="LI511" s="2"/>
      <c r="LJ511" s="2"/>
      <c r="LK511" s="2"/>
      <c r="LL511" s="2"/>
      <c r="LM511" s="2"/>
      <c r="LN511" s="2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</row>
    <row r="512" spans="1:343">
      <c r="A512" s="1">
        <v>1875</v>
      </c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>
        <v>1195652.0890673872</v>
      </c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4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4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  <c r="JY512" s="2"/>
      <c r="JZ512" s="2"/>
      <c r="KA512" s="2"/>
      <c r="KB512" s="2"/>
      <c r="KC512" s="2"/>
      <c r="KD512" s="2"/>
      <c r="KE512" s="2"/>
      <c r="KF512" s="2"/>
      <c r="KG512" s="2"/>
      <c r="KH512" s="2"/>
      <c r="KI512" s="2"/>
      <c r="KJ512" s="2"/>
      <c r="KK512" s="2"/>
      <c r="KL512" s="2"/>
      <c r="KM512" s="2"/>
      <c r="KN512" s="2"/>
      <c r="KO512" s="2"/>
      <c r="KP512" s="2"/>
      <c r="KQ512" s="2"/>
      <c r="KR512" s="2"/>
      <c r="KS512" s="2"/>
      <c r="KT512" s="2"/>
      <c r="KU512" s="2"/>
      <c r="KV512" s="2"/>
      <c r="KW512" s="2"/>
      <c r="KX512" s="2"/>
      <c r="KY512" s="2"/>
      <c r="KZ512" s="2"/>
      <c r="LA512" s="2"/>
      <c r="LB512" s="2"/>
      <c r="LC512" s="2"/>
      <c r="LD512" s="2"/>
      <c r="LE512" s="2"/>
      <c r="LF512" s="2"/>
      <c r="LG512" s="2"/>
      <c r="LH512" s="2"/>
      <c r="LI512" s="2"/>
      <c r="LJ512" s="2"/>
      <c r="LK512" s="2"/>
      <c r="LL512" s="2"/>
      <c r="LM512" s="2"/>
      <c r="LN512" s="2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</row>
    <row r="513" spans="1:343">
      <c r="A513" s="1">
        <v>1876</v>
      </c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>
        <v>1198043.3932455219</v>
      </c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4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4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  <c r="JY513" s="2"/>
      <c r="JZ513" s="2"/>
      <c r="KA513" s="2"/>
      <c r="KB513" s="2"/>
      <c r="KC513" s="2"/>
      <c r="KD513" s="2"/>
      <c r="KE513" s="2"/>
      <c r="KF513" s="2"/>
      <c r="KG513" s="2"/>
      <c r="KH513" s="2"/>
      <c r="KI513" s="2"/>
      <c r="KJ513" s="2"/>
      <c r="KK513" s="2"/>
      <c r="KL513" s="2"/>
      <c r="KM513" s="2"/>
      <c r="KN513" s="2"/>
      <c r="KO513" s="2"/>
      <c r="KP513" s="2"/>
      <c r="KQ513" s="2"/>
      <c r="KR513" s="2"/>
      <c r="KS513" s="2"/>
      <c r="KT513" s="2"/>
      <c r="KU513" s="2"/>
      <c r="KV513" s="2"/>
      <c r="KW513" s="2"/>
      <c r="KX513" s="2"/>
      <c r="KY513" s="2"/>
      <c r="KZ513" s="2"/>
      <c r="LA513" s="2"/>
      <c r="LB513" s="2"/>
      <c r="LC513" s="2"/>
      <c r="LD513" s="2"/>
      <c r="LE513" s="2"/>
      <c r="LF513" s="2"/>
      <c r="LG513" s="2"/>
      <c r="LH513" s="2"/>
      <c r="LI513" s="2"/>
      <c r="LJ513" s="2"/>
      <c r="LK513" s="2"/>
      <c r="LL513" s="2"/>
      <c r="LM513" s="2"/>
      <c r="LN513" s="2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</row>
    <row r="514" spans="1:343">
      <c r="A514" s="1">
        <v>1877</v>
      </c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>
        <v>1200439.480032013</v>
      </c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4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4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  <c r="JY514" s="2"/>
      <c r="JZ514" s="2"/>
      <c r="KA514" s="2"/>
      <c r="KB514" s="2"/>
      <c r="KC514" s="2"/>
      <c r="KD514" s="2"/>
      <c r="KE514" s="2"/>
      <c r="KF514" s="2"/>
      <c r="KG514" s="2"/>
      <c r="KH514" s="2"/>
      <c r="KI514" s="2"/>
      <c r="KJ514" s="2"/>
      <c r="KK514" s="2"/>
      <c r="KL514" s="2"/>
      <c r="KM514" s="2"/>
      <c r="KN514" s="2"/>
      <c r="KO514" s="2"/>
      <c r="KP514" s="2"/>
      <c r="KQ514" s="2"/>
      <c r="KR514" s="2"/>
      <c r="KS514" s="2"/>
      <c r="KT514" s="2"/>
      <c r="KU514" s="2"/>
      <c r="KV514" s="2"/>
      <c r="KW514" s="2"/>
      <c r="KX514" s="2"/>
      <c r="KY514" s="2"/>
      <c r="KZ514" s="2"/>
      <c r="LA514" s="2"/>
      <c r="LB514" s="2"/>
      <c r="LC514" s="2"/>
      <c r="LD514" s="2"/>
      <c r="LE514" s="2"/>
      <c r="LF514" s="2"/>
      <c r="LG514" s="2"/>
      <c r="LH514" s="2"/>
      <c r="LI514" s="2"/>
      <c r="LJ514" s="2"/>
      <c r="LK514" s="2"/>
      <c r="LL514" s="2"/>
      <c r="LM514" s="2"/>
      <c r="LN514" s="2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</row>
    <row r="515" spans="1:343">
      <c r="A515" s="1">
        <v>1878</v>
      </c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>
        <v>1202840.3589920769</v>
      </c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4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4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  <c r="JY515" s="2"/>
      <c r="JZ515" s="2"/>
      <c r="KA515" s="2"/>
      <c r="KB515" s="2"/>
      <c r="KC515" s="2"/>
      <c r="KD515" s="2"/>
      <c r="KE515" s="2"/>
      <c r="KF515" s="2"/>
      <c r="KG515" s="2"/>
      <c r="KH515" s="2"/>
      <c r="KI515" s="2"/>
      <c r="KJ515" s="2"/>
      <c r="KK515" s="2"/>
      <c r="KL515" s="2"/>
      <c r="KM515" s="2"/>
      <c r="KN515" s="2"/>
      <c r="KO515" s="2"/>
      <c r="KP515" s="2"/>
      <c r="KQ515" s="2"/>
      <c r="KR515" s="2"/>
      <c r="KS515" s="2"/>
      <c r="KT515" s="2"/>
      <c r="KU515" s="2"/>
      <c r="KV515" s="2"/>
      <c r="KW515" s="2"/>
      <c r="KX515" s="2"/>
      <c r="KY515" s="2"/>
      <c r="KZ515" s="2"/>
      <c r="LA515" s="2"/>
      <c r="LB515" s="2"/>
      <c r="LC515" s="2"/>
      <c r="LD515" s="2"/>
      <c r="LE515" s="2"/>
      <c r="LF515" s="2"/>
      <c r="LG515" s="2"/>
      <c r="LH515" s="2"/>
      <c r="LI515" s="2"/>
      <c r="LJ515" s="2"/>
      <c r="LK515" s="2"/>
      <c r="LL515" s="2"/>
      <c r="LM515" s="2"/>
      <c r="LN515" s="2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</row>
    <row r="516" spans="1:343">
      <c r="A516" s="1">
        <v>1879</v>
      </c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>
        <v>1205246.0397100612</v>
      </c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4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4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  <c r="JY516" s="2"/>
      <c r="JZ516" s="2"/>
      <c r="KA516" s="2"/>
      <c r="KB516" s="2"/>
      <c r="KC516" s="2"/>
      <c r="KD516" s="2"/>
      <c r="KE516" s="2"/>
      <c r="KF516" s="2"/>
      <c r="KG516" s="2"/>
      <c r="KH516" s="2"/>
      <c r="KI516" s="2"/>
      <c r="KJ516" s="2"/>
      <c r="KK516" s="2"/>
      <c r="KL516" s="2"/>
      <c r="KM516" s="2"/>
      <c r="KN516" s="2"/>
      <c r="KO516" s="2"/>
      <c r="KP516" s="2"/>
      <c r="KQ516" s="2"/>
      <c r="KR516" s="2"/>
      <c r="KS516" s="2"/>
      <c r="KT516" s="2"/>
      <c r="KU516" s="2"/>
      <c r="KV516" s="2"/>
      <c r="KW516" s="2"/>
      <c r="KX516" s="2"/>
      <c r="KY516" s="2"/>
      <c r="KZ516" s="2"/>
      <c r="LA516" s="2"/>
      <c r="LB516" s="2"/>
      <c r="LC516" s="2"/>
      <c r="LD516" s="2"/>
      <c r="LE516" s="2"/>
      <c r="LF516" s="2"/>
      <c r="LG516" s="2"/>
      <c r="LH516" s="2"/>
      <c r="LI516" s="2"/>
      <c r="LJ516" s="2"/>
      <c r="LK516" s="2"/>
      <c r="LL516" s="2"/>
      <c r="LM516" s="2"/>
      <c r="LN516" s="2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</row>
    <row r="517" spans="1:343">
      <c r="A517" s="1">
        <v>1880</v>
      </c>
      <c r="B517" s="1">
        <v>21555965.899999999</v>
      </c>
      <c r="C517" s="1">
        <v>1658909.2</v>
      </c>
      <c r="D517" s="1"/>
      <c r="E517" s="1"/>
      <c r="F517" s="1"/>
      <c r="G517" s="1"/>
      <c r="H517" s="1"/>
      <c r="I517" s="1"/>
      <c r="J517" s="1"/>
      <c r="K517" s="1">
        <v>3575656</v>
      </c>
      <c r="L517" s="1"/>
      <c r="M517" s="1"/>
      <c r="N517" s="1"/>
      <c r="O517" s="1"/>
      <c r="P517" s="1"/>
      <c r="Q517" s="1"/>
      <c r="R517" s="1">
        <v>1523196</v>
      </c>
      <c r="S517" s="1"/>
      <c r="T517" s="1"/>
      <c r="U517" s="1">
        <v>5996518</v>
      </c>
      <c r="V517" s="1"/>
      <c r="W517" s="1"/>
      <c r="X517" s="1"/>
      <c r="Y517" s="1"/>
      <c r="Z517" s="1"/>
      <c r="AA517" s="1"/>
      <c r="AB517" s="1"/>
      <c r="AC517" s="1"/>
      <c r="AD517" s="1">
        <v>3290808.5</v>
      </c>
      <c r="AE517" s="1"/>
      <c r="AF517" s="1">
        <v>1207656.5317894812</v>
      </c>
      <c r="AG517" s="1">
        <v>924052</v>
      </c>
      <c r="AH517" s="1">
        <v>2366700</v>
      </c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>
        <v>1491248</v>
      </c>
      <c r="AU517" s="1"/>
      <c r="AV517" s="1"/>
      <c r="AW517" s="1"/>
      <c r="AX517" s="1"/>
      <c r="AY517" s="1"/>
      <c r="AZ517" s="1"/>
      <c r="BA517" s="1"/>
      <c r="BB517" s="1"/>
      <c r="BC517" s="1">
        <v>728878.20000000007</v>
      </c>
      <c r="BD517" s="1"/>
      <c r="BE517" s="1"/>
      <c r="BF517" s="1"/>
      <c r="BG517" s="1"/>
      <c r="BH517" s="1"/>
      <c r="BI517" s="4">
        <v>25401882.900000002</v>
      </c>
      <c r="BJ517" s="2">
        <v>2816440</v>
      </c>
      <c r="BK517" s="2"/>
      <c r="BL517" s="2"/>
      <c r="BM517" s="2"/>
      <c r="BN517" s="2"/>
      <c r="BO517" s="2"/>
      <c r="BP517" s="2"/>
      <c r="BQ517" s="2">
        <v>3471684</v>
      </c>
      <c r="BR517" s="2"/>
      <c r="BS517" s="2"/>
      <c r="BT517" s="2"/>
      <c r="BU517" s="2"/>
      <c r="BV517" s="2"/>
      <c r="BW517" s="2">
        <v>1112834.6000000001</v>
      </c>
      <c r="BX517" s="2"/>
      <c r="BY517" s="2"/>
      <c r="BZ517" s="2">
        <v>3841991.9999999995</v>
      </c>
      <c r="CA517" s="2"/>
      <c r="CB517" s="2"/>
      <c r="CC517" s="2"/>
      <c r="CD517" s="2"/>
      <c r="CE517" s="2"/>
      <c r="CF517" s="2"/>
      <c r="CG517" s="2"/>
      <c r="CH517" s="2">
        <v>1317492</v>
      </c>
      <c r="CI517" s="2"/>
      <c r="CJ517" s="2"/>
      <c r="CK517" s="2"/>
      <c r="CL517" s="2">
        <v>5310525</v>
      </c>
      <c r="CM517" s="2"/>
      <c r="CN517" s="2"/>
      <c r="CO517" s="2"/>
      <c r="CP517" s="2"/>
      <c r="CQ517" s="2"/>
      <c r="CR517" s="2"/>
      <c r="CS517" s="2"/>
      <c r="CT517" s="2">
        <v>541960</v>
      </c>
      <c r="CU517" s="2"/>
      <c r="CV517" s="2"/>
      <c r="CW517" s="2"/>
      <c r="CX517" s="2">
        <v>504953.9</v>
      </c>
      <c r="CY517" s="2"/>
      <c r="CZ517" s="2"/>
      <c r="DA517" s="2"/>
      <c r="DB517" s="2"/>
      <c r="DC517" s="2"/>
      <c r="DD517" s="2"/>
      <c r="DE517" s="2">
        <v>852558</v>
      </c>
      <c r="DF517" s="2"/>
      <c r="DG517" s="2"/>
      <c r="DH517" s="2"/>
      <c r="DI517" s="2"/>
      <c r="DJ517" s="2"/>
      <c r="DK517" s="2"/>
      <c r="DL517" s="2">
        <v>684352</v>
      </c>
      <c r="DM517" s="2"/>
      <c r="DN517" s="2"/>
      <c r="DO517" s="2"/>
      <c r="DP517" s="2"/>
      <c r="DQ517" s="2"/>
      <c r="DR517" s="2"/>
      <c r="DS517" s="2">
        <v>4008938</v>
      </c>
      <c r="DT517" s="2"/>
      <c r="DU517" s="2"/>
      <c r="DV517" s="2"/>
      <c r="DW517" s="2"/>
      <c r="DX517" s="2"/>
      <c r="DY517" s="2"/>
      <c r="DZ517" s="2"/>
      <c r="EA517" s="2"/>
      <c r="EB517" s="2">
        <v>308147.09999999998</v>
      </c>
      <c r="EC517" s="2"/>
      <c r="ED517" s="2"/>
      <c r="EE517" s="2">
        <v>550974.70000000007</v>
      </c>
      <c r="EF517" s="2"/>
      <c r="EG517" s="2">
        <v>79031.599999999991</v>
      </c>
      <c r="EH517" s="2"/>
      <c r="EI517" s="1">
        <v>16028889.1</v>
      </c>
      <c r="EJ517" s="1">
        <v>853278.79999999993</v>
      </c>
      <c r="EK517" s="1"/>
      <c r="EL517" s="1"/>
      <c r="EM517" s="1"/>
      <c r="EN517" s="1"/>
      <c r="EO517" s="1"/>
      <c r="EP517" s="1"/>
      <c r="EQ517" s="1"/>
      <c r="ER517" s="1"/>
      <c r="ES517" s="1"/>
      <c r="ET517" s="1">
        <v>512848</v>
      </c>
      <c r="EU517" s="1"/>
      <c r="EV517" s="1"/>
      <c r="EW517" s="1"/>
      <c r="EX517" s="1"/>
      <c r="EY517" s="1"/>
      <c r="EZ517" s="1"/>
      <c r="FA517" s="1">
        <v>1135986</v>
      </c>
      <c r="FB517" s="1"/>
      <c r="FC517" s="1"/>
      <c r="FD517" s="1"/>
      <c r="FE517" s="1"/>
      <c r="FF517" s="1"/>
      <c r="FG517" s="1"/>
      <c r="FH517" s="1"/>
      <c r="FI517" s="1">
        <v>766817.2</v>
      </c>
      <c r="FJ517" s="1"/>
      <c r="FK517" s="1"/>
      <c r="FL517" s="1"/>
      <c r="FM517" s="1"/>
      <c r="FN517" s="1"/>
      <c r="FO517" s="1"/>
      <c r="FP517" s="1"/>
      <c r="FQ517" s="1">
        <v>2671365.5999999996</v>
      </c>
      <c r="FR517" s="1"/>
      <c r="FS517" s="1"/>
      <c r="FT517" s="1"/>
      <c r="FU517" s="1"/>
      <c r="FV517" s="1"/>
      <c r="FW517" s="1"/>
      <c r="FX517" s="1"/>
      <c r="FY517" s="1"/>
      <c r="FZ517" s="1">
        <v>1835720.4</v>
      </c>
      <c r="GA517" s="1"/>
      <c r="GB517" s="1"/>
      <c r="GC517" s="1"/>
      <c r="GD517" s="1"/>
      <c r="GE517" s="1"/>
      <c r="GF517" s="1"/>
      <c r="GG517" s="1"/>
      <c r="GH517" s="1">
        <v>2119284</v>
      </c>
      <c r="GI517" s="1"/>
      <c r="GJ517" s="1"/>
      <c r="GK517" s="1"/>
      <c r="GL517" s="1"/>
      <c r="GM517" s="1"/>
      <c r="GN517" s="1"/>
      <c r="GO517" s="1">
        <v>2002694.4</v>
      </c>
      <c r="GP517" s="1"/>
      <c r="GQ517" s="1"/>
      <c r="GR517" s="1"/>
      <c r="GS517" s="1"/>
      <c r="GT517" s="1"/>
      <c r="GU517" s="1"/>
      <c r="GV517" s="1"/>
      <c r="GW517" s="1"/>
      <c r="GX517" s="1">
        <v>702712.20000000007</v>
      </c>
      <c r="GY517" s="1"/>
      <c r="GZ517" s="1"/>
      <c r="HA517" s="1"/>
      <c r="HB517" s="1"/>
      <c r="HC517" s="1"/>
      <c r="HD517" s="1">
        <v>921672</v>
      </c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>
        <v>2506510.5</v>
      </c>
      <c r="HP517" s="1"/>
      <c r="HQ517" s="1"/>
      <c r="HR517" s="1"/>
      <c r="HS517" s="1"/>
      <c r="HT517" s="1"/>
      <c r="HU517" s="1"/>
      <c r="HV517" s="1"/>
      <c r="HW517" s="4">
        <v>13285297.200000001</v>
      </c>
      <c r="HX517" s="1">
        <v>1963654</v>
      </c>
      <c r="HY517" s="2"/>
      <c r="HZ517" s="2"/>
      <c r="IA517" s="2"/>
      <c r="IB517" s="2"/>
      <c r="IC517" s="2"/>
      <c r="ID517" s="2"/>
      <c r="IE517" s="2"/>
      <c r="IF517" s="2"/>
      <c r="IG517" s="2"/>
      <c r="IH517" s="1">
        <v>371941.4</v>
      </c>
      <c r="II517" s="2"/>
      <c r="IJ517" s="2"/>
      <c r="IK517" s="2"/>
      <c r="IL517" s="1">
        <v>531917.5</v>
      </c>
      <c r="IM517" s="2"/>
      <c r="IN517" s="2"/>
      <c r="IO517" s="2"/>
      <c r="IP517" s="2"/>
      <c r="IQ517" s="2"/>
      <c r="IR517" s="1">
        <v>498894.6</v>
      </c>
      <c r="IS517" s="2"/>
      <c r="IT517" s="2"/>
      <c r="IU517" s="2"/>
      <c r="IV517" s="2"/>
      <c r="IW517" s="1">
        <v>1326402</v>
      </c>
      <c r="IX517" s="2"/>
      <c r="IY517" s="2"/>
      <c r="IZ517" s="2"/>
      <c r="JA517" s="2"/>
      <c r="JB517" s="2"/>
      <c r="JC517" s="2"/>
      <c r="JD517" s="2"/>
      <c r="JE517" s="1">
        <v>1252368</v>
      </c>
      <c r="JF517" s="2"/>
      <c r="JG517" s="2"/>
      <c r="JH517" s="2"/>
      <c r="JI517" s="2"/>
      <c r="JJ517" s="2"/>
      <c r="JK517" s="2"/>
      <c r="JL517" s="2"/>
      <c r="JM517" s="1">
        <v>492857.4</v>
      </c>
      <c r="JN517" s="2"/>
      <c r="JO517" s="2"/>
      <c r="JP517" s="2"/>
      <c r="JQ517" s="2"/>
      <c r="JR517" s="2"/>
      <c r="JS517" s="1">
        <v>1069260</v>
      </c>
      <c r="JT517" s="2"/>
      <c r="JU517" s="2"/>
      <c r="JV517" s="2"/>
      <c r="JW517" s="2"/>
      <c r="JX517" s="2"/>
      <c r="JY517" s="2"/>
      <c r="JZ517" s="1">
        <v>1549105</v>
      </c>
      <c r="KA517" s="2"/>
      <c r="KB517" s="2"/>
      <c r="KC517" s="2"/>
      <c r="KD517" s="2"/>
      <c r="KE517" s="2"/>
      <c r="KF517" s="2"/>
      <c r="KG517" s="2"/>
      <c r="KH517" s="2"/>
      <c r="KI517" s="2"/>
      <c r="KJ517" s="2"/>
      <c r="KK517" s="1">
        <v>544994</v>
      </c>
      <c r="KL517" s="2"/>
      <c r="KM517" s="2"/>
      <c r="KN517" s="2"/>
      <c r="KO517" s="2"/>
      <c r="KP517" s="1">
        <v>703599.4</v>
      </c>
      <c r="KQ517" s="2"/>
      <c r="KR517" s="2"/>
      <c r="KS517" s="2"/>
      <c r="KT517" s="2"/>
      <c r="KU517" s="2"/>
      <c r="KV517" s="1">
        <v>1723017</v>
      </c>
      <c r="KW517" s="2"/>
      <c r="KX517" s="2"/>
      <c r="KY517" s="2"/>
      <c r="KZ517" s="2"/>
      <c r="LA517" s="2"/>
      <c r="LB517" s="2"/>
      <c r="LC517" s="2"/>
      <c r="LD517" s="2"/>
      <c r="LE517" s="2"/>
      <c r="LF517" s="2"/>
      <c r="LG517" s="1">
        <v>650161.6</v>
      </c>
      <c r="LH517" s="2"/>
      <c r="LI517" s="2"/>
      <c r="LJ517" s="1">
        <v>607125.30000000005</v>
      </c>
      <c r="LK517" s="2"/>
      <c r="LL517" s="2"/>
      <c r="LM517" s="2"/>
      <c r="LN517" s="2"/>
      <c r="LO517" s="1">
        <v>3926890.0999999996</v>
      </c>
      <c r="LP517" s="1">
        <v>1374907.8</v>
      </c>
      <c r="LQ517" s="1"/>
      <c r="LR517" s="1"/>
      <c r="LS517" s="1"/>
      <c r="LT517" s="1"/>
      <c r="LU517" s="1">
        <v>2551982.2999999998</v>
      </c>
      <c r="LV517" s="1"/>
      <c r="LW517" s="1"/>
      <c r="LX517" s="1"/>
      <c r="LY517" s="1"/>
      <c r="LZ517" s="1"/>
      <c r="MA517" s="1"/>
      <c r="MB517" s="1"/>
      <c r="MC517" s="1"/>
      <c r="MD517" s="1"/>
      <c r="ME517" s="1"/>
    </row>
    <row r="518" spans="1:343">
      <c r="A518" s="1">
        <v>1881</v>
      </c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>
        <v>1210071.8448530601</v>
      </c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4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4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  <c r="JY518" s="2"/>
      <c r="JZ518" s="2"/>
      <c r="KA518" s="2"/>
      <c r="KB518" s="2"/>
      <c r="KC518" s="2"/>
      <c r="KD518" s="2"/>
      <c r="KE518" s="2"/>
      <c r="KF518" s="2"/>
      <c r="KG518" s="2"/>
      <c r="KH518" s="2"/>
      <c r="KI518" s="2"/>
      <c r="KJ518" s="2"/>
      <c r="KK518" s="2"/>
      <c r="KL518" s="2"/>
      <c r="KM518" s="2"/>
      <c r="KN518" s="2"/>
      <c r="KO518" s="2"/>
      <c r="KP518" s="2"/>
      <c r="KQ518" s="2"/>
      <c r="KR518" s="2"/>
      <c r="KS518" s="2"/>
      <c r="KT518" s="2"/>
      <c r="KU518" s="2"/>
      <c r="KV518" s="2"/>
      <c r="KW518" s="2"/>
      <c r="KX518" s="2"/>
      <c r="KY518" s="2"/>
      <c r="KZ518" s="2"/>
      <c r="LA518" s="2"/>
      <c r="LB518" s="2"/>
      <c r="LC518" s="2"/>
      <c r="LD518" s="2"/>
      <c r="LE518" s="2"/>
      <c r="LF518" s="2"/>
      <c r="LG518" s="2"/>
      <c r="LH518" s="2"/>
      <c r="LI518" s="2"/>
      <c r="LJ518" s="2"/>
      <c r="LK518" s="2"/>
      <c r="LL518" s="2"/>
      <c r="LM518" s="2"/>
      <c r="LN518" s="2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</row>
    <row r="519" spans="1:343">
      <c r="A519" s="1">
        <v>1882</v>
      </c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>
        <v>1212491.9885427663</v>
      </c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4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4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  <c r="JY519" s="2"/>
      <c r="JZ519" s="2"/>
      <c r="KA519" s="2"/>
      <c r="KB519" s="2"/>
      <c r="KC519" s="2"/>
      <c r="KD519" s="2"/>
      <c r="KE519" s="2"/>
      <c r="KF519" s="2"/>
      <c r="KG519" s="2"/>
      <c r="KH519" s="2"/>
      <c r="KI519" s="2"/>
      <c r="KJ519" s="2"/>
      <c r="KK519" s="2"/>
      <c r="KL519" s="2"/>
      <c r="KM519" s="2"/>
      <c r="KN519" s="2"/>
      <c r="KO519" s="2"/>
      <c r="KP519" s="2"/>
      <c r="KQ519" s="2"/>
      <c r="KR519" s="2"/>
      <c r="KS519" s="2"/>
      <c r="KT519" s="2"/>
      <c r="KU519" s="2"/>
      <c r="KV519" s="2"/>
      <c r="KW519" s="2"/>
      <c r="KX519" s="2"/>
      <c r="KY519" s="2"/>
      <c r="KZ519" s="2"/>
      <c r="LA519" s="2"/>
      <c r="LB519" s="2"/>
      <c r="LC519" s="2"/>
      <c r="LD519" s="2"/>
      <c r="LE519" s="2"/>
      <c r="LF519" s="2"/>
      <c r="LG519" s="2"/>
      <c r="LH519" s="2"/>
      <c r="LI519" s="2"/>
      <c r="LJ519" s="2"/>
      <c r="LK519" s="2"/>
      <c r="LL519" s="2"/>
      <c r="LM519" s="2"/>
      <c r="LN519" s="2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</row>
    <row r="520" spans="1:343">
      <c r="A520" s="1">
        <v>1883</v>
      </c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>
        <v>1214916.9725198518</v>
      </c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4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4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  <c r="JY520" s="2"/>
      <c r="JZ520" s="2"/>
      <c r="KA520" s="2"/>
      <c r="KB520" s="2"/>
      <c r="KC520" s="2"/>
      <c r="KD520" s="2"/>
      <c r="KE520" s="2"/>
      <c r="KF520" s="2"/>
      <c r="KG520" s="2"/>
      <c r="KH520" s="2"/>
      <c r="KI520" s="2"/>
      <c r="KJ520" s="2"/>
      <c r="KK520" s="2"/>
      <c r="KL520" s="2"/>
      <c r="KM520" s="2"/>
      <c r="KN520" s="2"/>
      <c r="KO520" s="2"/>
      <c r="KP520" s="2"/>
      <c r="KQ520" s="2"/>
      <c r="KR520" s="2"/>
      <c r="KS520" s="2"/>
      <c r="KT520" s="2"/>
      <c r="KU520" s="2"/>
      <c r="KV520" s="2"/>
      <c r="KW520" s="2"/>
      <c r="KX520" s="2"/>
      <c r="KY520" s="2"/>
      <c r="KZ520" s="2"/>
      <c r="LA520" s="2"/>
      <c r="LB520" s="2"/>
      <c r="LC520" s="2"/>
      <c r="LD520" s="2"/>
      <c r="LE520" s="2"/>
      <c r="LF520" s="2"/>
      <c r="LG520" s="2"/>
      <c r="LH520" s="2"/>
      <c r="LI520" s="2"/>
      <c r="LJ520" s="2"/>
      <c r="LK520" s="2"/>
      <c r="LL520" s="2"/>
      <c r="LM520" s="2"/>
      <c r="LN520" s="2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</row>
    <row r="521" spans="1:343">
      <c r="A521" s="1">
        <v>1884</v>
      </c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>
        <v>1217346.8064648914</v>
      </c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4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4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  <c r="JY521" s="2"/>
      <c r="JZ521" s="2"/>
      <c r="KA521" s="2"/>
      <c r="KB521" s="2"/>
      <c r="KC521" s="2"/>
      <c r="KD521" s="2"/>
      <c r="KE521" s="2"/>
      <c r="KF521" s="2"/>
      <c r="KG521" s="2"/>
      <c r="KH521" s="2"/>
      <c r="KI521" s="2"/>
      <c r="KJ521" s="2"/>
      <c r="KK521" s="2"/>
      <c r="KL521" s="2"/>
      <c r="KM521" s="2"/>
      <c r="KN521" s="2"/>
      <c r="KO521" s="2"/>
      <c r="KP521" s="2"/>
      <c r="KQ521" s="2"/>
      <c r="KR521" s="2"/>
      <c r="KS521" s="2"/>
      <c r="KT521" s="2"/>
      <c r="KU521" s="2"/>
      <c r="KV521" s="2"/>
      <c r="KW521" s="2"/>
      <c r="KX521" s="2"/>
      <c r="KY521" s="2"/>
      <c r="KZ521" s="2"/>
      <c r="LA521" s="2"/>
      <c r="LB521" s="2"/>
      <c r="LC521" s="2"/>
      <c r="LD521" s="2"/>
      <c r="LE521" s="2"/>
      <c r="LF521" s="2"/>
      <c r="LG521" s="2"/>
      <c r="LH521" s="2"/>
      <c r="LI521" s="2"/>
      <c r="LJ521" s="2"/>
      <c r="LK521" s="2"/>
      <c r="LL521" s="2"/>
      <c r="LM521" s="2"/>
      <c r="LN521" s="2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</row>
    <row r="522" spans="1:343">
      <c r="A522" s="1">
        <v>1885</v>
      </c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>
        <v>1219781.5000778213</v>
      </c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4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>
        <v>133519</v>
      </c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4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  <c r="JY522" s="2"/>
      <c r="JZ522" s="2"/>
      <c r="KA522" s="2"/>
      <c r="KB522" s="2"/>
      <c r="KC522" s="2"/>
      <c r="KD522" s="2"/>
      <c r="KE522" s="2"/>
      <c r="KF522" s="2"/>
      <c r="KG522" s="2"/>
      <c r="KH522" s="2"/>
      <c r="KI522" s="2"/>
      <c r="KJ522" s="2"/>
      <c r="KK522" s="2"/>
      <c r="KL522" s="2"/>
      <c r="KM522" s="2"/>
      <c r="KN522" s="2"/>
      <c r="KO522" s="2"/>
      <c r="KP522" s="2"/>
      <c r="KQ522" s="2"/>
      <c r="KR522" s="2"/>
      <c r="KS522" s="2"/>
      <c r="KT522" s="2"/>
      <c r="KU522" s="2"/>
      <c r="KV522" s="2"/>
      <c r="KW522" s="2"/>
      <c r="KX522" s="2"/>
      <c r="KY522" s="2"/>
      <c r="KZ522" s="2"/>
      <c r="LA522" s="2"/>
      <c r="LB522" s="2"/>
      <c r="LC522" s="2"/>
      <c r="LD522" s="2"/>
      <c r="LE522" s="2"/>
      <c r="LF522" s="2"/>
      <c r="LG522" s="2"/>
      <c r="LH522" s="2"/>
      <c r="LI522" s="2"/>
      <c r="LJ522" s="2"/>
      <c r="LK522" s="2"/>
      <c r="LL522" s="2"/>
      <c r="LM522" s="2"/>
      <c r="LN522" s="2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</row>
    <row r="523" spans="1:343">
      <c r="A523" s="1">
        <v>1886</v>
      </c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>
        <v>1222221.0630779769</v>
      </c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4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4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  <c r="JY523" s="2"/>
      <c r="JZ523" s="2"/>
      <c r="KA523" s="2"/>
      <c r="KB523" s="2"/>
      <c r="KC523" s="2"/>
      <c r="KD523" s="2"/>
      <c r="KE523" s="2"/>
      <c r="KF523" s="2"/>
      <c r="KG523" s="2"/>
      <c r="KH523" s="2"/>
      <c r="KI523" s="2"/>
      <c r="KJ523" s="2"/>
      <c r="KK523" s="2"/>
      <c r="KL523" s="2"/>
      <c r="KM523" s="2"/>
      <c r="KN523" s="2"/>
      <c r="KO523" s="2"/>
      <c r="KP523" s="2"/>
      <c r="KQ523" s="2"/>
      <c r="KR523" s="2"/>
      <c r="KS523" s="2"/>
      <c r="KT523" s="2"/>
      <c r="KU523" s="2"/>
      <c r="KV523" s="2"/>
      <c r="KW523" s="2"/>
      <c r="KX523" s="2"/>
      <c r="KY523" s="2"/>
      <c r="KZ523" s="2"/>
      <c r="LA523" s="2"/>
      <c r="LB523" s="2"/>
      <c r="LC523" s="2"/>
      <c r="LD523" s="2"/>
      <c r="LE523" s="2"/>
      <c r="LF523" s="2"/>
      <c r="LG523" s="2"/>
      <c r="LH523" s="2"/>
      <c r="LI523" s="2"/>
      <c r="LJ523" s="2"/>
      <c r="LK523" s="2"/>
      <c r="LL523" s="2"/>
      <c r="LM523" s="2"/>
      <c r="LN523" s="2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</row>
    <row r="524" spans="1:343">
      <c r="A524" s="1">
        <v>1887</v>
      </c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>
        <v>1224665.505204133</v>
      </c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4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4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  <c r="JY524" s="2"/>
      <c r="JZ524" s="2"/>
      <c r="KA524" s="2"/>
      <c r="KB524" s="2"/>
      <c r="KC524" s="2"/>
      <c r="KD524" s="2"/>
      <c r="KE524" s="2"/>
      <c r="KF524" s="2"/>
      <c r="KG524" s="2"/>
      <c r="KH524" s="2"/>
      <c r="KI524" s="2"/>
      <c r="KJ524" s="2"/>
      <c r="KK524" s="2"/>
      <c r="KL524" s="2"/>
      <c r="KM524" s="2"/>
      <c r="KN524" s="2"/>
      <c r="KO524" s="2"/>
      <c r="KP524" s="2"/>
      <c r="KQ524" s="2"/>
      <c r="KR524" s="2"/>
      <c r="KS524" s="2"/>
      <c r="KT524" s="2"/>
      <c r="KU524" s="2"/>
      <c r="KV524" s="2"/>
      <c r="KW524" s="2"/>
      <c r="KX524" s="2"/>
      <c r="KY524" s="2"/>
      <c r="KZ524" s="2"/>
      <c r="LA524" s="2"/>
      <c r="LB524" s="2"/>
      <c r="LC524" s="2"/>
      <c r="LD524" s="2"/>
      <c r="LE524" s="2"/>
      <c r="LF524" s="2"/>
      <c r="LG524" s="2"/>
      <c r="LH524" s="2"/>
      <c r="LI524" s="2"/>
      <c r="LJ524" s="2"/>
      <c r="LK524" s="2"/>
      <c r="LL524" s="2"/>
      <c r="LM524" s="2"/>
      <c r="LN524" s="2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</row>
    <row r="525" spans="1:343">
      <c r="A525" s="1">
        <v>1888</v>
      </c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>
        <v>1227114.8362145412</v>
      </c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4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4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  <c r="JY525" s="2"/>
      <c r="JZ525" s="2"/>
      <c r="KA525" s="2"/>
      <c r="KB525" s="2"/>
      <c r="KC525" s="2"/>
      <c r="KD525" s="2"/>
      <c r="KE525" s="2"/>
      <c r="KF525" s="2"/>
      <c r="KG525" s="2"/>
      <c r="KH525" s="2"/>
      <c r="KI525" s="2"/>
      <c r="KJ525" s="2"/>
      <c r="KK525" s="2"/>
      <c r="KL525" s="2"/>
      <c r="KM525" s="2"/>
      <c r="KN525" s="2"/>
      <c r="KO525" s="2"/>
      <c r="KP525" s="2"/>
      <c r="KQ525" s="2"/>
      <c r="KR525" s="2"/>
      <c r="KS525" s="2"/>
      <c r="KT525" s="2"/>
      <c r="KU525" s="2"/>
      <c r="KV525" s="2"/>
      <c r="KW525" s="2"/>
      <c r="KX525" s="2"/>
      <c r="KY525" s="2"/>
      <c r="KZ525" s="2"/>
      <c r="LA525" s="2"/>
      <c r="LB525" s="2"/>
      <c r="LC525" s="2"/>
      <c r="LD525" s="2"/>
      <c r="LE525" s="2"/>
      <c r="LF525" s="2"/>
      <c r="LG525" s="2"/>
      <c r="LH525" s="2"/>
      <c r="LI525" s="2"/>
      <c r="LJ525" s="2"/>
      <c r="LK525" s="2"/>
      <c r="LL525" s="2"/>
      <c r="LM525" s="2"/>
      <c r="LN525" s="2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</row>
    <row r="526" spans="1:343">
      <c r="A526" s="1">
        <v>1889</v>
      </c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>
        <v>1229569.0658869704</v>
      </c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4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4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  <c r="JY526" s="2"/>
      <c r="JZ526" s="2"/>
      <c r="KA526" s="2"/>
      <c r="KB526" s="2"/>
      <c r="KC526" s="2"/>
      <c r="KD526" s="2"/>
      <c r="KE526" s="2"/>
      <c r="KF526" s="2"/>
      <c r="KG526" s="2"/>
      <c r="KH526" s="2"/>
      <c r="KI526" s="2"/>
      <c r="KJ526" s="2"/>
      <c r="KK526" s="2"/>
      <c r="KL526" s="2"/>
      <c r="KM526" s="2"/>
      <c r="KN526" s="2"/>
      <c r="KO526" s="2"/>
      <c r="KP526" s="2"/>
      <c r="KQ526" s="2"/>
      <c r="KR526" s="2"/>
      <c r="KS526" s="2"/>
      <c r="KT526" s="2"/>
      <c r="KU526" s="2"/>
      <c r="KV526" s="2"/>
      <c r="KW526" s="2"/>
      <c r="KX526" s="2"/>
      <c r="KY526" s="2"/>
      <c r="KZ526" s="2"/>
      <c r="LA526" s="2"/>
      <c r="LB526" s="2"/>
      <c r="LC526" s="2"/>
      <c r="LD526" s="2"/>
      <c r="LE526" s="2"/>
      <c r="LF526" s="2"/>
      <c r="LG526" s="2"/>
      <c r="LH526" s="2"/>
      <c r="LI526" s="2"/>
      <c r="LJ526" s="2"/>
      <c r="LK526" s="2"/>
      <c r="LL526" s="2"/>
      <c r="LM526" s="2"/>
      <c r="LN526" s="2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</row>
    <row r="527" spans="1:343">
      <c r="A527" s="1">
        <v>1890</v>
      </c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>
        <v>1232028.2040187444</v>
      </c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4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4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  <c r="JY527" s="2"/>
      <c r="JZ527" s="2"/>
      <c r="KA527" s="2"/>
      <c r="KB527" s="2"/>
      <c r="KC527" s="2"/>
      <c r="KD527" s="2"/>
      <c r="KE527" s="2"/>
      <c r="KF527" s="2"/>
      <c r="KG527" s="2"/>
      <c r="KH527" s="2"/>
      <c r="KI527" s="2"/>
      <c r="KJ527" s="2"/>
      <c r="KK527" s="2"/>
      <c r="KL527" s="2"/>
      <c r="KM527" s="2"/>
      <c r="KN527" s="2"/>
      <c r="KO527" s="2"/>
      <c r="KP527" s="2"/>
      <c r="KQ527" s="2"/>
      <c r="KR527" s="2"/>
      <c r="KS527" s="2"/>
      <c r="KT527" s="2"/>
      <c r="KU527" s="2"/>
      <c r="KV527" s="2"/>
      <c r="KW527" s="2"/>
      <c r="KX527" s="2"/>
      <c r="KY527" s="2"/>
      <c r="KZ527" s="2"/>
      <c r="LA527" s="2"/>
      <c r="LB527" s="2"/>
      <c r="LC527" s="2"/>
      <c r="LD527" s="2"/>
      <c r="LE527" s="2"/>
      <c r="LF527" s="2"/>
      <c r="LG527" s="2"/>
      <c r="LH527" s="2"/>
      <c r="LI527" s="2"/>
      <c r="LJ527" s="2"/>
      <c r="LK527" s="2"/>
      <c r="LL527" s="2"/>
      <c r="LM527" s="2"/>
      <c r="LN527" s="2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</row>
    <row r="528" spans="1:343">
      <c r="A528" s="1">
        <v>1891</v>
      </c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>
        <v>1234492.2604267818</v>
      </c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4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4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  <c r="JY528" s="2"/>
      <c r="JZ528" s="2"/>
      <c r="KA528" s="2"/>
      <c r="KB528" s="2"/>
      <c r="KC528" s="2"/>
      <c r="KD528" s="2"/>
      <c r="KE528" s="2"/>
      <c r="KF528" s="2"/>
      <c r="KG528" s="2"/>
      <c r="KH528" s="2"/>
      <c r="KI528" s="2"/>
      <c r="KJ528" s="2"/>
      <c r="KK528" s="2"/>
      <c r="KL528" s="2"/>
      <c r="KM528" s="2"/>
      <c r="KN528" s="2"/>
      <c r="KO528" s="2"/>
      <c r="KP528" s="2"/>
      <c r="KQ528" s="2"/>
      <c r="KR528" s="2"/>
      <c r="KS528" s="2"/>
      <c r="KT528" s="2"/>
      <c r="KU528" s="2"/>
      <c r="KV528" s="2"/>
      <c r="KW528" s="2"/>
      <c r="KX528" s="2"/>
      <c r="KY528" s="2"/>
      <c r="KZ528" s="2"/>
      <c r="LA528" s="2"/>
      <c r="LB528" s="2"/>
      <c r="LC528" s="2"/>
      <c r="LD528" s="2"/>
      <c r="LE528" s="2"/>
      <c r="LF528" s="2"/>
      <c r="LG528" s="2"/>
      <c r="LH528" s="2"/>
      <c r="LI528" s="2"/>
      <c r="LJ528" s="2"/>
      <c r="LK528" s="2"/>
      <c r="LL528" s="2"/>
      <c r="LM528" s="2"/>
      <c r="LN528" s="2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</row>
    <row r="529" spans="1:343">
      <c r="A529" s="1">
        <v>1892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>
        <v>1236961.2449476353</v>
      </c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4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4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  <c r="JY529" s="2"/>
      <c r="JZ529" s="2"/>
      <c r="KA529" s="2"/>
      <c r="KB529" s="2"/>
      <c r="KC529" s="2"/>
      <c r="KD529" s="2"/>
      <c r="KE529" s="2"/>
      <c r="KF529" s="2"/>
      <c r="KG529" s="2"/>
      <c r="KH529" s="2"/>
      <c r="KI529" s="2"/>
      <c r="KJ529" s="2"/>
      <c r="KK529" s="2"/>
      <c r="KL529" s="2"/>
      <c r="KM529" s="2"/>
      <c r="KN529" s="2"/>
      <c r="KO529" s="2"/>
      <c r="KP529" s="2"/>
      <c r="KQ529" s="2"/>
      <c r="KR529" s="2"/>
      <c r="KS529" s="2"/>
      <c r="KT529" s="2"/>
      <c r="KU529" s="2"/>
      <c r="KV529" s="2"/>
      <c r="KW529" s="2"/>
      <c r="KX529" s="2"/>
      <c r="KY529" s="2"/>
      <c r="KZ529" s="2"/>
      <c r="LA529" s="2"/>
      <c r="LB529" s="2"/>
      <c r="LC529" s="2"/>
      <c r="LD529" s="2"/>
      <c r="LE529" s="2"/>
      <c r="LF529" s="2"/>
      <c r="LG529" s="2"/>
      <c r="LH529" s="2"/>
      <c r="LI529" s="2"/>
      <c r="LJ529" s="2"/>
      <c r="LK529" s="2"/>
      <c r="LL529" s="2"/>
      <c r="LM529" s="2"/>
      <c r="LN529" s="2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</row>
    <row r="530" spans="1:343">
      <c r="A530" s="1">
        <v>1893</v>
      </c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>
        <v>1239435.1674375306</v>
      </c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4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4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  <c r="JY530" s="2"/>
      <c r="JZ530" s="2"/>
      <c r="KA530" s="2"/>
      <c r="KB530" s="2"/>
      <c r="KC530" s="2"/>
      <c r="KD530" s="2"/>
      <c r="KE530" s="2"/>
      <c r="KF530" s="2"/>
      <c r="KG530" s="2"/>
      <c r="KH530" s="2"/>
      <c r="KI530" s="2"/>
      <c r="KJ530" s="2"/>
      <c r="KK530" s="2"/>
      <c r="KL530" s="2"/>
      <c r="KM530" s="2"/>
      <c r="KN530" s="2"/>
      <c r="KO530" s="2"/>
      <c r="KP530" s="2"/>
      <c r="KQ530" s="2"/>
      <c r="KR530" s="2"/>
      <c r="KS530" s="2"/>
      <c r="KT530" s="2"/>
      <c r="KU530" s="2"/>
      <c r="KV530" s="2"/>
      <c r="KW530" s="2"/>
      <c r="KX530" s="2"/>
      <c r="KY530" s="2"/>
      <c r="KZ530" s="2"/>
      <c r="LA530" s="2"/>
      <c r="LB530" s="2"/>
      <c r="LC530" s="2"/>
      <c r="LD530" s="2"/>
      <c r="LE530" s="2"/>
      <c r="LF530" s="2"/>
      <c r="LG530" s="2"/>
      <c r="LH530" s="2"/>
      <c r="LI530" s="2"/>
      <c r="LJ530" s="2"/>
      <c r="LK530" s="2"/>
      <c r="LL530" s="2"/>
      <c r="LM530" s="2"/>
      <c r="LN530" s="2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</row>
    <row r="531" spans="1:343">
      <c r="A531" s="1">
        <v>1894</v>
      </c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>
        <v>1241914.0377724057</v>
      </c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4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4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  <c r="JY531" s="2"/>
      <c r="JZ531" s="2"/>
      <c r="KA531" s="2"/>
      <c r="KB531" s="2"/>
      <c r="KC531" s="2"/>
      <c r="KD531" s="2"/>
      <c r="KE531" s="2"/>
      <c r="KF531" s="2"/>
      <c r="KG531" s="2"/>
      <c r="KH531" s="2"/>
      <c r="KI531" s="2"/>
      <c r="KJ531" s="2"/>
      <c r="KK531" s="2"/>
      <c r="KL531" s="2"/>
      <c r="KM531" s="2"/>
      <c r="KN531" s="2"/>
      <c r="KO531" s="2"/>
      <c r="KP531" s="2"/>
      <c r="KQ531" s="2"/>
      <c r="KR531" s="2"/>
      <c r="KS531" s="2"/>
      <c r="KT531" s="2"/>
      <c r="KU531" s="2"/>
      <c r="KV531" s="2"/>
      <c r="KW531" s="2"/>
      <c r="KX531" s="2"/>
      <c r="KY531" s="2"/>
      <c r="KZ531" s="2"/>
      <c r="LA531" s="2"/>
      <c r="LB531" s="2"/>
      <c r="LC531" s="2"/>
      <c r="LD531" s="2"/>
      <c r="LE531" s="2"/>
      <c r="LF531" s="2"/>
      <c r="LG531" s="2"/>
      <c r="LH531" s="2"/>
      <c r="LI531" s="2"/>
      <c r="LJ531" s="2"/>
      <c r="LK531" s="2"/>
      <c r="LL531" s="2"/>
      <c r="LM531" s="2"/>
      <c r="LN531" s="2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</row>
    <row r="532" spans="1:343">
      <c r="A532" s="1">
        <v>1895</v>
      </c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>
        <v>1244397.8658479506</v>
      </c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4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4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  <c r="JY532" s="2"/>
      <c r="JZ532" s="2"/>
      <c r="KA532" s="2"/>
      <c r="KB532" s="2"/>
      <c r="KC532" s="2"/>
      <c r="KD532" s="2"/>
      <c r="KE532" s="2"/>
      <c r="KF532" s="2"/>
      <c r="KG532" s="2"/>
      <c r="KH532" s="2"/>
      <c r="KI532" s="2"/>
      <c r="KJ532" s="2"/>
      <c r="KK532" s="2"/>
      <c r="KL532" s="2"/>
      <c r="KM532" s="2"/>
      <c r="KN532" s="2"/>
      <c r="KO532" s="2"/>
      <c r="KP532" s="2"/>
      <c r="KQ532" s="2"/>
      <c r="KR532" s="2"/>
      <c r="KS532" s="2"/>
      <c r="KT532" s="2"/>
      <c r="KU532" s="2"/>
      <c r="KV532" s="2"/>
      <c r="KW532" s="2"/>
      <c r="KX532" s="2"/>
      <c r="KY532" s="2"/>
      <c r="KZ532" s="2"/>
      <c r="LA532" s="2"/>
      <c r="LB532" s="2"/>
      <c r="LC532" s="2"/>
      <c r="LD532" s="2"/>
      <c r="LE532" s="2"/>
      <c r="LF532" s="2"/>
      <c r="LG532" s="2"/>
      <c r="LH532" s="2"/>
      <c r="LI532" s="2"/>
      <c r="LJ532" s="2"/>
      <c r="LK532" s="2"/>
      <c r="LL532" s="2"/>
      <c r="LM532" s="2"/>
      <c r="LN532" s="2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</row>
    <row r="533" spans="1:343">
      <c r="A533" s="1">
        <v>1896</v>
      </c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>
        <v>1246886.6615796464</v>
      </c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4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4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  <c r="JY533" s="2"/>
      <c r="JZ533" s="2"/>
      <c r="KA533" s="2"/>
      <c r="KB533" s="2"/>
      <c r="KC533" s="2"/>
      <c r="KD533" s="2"/>
      <c r="KE533" s="2"/>
      <c r="KF533" s="2"/>
      <c r="KG533" s="2"/>
      <c r="KH533" s="2"/>
      <c r="KI533" s="2"/>
      <c r="KJ533" s="2"/>
      <c r="KK533" s="2"/>
      <c r="KL533" s="2"/>
      <c r="KM533" s="2"/>
      <c r="KN533" s="2"/>
      <c r="KO533" s="2"/>
      <c r="KP533" s="2"/>
      <c r="KQ533" s="2"/>
      <c r="KR533" s="2"/>
      <c r="KS533" s="2"/>
      <c r="KT533" s="2"/>
      <c r="KU533" s="2"/>
      <c r="KV533" s="2"/>
      <c r="KW533" s="2"/>
      <c r="KX533" s="2"/>
      <c r="KY533" s="2"/>
      <c r="KZ533" s="2"/>
      <c r="LA533" s="2"/>
      <c r="LB533" s="2"/>
      <c r="LC533" s="2"/>
      <c r="LD533" s="2"/>
      <c r="LE533" s="2"/>
      <c r="LF533" s="2"/>
      <c r="LG533" s="2"/>
      <c r="LH533" s="2"/>
      <c r="LI533" s="2"/>
      <c r="LJ533" s="2"/>
      <c r="LK533" s="2"/>
      <c r="LL533" s="2"/>
      <c r="LM533" s="2"/>
      <c r="LN533" s="2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</row>
    <row r="534" spans="1:343">
      <c r="A534" s="1">
        <v>1897</v>
      </c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>
        <v>1249380.4349028056</v>
      </c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4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4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  <c r="JY534" s="2"/>
      <c r="JZ534" s="2"/>
      <c r="KA534" s="2"/>
      <c r="KB534" s="2"/>
      <c r="KC534" s="2"/>
      <c r="KD534" s="2"/>
      <c r="KE534" s="2"/>
      <c r="KF534" s="2"/>
      <c r="KG534" s="2"/>
      <c r="KH534" s="2"/>
      <c r="KI534" s="2"/>
      <c r="KJ534" s="2"/>
      <c r="KK534" s="2"/>
      <c r="KL534" s="2"/>
      <c r="KM534" s="2"/>
      <c r="KN534" s="2"/>
      <c r="KO534" s="2"/>
      <c r="KP534" s="2"/>
      <c r="KQ534" s="2"/>
      <c r="KR534" s="2"/>
      <c r="KS534" s="2"/>
      <c r="KT534" s="2"/>
      <c r="KU534" s="2"/>
      <c r="KV534" s="2"/>
      <c r="KW534" s="2"/>
      <c r="KX534" s="2"/>
      <c r="KY534" s="2"/>
      <c r="KZ534" s="2"/>
      <c r="LA534" s="2"/>
      <c r="LB534" s="2"/>
      <c r="LC534" s="2"/>
      <c r="LD534" s="2"/>
      <c r="LE534" s="2"/>
      <c r="LF534" s="2"/>
      <c r="LG534" s="2"/>
      <c r="LH534" s="2"/>
      <c r="LI534" s="2"/>
      <c r="LJ534" s="2"/>
      <c r="LK534" s="2"/>
      <c r="LL534" s="2"/>
      <c r="LM534" s="2"/>
      <c r="LN534" s="2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</row>
    <row r="535" spans="1:343">
      <c r="A535" s="1">
        <v>1898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>
        <v>1251879.1957726113</v>
      </c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4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4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  <c r="JY535" s="2"/>
      <c r="JZ535" s="2"/>
      <c r="KA535" s="2"/>
      <c r="KB535" s="2"/>
      <c r="KC535" s="2"/>
      <c r="KD535" s="2"/>
      <c r="KE535" s="2"/>
      <c r="KF535" s="2"/>
      <c r="KG535" s="2"/>
      <c r="KH535" s="2"/>
      <c r="KI535" s="2"/>
      <c r="KJ535" s="2"/>
      <c r="KK535" s="2"/>
      <c r="KL535" s="2"/>
      <c r="KM535" s="2"/>
      <c r="KN535" s="2"/>
      <c r="KO535" s="2"/>
      <c r="KP535" s="2"/>
      <c r="KQ535" s="2"/>
      <c r="KR535" s="2"/>
      <c r="KS535" s="2"/>
      <c r="KT535" s="2"/>
      <c r="KU535" s="2"/>
      <c r="KV535" s="2"/>
      <c r="KW535" s="2"/>
      <c r="KX535" s="2"/>
      <c r="KY535" s="2"/>
      <c r="KZ535" s="2"/>
      <c r="LA535" s="2"/>
      <c r="LB535" s="2"/>
      <c r="LC535" s="2"/>
      <c r="LD535" s="2"/>
      <c r="LE535" s="2"/>
      <c r="LF535" s="2"/>
      <c r="LG535" s="2"/>
      <c r="LH535" s="2"/>
      <c r="LI535" s="2"/>
      <c r="LJ535" s="2"/>
      <c r="LK535" s="2"/>
      <c r="LL535" s="2"/>
      <c r="LM535" s="2"/>
      <c r="LN535" s="2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</row>
    <row r="536" spans="1:343">
      <c r="A536" s="1">
        <v>1899</v>
      </c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>
        <v>1254382.9541641565</v>
      </c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4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4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  <c r="JY536" s="2"/>
      <c r="JZ536" s="2"/>
      <c r="KA536" s="2"/>
      <c r="KB536" s="2"/>
      <c r="KC536" s="2"/>
      <c r="KD536" s="2"/>
      <c r="KE536" s="2"/>
      <c r="KF536" s="2"/>
      <c r="KG536" s="2"/>
      <c r="KH536" s="2"/>
      <c r="KI536" s="2"/>
      <c r="KJ536" s="2"/>
      <c r="KK536" s="2"/>
      <c r="KL536" s="2"/>
      <c r="KM536" s="2"/>
      <c r="KN536" s="2"/>
      <c r="KO536" s="2"/>
      <c r="KP536" s="2"/>
      <c r="KQ536" s="2"/>
      <c r="KR536" s="2"/>
      <c r="KS536" s="2"/>
      <c r="KT536" s="2"/>
      <c r="KU536" s="2"/>
      <c r="KV536" s="2"/>
      <c r="KW536" s="2"/>
      <c r="KX536" s="2"/>
      <c r="KY536" s="2"/>
      <c r="KZ536" s="2"/>
      <c r="LA536" s="2"/>
      <c r="LB536" s="2"/>
      <c r="LC536" s="2"/>
      <c r="LD536" s="2"/>
      <c r="LE536" s="2"/>
      <c r="LF536" s="2"/>
      <c r="LG536" s="2"/>
      <c r="LH536" s="2"/>
      <c r="LI536" s="2"/>
      <c r="LJ536" s="2"/>
      <c r="LK536" s="2"/>
      <c r="LL536" s="2"/>
      <c r="LM536" s="2"/>
      <c r="LN536" s="2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</row>
    <row r="537" spans="1:343">
      <c r="A537" s="1">
        <v>1900</v>
      </c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>
        <v>1256891.7200724848</v>
      </c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4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4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  <c r="JY537" s="2"/>
      <c r="JZ537" s="2"/>
      <c r="KA537" s="2"/>
      <c r="KB537" s="2"/>
      <c r="KC537" s="2"/>
      <c r="KD537" s="2"/>
      <c r="KE537" s="2"/>
      <c r="KF537" s="2"/>
      <c r="KG537" s="2"/>
      <c r="KH537" s="2"/>
      <c r="KI537" s="2"/>
      <c r="KJ537" s="2"/>
      <c r="KK537" s="2"/>
      <c r="KL537" s="2"/>
      <c r="KM537" s="2"/>
      <c r="KN537" s="2"/>
      <c r="KO537" s="2"/>
      <c r="KP537" s="2"/>
      <c r="KQ537" s="2"/>
      <c r="KR537" s="2"/>
      <c r="KS537" s="2"/>
      <c r="KT537" s="2"/>
      <c r="KU537" s="2"/>
      <c r="KV537" s="2"/>
      <c r="KW537" s="2"/>
      <c r="KX537" s="2"/>
      <c r="KY537" s="2"/>
      <c r="KZ537" s="2"/>
      <c r="LA537" s="2"/>
      <c r="LB537" s="2"/>
      <c r="LC537" s="2"/>
      <c r="LD537" s="2"/>
      <c r="LE537" s="2"/>
      <c r="LF537" s="2"/>
      <c r="LG537" s="2"/>
      <c r="LH537" s="2"/>
      <c r="LI537" s="2"/>
      <c r="LJ537" s="2"/>
      <c r="LK537" s="2"/>
      <c r="LL537" s="2"/>
      <c r="LM537" s="2"/>
      <c r="LN537" s="2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</row>
    <row r="538" spans="1:343">
      <c r="A538" s="1">
        <v>1901</v>
      </c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>
        <v>1259405.5035126298</v>
      </c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4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4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  <c r="JY538" s="2"/>
      <c r="JZ538" s="2"/>
      <c r="KA538" s="2"/>
      <c r="KB538" s="2"/>
      <c r="KC538" s="2"/>
      <c r="KD538" s="2"/>
      <c r="KE538" s="2"/>
      <c r="KF538" s="2"/>
      <c r="KG538" s="2"/>
      <c r="KH538" s="2"/>
      <c r="KI538" s="2"/>
      <c r="KJ538" s="2"/>
      <c r="KK538" s="2"/>
      <c r="KL538" s="2"/>
      <c r="KM538" s="2"/>
      <c r="KN538" s="2"/>
      <c r="KO538" s="2"/>
      <c r="KP538" s="2"/>
      <c r="KQ538" s="2"/>
      <c r="KR538" s="2"/>
      <c r="KS538" s="2"/>
      <c r="KT538" s="2"/>
      <c r="KU538" s="2"/>
      <c r="KV538" s="2"/>
      <c r="KW538" s="2"/>
      <c r="KX538" s="2"/>
      <c r="KY538" s="2"/>
      <c r="KZ538" s="2"/>
      <c r="LA538" s="2"/>
      <c r="LB538" s="2"/>
      <c r="LC538" s="2"/>
      <c r="LD538" s="2"/>
      <c r="LE538" s="2"/>
      <c r="LF538" s="2"/>
      <c r="LG538" s="2"/>
      <c r="LH538" s="2"/>
      <c r="LI538" s="2"/>
      <c r="LJ538" s="2"/>
      <c r="LK538" s="2"/>
      <c r="LL538" s="2"/>
      <c r="LM538" s="2"/>
      <c r="LN538" s="2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</row>
    <row r="539" spans="1:343">
      <c r="A539" s="1">
        <v>1902</v>
      </c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>
        <v>1261924.314519655</v>
      </c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4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4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  <c r="JY539" s="2"/>
      <c r="JZ539" s="2"/>
      <c r="KA539" s="2"/>
      <c r="KB539" s="2"/>
      <c r="KC539" s="2"/>
      <c r="KD539" s="2"/>
      <c r="KE539" s="2"/>
      <c r="KF539" s="2"/>
      <c r="KG539" s="2"/>
      <c r="KH539" s="2"/>
      <c r="KI539" s="2"/>
      <c r="KJ539" s="2"/>
      <c r="KK539" s="2"/>
      <c r="KL539" s="2"/>
      <c r="KM539" s="2"/>
      <c r="KN539" s="2"/>
      <c r="KO539" s="2"/>
      <c r="KP539" s="2"/>
      <c r="KQ539" s="2"/>
      <c r="KR539" s="2"/>
      <c r="KS539" s="2"/>
      <c r="KT539" s="2"/>
      <c r="KU539" s="2"/>
      <c r="KV539" s="2"/>
      <c r="KW539" s="2"/>
      <c r="KX539" s="2"/>
      <c r="KY539" s="2"/>
      <c r="KZ539" s="2"/>
      <c r="LA539" s="2"/>
      <c r="LB539" s="2"/>
      <c r="LC539" s="2"/>
      <c r="LD539" s="2"/>
      <c r="LE539" s="2"/>
      <c r="LF539" s="2"/>
      <c r="LG539" s="2"/>
      <c r="LH539" s="2"/>
      <c r="LI539" s="2"/>
      <c r="LJ539" s="2"/>
      <c r="LK539" s="2"/>
      <c r="LL539" s="2"/>
      <c r="LM539" s="2"/>
      <c r="LN539" s="2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</row>
    <row r="540" spans="1:343">
      <c r="A540" s="1">
        <v>1903</v>
      </c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>
        <v>1264448.1631486942</v>
      </c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4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4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  <c r="JY540" s="2"/>
      <c r="JZ540" s="2"/>
      <c r="KA540" s="2"/>
      <c r="KB540" s="2"/>
      <c r="KC540" s="2"/>
      <c r="KD540" s="2"/>
      <c r="KE540" s="2"/>
      <c r="KF540" s="2"/>
      <c r="KG540" s="2"/>
      <c r="KH540" s="2"/>
      <c r="KI540" s="2"/>
      <c r="KJ540" s="2"/>
      <c r="KK540" s="2"/>
      <c r="KL540" s="2"/>
      <c r="KM540" s="2"/>
      <c r="KN540" s="2"/>
      <c r="KO540" s="2"/>
      <c r="KP540" s="2"/>
      <c r="KQ540" s="2"/>
      <c r="KR540" s="2"/>
      <c r="KS540" s="2"/>
      <c r="KT540" s="2"/>
      <c r="KU540" s="2"/>
      <c r="KV540" s="2"/>
      <c r="KW540" s="2"/>
      <c r="KX540" s="2"/>
      <c r="KY540" s="2"/>
      <c r="KZ540" s="2"/>
      <c r="LA540" s="2"/>
      <c r="LB540" s="2"/>
      <c r="LC540" s="2"/>
      <c r="LD540" s="2"/>
      <c r="LE540" s="2"/>
      <c r="LF540" s="2"/>
      <c r="LG540" s="2"/>
      <c r="LH540" s="2"/>
      <c r="LI540" s="2"/>
      <c r="LJ540" s="2"/>
      <c r="LK540" s="2"/>
      <c r="LL540" s="2"/>
      <c r="LM540" s="2"/>
      <c r="LN540" s="2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</row>
    <row r="541" spans="1:343">
      <c r="A541" s="1">
        <v>1904</v>
      </c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>
        <v>1266977.0594749916</v>
      </c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4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4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  <c r="JY541" s="2"/>
      <c r="JZ541" s="2"/>
      <c r="KA541" s="2"/>
      <c r="KB541" s="2"/>
      <c r="KC541" s="2"/>
      <c r="KD541" s="2"/>
      <c r="KE541" s="2"/>
      <c r="KF541" s="2"/>
      <c r="KG541" s="2"/>
      <c r="KH541" s="2"/>
      <c r="KI541" s="2"/>
      <c r="KJ541" s="2"/>
      <c r="KK541" s="2"/>
      <c r="KL541" s="2"/>
      <c r="KM541" s="2"/>
      <c r="KN541" s="2"/>
      <c r="KO541" s="2"/>
      <c r="KP541" s="2"/>
      <c r="KQ541" s="2"/>
      <c r="KR541" s="2"/>
      <c r="KS541" s="2"/>
      <c r="KT541" s="2"/>
      <c r="KU541" s="2"/>
      <c r="KV541" s="2"/>
      <c r="KW541" s="2"/>
      <c r="KX541" s="2"/>
      <c r="KY541" s="2"/>
      <c r="KZ541" s="2"/>
      <c r="LA541" s="2"/>
      <c r="LB541" s="2"/>
      <c r="LC541" s="2"/>
      <c r="LD541" s="2"/>
      <c r="LE541" s="2"/>
      <c r="LF541" s="2"/>
      <c r="LG541" s="2"/>
      <c r="LH541" s="2"/>
      <c r="LI541" s="2"/>
      <c r="LJ541" s="2"/>
      <c r="LK541" s="2"/>
      <c r="LL541" s="2"/>
      <c r="LM541" s="2"/>
      <c r="LN541" s="2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</row>
    <row r="542" spans="1:343">
      <c r="A542" s="1">
        <v>1905</v>
      </c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>
        <v>1269511.0135939417</v>
      </c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4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4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  <c r="JY542" s="2"/>
      <c r="JZ542" s="2"/>
      <c r="KA542" s="2"/>
      <c r="KB542" s="2"/>
      <c r="KC542" s="2"/>
      <c r="KD542" s="2"/>
      <c r="KE542" s="2"/>
      <c r="KF542" s="2"/>
      <c r="KG542" s="2"/>
      <c r="KH542" s="2"/>
      <c r="KI542" s="2"/>
      <c r="KJ542" s="2"/>
      <c r="KK542" s="2"/>
      <c r="KL542" s="2"/>
      <c r="KM542" s="2"/>
      <c r="KN542" s="2"/>
      <c r="KO542" s="2"/>
      <c r="KP542" s="2"/>
      <c r="KQ542" s="2"/>
      <c r="KR542" s="2"/>
      <c r="KS542" s="2"/>
      <c r="KT542" s="2"/>
      <c r="KU542" s="2"/>
      <c r="KV542" s="2"/>
      <c r="KW542" s="2"/>
      <c r="KX542" s="2"/>
      <c r="KY542" s="2"/>
      <c r="KZ542" s="2"/>
      <c r="LA542" s="2"/>
      <c r="LB542" s="2"/>
      <c r="LC542" s="2"/>
      <c r="LD542" s="2"/>
      <c r="LE542" s="2"/>
      <c r="LF542" s="2"/>
      <c r="LG542" s="2"/>
      <c r="LH542" s="2"/>
      <c r="LI542" s="2"/>
      <c r="LJ542" s="2"/>
      <c r="LK542" s="2"/>
      <c r="LL542" s="2"/>
      <c r="LM542" s="2"/>
      <c r="LN542" s="2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</row>
    <row r="543" spans="1:343">
      <c r="A543" s="1">
        <v>1906</v>
      </c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>
        <v>1272050.0356211297</v>
      </c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4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4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  <c r="JY543" s="2"/>
      <c r="JZ543" s="2"/>
      <c r="KA543" s="2"/>
      <c r="KB543" s="2"/>
      <c r="KC543" s="2"/>
      <c r="KD543" s="2"/>
      <c r="KE543" s="2"/>
      <c r="KF543" s="2"/>
      <c r="KG543" s="2"/>
      <c r="KH543" s="2"/>
      <c r="KI543" s="2"/>
      <c r="KJ543" s="2"/>
      <c r="KK543" s="2"/>
      <c r="KL543" s="2"/>
      <c r="KM543" s="2"/>
      <c r="KN543" s="2"/>
      <c r="KO543" s="2"/>
      <c r="KP543" s="2"/>
      <c r="KQ543" s="2"/>
      <c r="KR543" s="2"/>
      <c r="KS543" s="2"/>
      <c r="KT543" s="2"/>
      <c r="KU543" s="2"/>
      <c r="KV543" s="2"/>
      <c r="KW543" s="2"/>
      <c r="KX543" s="2"/>
      <c r="KY543" s="2"/>
      <c r="KZ543" s="2"/>
      <c r="LA543" s="2"/>
      <c r="LB543" s="2"/>
      <c r="LC543" s="2"/>
      <c r="LD543" s="2"/>
      <c r="LE543" s="2"/>
      <c r="LF543" s="2"/>
      <c r="LG543" s="2"/>
      <c r="LH543" s="2"/>
      <c r="LI543" s="2"/>
      <c r="LJ543" s="2"/>
      <c r="LK543" s="2"/>
      <c r="LL543" s="2"/>
      <c r="LM543" s="2"/>
      <c r="LN543" s="2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</row>
    <row r="544" spans="1:343">
      <c r="A544" s="1">
        <v>1907</v>
      </c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>
        <v>1274594.135692372</v>
      </c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4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4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  <c r="JY544" s="2"/>
      <c r="JZ544" s="2"/>
      <c r="KA544" s="2"/>
      <c r="KB544" s="2"/>
      <c r="KC544" s="2"/>
      <c r="KD544" s="2"/>
      <c r="KE544" s="2"/>
      <c r="KF544" s="2"/>
      <c r="KG544" s="2"/>
      <c r="KH544" s="2"/>
      <c r="KI544" s="2"/>
      <c r="KJ544" s="2"/>
      <c r="KK544" s="2"/>
      <c r="KL544" s="2"/>
      <c r="KM544" s="2"/>
      <c r="KN544" s="2"/>
      <c r="KO544" s="2"/>
      <c r="KP544" s="2"/>
      <c r="KQ544" s="2"/>
      <c r="KR544" s="2"/>
      <c r="KS544" s="2"/>
      <c r="KT544" s="2"/>
      <c r="KU544" s="2"/>
      <c r="KV544" s="2"/>
      <c r="KW544" s="2"/>
      <c r="KX544" s="2"/>
      <c r="KY544" s="2"/>
      <c r="KZ544" s="2"/>
      <c r="LA544" s="2"/>
      <c r="LB544" s="2"/>
      <c r="LC544" s="2"/>
      <c r="LD544" s="2"/>
      <c r="LE544" s="2"/>
      <c r="LF544" s="2"/>
      <c r="LG544" s="2"/>
      <c r="LH544" s="2"/>
      <c r="LI544" s="2"/>
      <c r="LJ544" s="2"/>
      <c r="LK544" s="2"/>
      <c r="LL544" s="2"/>
      <c r="LM544" s="2"/>
      <c r="LN544" s="2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</row>
    <row r="545" spans="1:343">
      <c r="A545" s="1">
        <v>1908</v>
      </c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>
        <v>1277143.3239637567</v>
      </c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4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4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  <c r="JY545" s="2"/>
      <c r="JZ545" s="2"/>
      <c r="KA545" s="2"/>
      <c r="KB545" s="2"/>
      <c r="KC545" s="2"/>
      <c r="KD545" s="2"/>
      <c r="KE545" s="2"/>
      <c r="KF545" s="2"/>
      <c r="KG545" s="2"/>
      <c r="KH545" s="2"/>
      <c r="KI545" s="2"/>
      <c r="KJ545" s="2"/>
      <c r="KK545" s="2"/>
      <c r="KL545" s="2"/>
      <c r="KM545" s="2"/>
      <c r="KN545" s="2"/>
      <c r="KO545" s="2"/>
      <c r="KP545" s="2"/>
      <c r="KQ545" s="2"/>
      <c r="KR545" s="2"/>
      <c r="KS545" s="2"/>
      <c r="KT545" s="2"/>
      <c r="KU545" s="2"/>
      <c r="KV545" s="2"/>
      <c r="KW545" s="2"/>
      <c r="KX545" s="2"/>
      <c r="KY545" s="2"/>
      <c r="KZ545" s="2"/>
      <c r="LA545" s="2"/>
      <c r="LB545" s="2"/>
      <c r="LC545" s="2"/>
      <c r="LD545" s="2"/>
      <c r="LE545" s="2"/>
      <c r="LF545" s="2"/>
      <c r="LG545" s="2"/>
      <c r="LH545" s="2"/>
      <c r="LI545" s="2"/>
      <c r="LJ545" s="2"/>
      <c r="LK545" s="2"/>
      <c r="LL545" s="2"/>
      <c r="LM545" s="2"/>
      <c r="LN545" s="2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</row>
    <row r="546" spans="1:343">
      <c r="A546" s="1">
        <v>1909</v>
      </c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>
        <v>1279697.6106116842</v>
      </c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4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4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  <c r="JY546" s="2"/>
      <c r="JZ546" s="2"/>
      <c r="KA546" s="2"/>
      <c r="KB546" s="2"/>
      <c r="KC546" s="2"/>
      <c r="KD546" s="2"/>
      <c r="KE546" s="2"/>
      <c r="KF546" s="2"/>
      <c r="KG546" s="2"/>
      <c r="KH546" s="2"/>
      <c r="KI546" s="2"/>
      <c r="KJ546" s="2"/>
      <c r="KK546" s="2"/>
      <c r="KL546" s="2"/>
      <c r="KM546" s="2"/>
      <c r="KN546" s="2"/>
      <c r="KO546" s="2"/>
      <c r="KP546" s="2"/>
      <c r="KQ546" s="2"/>
      <c r="KR546" s="2"/>
      <c r="KS546" s="2"/>
      <c r="KT546" s="2"/>
      <c r="KU546" s="2"/>
      <c r="KV546" s="2"/>
      <c r="KW546" s="2"/>
      <c r="KX546" s="2"/>
      <c r="KY546" s="2"/>
      <c r="KZ546" s="2"/>
      <c r="LA546" s="2"/>
      <c r="LB546" s="2"/>
      <c r="LC546" s="2"/>
      <c r="LD546" s="2"/>
      <c r="LE546" s="2"/>
      <c r="LF546" s="2"/>
      <c r="LG546" s="2"/>
      <c r="LH546" s="2"/>
      <c r="LI546" s="2"/>
      <c r="LJ546" s="2"/>
      <c r="LK546" s="2"/>
      <c r="LL546" s="2"/>
      <c r="LM546" s="2"/>
      <c r="LN546" s="2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</row>
    <row r="547" spans="1:343">
      <c r="A547" s="1">
        <v>1910</v>
      </c>
      <c r="B547" s="1">
        <v>24365901.299999997</v>
      </c>
      <c r="C547" s="1">
        <v>2044846.8</v>
      </c>
      <c r="D547" s="1"/>
      <c r="E547" s="1"/>
      <c r="F547" s="1"/>
      <c r="G547" s="1"/>
      <c r="H547" s="1"/>
      <c r="I547" s="1"/>
      <c r="J547" s="1"/>
      <c r="K547" s="1">
        <v>3878710</v>
      </c>
      <c r="L547" s="1"/>
      <c r="M547" s="1"/>
      <c r="N547" s="1"/>
      <c r="O547" s="1"/>
      <c r="P547" s="1"/>
      <c r="Q547" s="1"/>
      <c r="R547" s="1">
        <v>1699632.0000000002</v>
      </c>
      <c r="S547" s="1"/>
      <c r="T547" s="1"/>
      <c r="U547" s="1">
        <v>5673184</v>
      </c>
      <c r="V547" s="1"/>
      <c r="W547" s="1"/>
      <c r="X547" s="1"/>
      <c r="Y547" s="1"/>
      <c r="Z547" s="1"/>
      <c r="AA547" s="1"/>
      <c r="AB547" s="1"/>
      <c r="AC547" s="1"/>
      <c r="AD547" s="1">
        <v>3677195.4</v>
      </c>
      <c r="AE547" s="1"/>
      <c r="AF547" s="1">
        <v>1282257.0058329075</v>
      </c>
      <c r="AG547" s="1">
        <v>1123061</v>
      </c>
      <c r="AH547" s="1">
        <v>2528311.7999999998</v>
      </c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>
        <v>2317846.4</v>
      </c>
      <c r="AU547" s="1"/>
      <c r="AV547" s="1"/>
      <c r="AW547" s="1"/>
      <c r="AX547" s="1"/>
      <c r="AY547" s="1"/>
      <c r="AZ547" s="1"/>
      <c r="BA547" s="1"/>
      <c r="BB547" s="1"/>
      <c r="BC547" s="1">
        <v>1423113.9000000001</v>
      </c>
      <c r="BD547" s="1"/>
      <c r="BE547" s="1"/>
      <c r="BF547" s="1"/>
      <c r="BG547" s="1"/>
      <c r="BH547" s="1"/>
      <c r="BI547" s="4">
        <v>29536451.199999996</v>
      </c>
      <c r="BJ547" s="2">
        <v>2849000</v>
      </c>
      <c r="BK547" s="2"/>
      <c r="BL547" s="2"/>
      <c r="BM547" s="2"/>
      <c r="BN547" s="2"/>
      <c r="BO547" s="2"/>
      <c r="BP547" s="2"/>
      <c r="BQ547" s="2">
        <v>3621584</v>
      </c>
      <c r="BR547" s="2"/>
      <c r="BS547" s="2"/>
      <c r="BT547" s="2"/>
      <c r="BU547" s="2"/>
      <c r="BV547" s="2"/>
      <c r="BW547" s="2">
        <v>1296727.2000000002</v>
      </c>
      <c r="BX547" s="2"/>
      <c r="BY547" s="2"/>
      <c r="BZ547" s="2">
        <v>4778136</v>
      </c>
      <c r="CA547" s="2"/>
      <c r="CB547" s="2"/>
      <c r="CC547" s="2"/>
      <c r="CD547" s="2"/>
      <c r="CE547" s="2"/>
      <c r="CF547" s="2"/>
      <c r="CG547" s="2"/>
      <c r="CH547" s="2">
        <v>1738912.0000000002</v>
      </c>
      <c r="CI547" s="2"/>
      <c r="CJ547" s="2"/>
      <c r="CK547" s="2"/>
      <c r="CL547" s="2">
        <v>6074969.9999999991</v>
      </c>
      <c r="CM547" s="2"/>
      <c r="CN547" s="2"/>
      <c r="CO547" s="2"/>
      <c r="CP547" s="2"/>
      <c r="CQ547" s="2"/>
      <c r="CR547" s="2"/>
      <c r="CS547" s="2"/>
      <c r="CT547" s="2">
        <v>860122.4</v>
      </c>
      <c r="CU547" s="2"/>
      <c r="CV547" s="2"/>
      <c r="CW547" s="2"/>
      <c r="CX547" s="2">
        <v>728618.2</v>
      </c>
      <c r="CY547" s="2"/>
      <c r="CZ547" s="2"/>
      <c r="DA547" s="2"/>
      <c r="DB547" s="2"/>
      <c r="DC547" s="2"/>
      <c r="DD547" s="2"/>
      <c r="DE547" s="2">
        <v>1052484</v>
      </c>
      <c r="DF547" s="2"/>
      <c r="DG547" s="2"/>
      <c r="DH547" s="2"/>
      <c r="DI547" s="2"/>
      <c r="DJ547" s="2"/>
      <c r="DK547" s="2"/>
      <c r="DL547" s="2">
        <v>823072</v>
      </c>
      <c r="DM547" s="2"/>
      <c r="DN547" s="2"/>
      <c r="DO547" s="2"/>
      <c r="DP547" s="2"/>
      <c r="DQ547" s="2"/>
      <c r="DR547" s="2"/>
      <c r="DS547" s="2">
        <v>4341069</v>
      </c>
      <c r="DT547" s="2"/>
      <c r="DU547" s="2"/>
      <c r="DV547" s="2"/>
      <c r="DW547" s="2"/>
      <c r="DX547" s="2"/>
      <c r="DY547" s="2"/>
      <c r="DZ547" s="2"/>
      <c r="EA547" s="2"/>
      <c r="EB547" s="2">
        <v>485980.8</v>
      </c>
      <c r="EC547" s="2"/>
      <c r="ED547" s="2"/>
      <c r="EE547" s="2">
        <v>606897.70000000007</v>
      </c>
      <c r="EF547" s="2"/>
      <c r="EG547" s="2">
        <v>278877.89999999997</v>
      </c>
      <c r="EH547" s="2"/>
      <c r="EI547" s="1">
        <v>18490995.899999999</v>
      </c>
      <c r="EJ547" s="1">
        <v>1200152</v>
      </c>
      <c r="EK547" s="1"/>
      <c r="EL547" s="1"/>
      <c r="EM547" s="1"/>
      <c r="EN547" s="1"/>
      <c r="EO547" s="1"/>
      <c r="EP547" s="1"/>
      <c r="EQ547" s="1"/>
      <c r="ER547" s="1"/>
      <c r="ES547" s="1"/>
      <c r="ET547" s="1">
        <v>614068</v>
      </c>
      <c r="EU547" s="1"/>
      <c r="EV547" s="1"/>
      <c r="EW547" s="1"/>
      <c r="EX547" s="1"/>
      <c r="EY547" s="1"/>
      <c r="EZ547" s="1"/>
      <c r="FA547" s="1">
        <v>1229047</v>
      </c>
      <c r="FB547" s="1"/>
      <c r="FC547" s="1"/>
      <c r="FD547" s="1"/>
      <c r="FE547" s="1"/>
      <c r="FF547" s="1"/>
      <c r="FG547" s="1"/>
      <c r="FH547" s="1"/>
      <c r="FI547" s="1">
        <v>1129785.6000000001</v>
      </c>
      <c r="FJ547" s="1"/>
      <c r="FK547" s="1"/>
      <c r="FL547" s="1"/>
      <c r="FM547" s="1"/>
      <c r="FN547" s="1"/>
      <c r="FO547" s="1"/>
      <c r="FP547" s="1"/>
      <c r="FQ547" s="1">
        <v>2813571.2</v>
      </c>
      <c r="FR547" s="1"/>
      <c r="FS547" s="1"/>
      <c r="FT547" s="1"/>
      <c r="FU547" s="1"/>
      <c r="FV547" s="1"/>
      <c r="FW547" s="1"/>
      <c r="FX547" s="1"/>
      <c r="FY547" s="1"/>
      <c r="FZ547" s="1">
        <v>2044109.1</v>
      </c>
      <c r="GA547" s="1"/>
      <c r="GB547" s="1"/>
      <c r="GC547" s="1"/>
      <c r="GD547" s="1"/>
      <c r="GE547" s="1"/>
      <c r="GF547" s="1"/>
      <c r="GG547" s="1"/>
      <c r="GH547" s="1">
        <v>2321280</v>
      </c>
      <c r="GI547" s="1"/>
      <c r="GJ547" s="1"/>
      <c r="GK547" s="1"/>
      <c r="GL547" s="1"/>
      <c r="GM547" s="1"/>
      <c r="GN547" s="1"/>
      <c r="GO547" s="1">
        <v>2350384.4</v>
      </c>
      <c r="GP547" s="1"/>
      <c r="GQ547" s="1"/>
      <c r="GR547" s="1"/>
      <c r="GS547" s="1"/>
      <c r="GT547" s="1"/>
      <c r="GU547" s="1"/>
      <c r="GV547" s="1"/>
      <c r="GW547" s="1"/>
      <c r="GX547" s="1">
        <v>933903.6</v>
      </c>
      <c r="GY547" s="1"/>
      <c r="GZ547" s="1"/>
      <c r="HA547" s="1"/>
      <c r="HB547" s="1"/>
      <c r="HC547" s="1"/>
      <c r="HD547" s="1">
        <v>1050192</v>
      </c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>
        <v>2804503</v>
      </c>
      <c r="HP547" s="1"/>
      <c r="HQ547" s="1"/>
      <c r="HR547" s="1"/>
      <c r="HS547" s="1"/>
      <c r="HT547" s="1"/>
      <c r="HU547" s="1"/>
      <c r="HV547" s="1"/>
      <c r="HW547" s="4">
        <v>14922285.300000001</v>
      </c>
      <c r="HX547" s="1">
        <v>2163938</v>
      </c>
      <c r="HY547" s="2"/>
      <c r="HZ547" s="2"/>
      <c r="IA547" s="2"/>
      <c r="IB547" s="2"/>
      <c r="IC547" s="2"/>
      <c r="ID547" s="2"/>
      <c r="IE547" s="2"/>
      <c r="IF547" s="2"/>
      <c r="IG547" s="2"/>
      <c r="IH547" s="1">
        <v>425975.2</v>
      </c>
      <c r="II547" s="2"/>
      <c r="IJ547" s="2"/>
      <c r="IK547" s="2"/>
      <c r="IL547" s="1">
        <v>600297.5</v>
      </c>
      <c r="IM547" s="2"/>
      <c r="IN547" s="2"/>
      <c r="IO547" s="2"/>
      <c r="IP547" s="2"/>
      <c r="IQ547" s="2"/>
      <c r="IR547" s="1">
        <v>546108.6</v>
      </c>
      <c r="IS547" s="2"/>
      <c r="IT547" s="2"/>
      <c r="IU547" s="2"/>
      <c r="IV547" s="2"/>
      <c r="IW547" s="1">
        <v>1522152</v>
      </c>
      <c r="IX547" s="2"/>
      <c r="IY547" s="2"/>
      <c r="IZ547" s="2"/>
      <c r="JA547" s="2"/>
      <c r="JB547" s="2"/>
      <c r="JC547" s="2"/>
      <c r="JD547" s="2"/>
      <c r="JE547" s="1">
        <v>1409616</v>
      </c>
      <c r="JF547" s="2"/>
      <c r="JG547" s="2"/>
      <c r="JH547" s="2"/>
      <c r="JI547" s="2"/>
      <c r="JJ547" s="2"/>
      <c r="JK547" s="2"/>
      <c r="JL547" s="2"/>
      <c r="JM547" s="1">
        <v>538704.6</v>
      </c>
      <c r="JN547" s="2"/>
      <c r="JO547" s="2"/>
      <c r="JP547" s="2"/>
      <c r="JQ547" s="2"/>
      <c r="JR547" s="2"/>
      <c r="JS547" s="1">
        <v>1191735</v>
      </c>
      <c r="JT547" s="2"/>
      <c r="JU547" s="2"/>
      <c r="JV547" s="2"/>
      <c r="JW547" s="2"/>
      <c r="JX547" s="2"/>
      <c r="JY547" s="2"/>
      <c r="JZ547" s="1">
        <v>1851070.0000000002</v>
      </c>
      <c r="KA547" s="2"/>
      <c r="KB547" s="2"/>
      <c r="KC547" s="2"/>
      <c r="KD547" s="2"/>
      <c r="KE547" s="2"/>
      <c r="KF547" s="2"/>
      <c r="KG547" s="2"/>
      <c r="KH547" s="2"/>
      <c r="KI547" s="2"/>
      <c r="KJ547" s="2"/>
      <c r="KK547" s="1">
        <v>589110</v>
      </c>
      <c r="KL547" s="2"/>
      <c r="KM547" s="2"/>
      <c r="KN547" s="2"/>
      <c r="KO547" s="2"/>
      <c r="KP547" s="1">
        <v>817196.79999999993</v>
      </c>
      <c r="KQ547" s="2"/>
      <c r="KR547" s="2"/>
      <c r="KS547" s="2"/>
      <c r="KT547" s="2"/>
      <c r="KU547" s="2"/>
      <c r="KV547" s="1">
        <v>1892303.9999999998</v>
      </c>
      <c r="KW547" s="2"/>
      <c r="KX547" s="2"/>
      <c r="KY547" s="2"/>
      <c r="KZ547" s="2"/>
      <c r="LA547" s="2"/>
      <c r="LB547" s="2"/>
      <c r="LC547" s="2"/>
      <c r="LD547" s="2"/>
      <c r="LE547" s="2"/>
      <c r="LF547" s="2"/>
      <c r="LG547" s="1">
        <v>711005.6</v>
      </c>
      <c r="LH547" s="2"/>
      <c r="LI547" s="2"/>
      <c r="LJ547" s="1">
        <v>663072</v>
      </c>
      <c r="LK547" s="2"/>
      <c r="LL547" s="2"/>
      <c r="LM547" s="2"/>
      <c r="LN547" s="2"/>
      <c r="LO547" s="1">
        <v>3647895</v>
      </c>
      <c r="LP547" s="1">
        <v>1243070.5</v>
      </c>
      <c r="LQ547" s="1"/>
      <c r="LR547" s="1"/>
      <c r="LS547" s="1"/>
      <c r="LT547" s="1"/>
      <c r="LU547" s="1">
        <v>2404824.5</v>
      </c>
      <c r="LV547" s="1"/>
      <c r="LW547" s="1"/>
      <c r="LX547" s="1"/>
      <c r="LY547" s="1"/>
      <c r="LZ547" s="1"/>
      <c r="MA547" s="1"/>
      <c r="MB547" s="1"/>
      <c r="MC547" s="1"/>
      <c r="MD547" s="1"/>
      <c r="ME547" s="1"/>
    </row>
    <row r="548" spans="1:343">
      <c r="A548" s="1">
        <v>1911</v>
      </c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4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1"/>
      <c r="EJ548" s="1">
        <v>1520928</v>
      </c>
      <c r="EK548" s="1">
        <v>377559</v>
      </c>
      <c r="EL548" s="1">
        <v>302728</v>
      </c>
      <c r="EM548" s="1">
        <v>360205</v>
      </c>
      <c r="EN548" s="1">
        <v>167880</v>
      </c>
      <c r="EO548" s="1">
        <v>104655</v>
      </c>
      <c r="EP548" s="1">
        <v>55430</v>
      </c>
      <c r="EQ548" s="1">
        <v>41333</v>
      </c>
      <c r="ER548" s="1">
        <v>466388</v>
      </c>
      <c r="ES548" s="1">
        <v>64500</v>
      </c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4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  <c r="JY548" s="2"/>
      <c r="JZ548" s="2"/>
      <c r="KA548" s="2"/>
      <c r="KB548" s="2"/>
      <c r="KC548" s="2"/>
      <c r="KD548" s="2"/>
      <c r="KE548" s="2"/>
      <c r="KF548" s="2"/>
      <c r="KG548" s="2"/>
      <c r="KH548" s="2"/>
      <c r="KI548" s="2"/>
      <c r="KJ548" s="2"/>
      <c r="KK548" s="2"/>
      <c r="KL548" s="2"/>
      <c r="KM548" s="2"/>
      <c r="KN548" s="2"/>
      <c r="KO548" s="2"/>
      <c r="KP548" s="2"/>
      <c r="KQ548" s="2"/>
      <c r="KR548" s="2"/>
      <c r="KS548" s="2"/>
      <c r="KT548" s="2"/>
      <c r="KU548" s="2"/>
      <c r="KV548" s="2"/>
      <c r="KW548" s="2"/>
      <c r="KX548" s="2"/>
      <c r="KY548" s="2"/>
      <c r="KZ548" s="2"/>
      <c r="LA548" s="2"/>
      <c r="LB548" s="2"/>
      <c r="LC548" s="2"/>
      <c r="LD548" s="2"/>
      <c r="LE548" s="2"/>
      <c r="LF548" s="2"/>
      <c r="LG548" s="2"/>
      <c r="LH548" s="2"/>
      <c r="LI548" s="2"/>
      <c r="LJ548" s="2"/>
      <c r="LK548" s="2"/>
      <c r="LL548" s="2"/>
      <c r="LM548" s="2"/>
      <c r="LN548" s="2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</row>
    <row r="549" spans="1:343">
      <c r="A549" s="1">
        <v>1912</v>
      </c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4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4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  <c r="JY549" s="2"/>
      <c r="JZ549" s="2"/>
      <c r="KA549" s="2"/>
      <c r="KB549" s="2"/>
      <c r="KC549" s="2"/>
      <c r="KD549" s="2"/>
      <c r="KE549" s="2"/>
      <c r="KF549" s="2"/>
      <c r="KG549" s="2"/>
      <c r="KH549" s="2"/>
      <c r="KI549" s="2"/>
      <c r="KJ549" s="2"/>
      <c r="KK549" s="2"/>
      <c r="KL549" s="2"/>
      <c r="KM549" s="2"/>
      <c r="KN549" s="2"/>
      <c r="KO549" s="2"/>
      <c r="KP549" s="2"/>
      <c r="KQ549" s="2"/>
      <c r="KR549" s="2"/>
      <c r="KS549" s="2"/>
      <c r="KT549" s="2"/>
      <c r="KU549" s="2"/>
      <c r="KV549" s="2"/>
      <c r="KW549" s="2"/>
      <c r="KX549" s="2"/>
      <c r="KY549" s="2"/>
      <c r="KZ549" s="2"/>
      <c r="LA549" s="2"/>
      <c r="LB549" s="2"/>
      <c r="LC549" s="2"/>
      <c r="LD549" s="2"/>
      <c r="LE549" s="2"/>
      <c r="LF549" s="2"/>
      <c r="LG549" s="2"/>
      <c r="LH549" s="2"/>
      <c r="LI549" s="2"/>
      <c r="LJ549" s="2"/>
      <c r="LK549" s="2"/>
      <c r="LL549" s="2"/>
      <c r="LM549" s="2"/>
      <c r="LN549" s="2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</row>
    <row r="550" spans="1:343">
      <c r="A550" s="1">
        <v>1913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4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4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  <c r="JY550" s="2"/>
      <c r="JZ550" s="2"/>
      <c r="KA550" s="2"/>
      <c r="KB550" s="2"/>
      <c r="KC550" s="2"/>
      <c r="KD550" s="2"/>
      <c r="KE550" s="2"/>
      <c r="KF550" s="2"/>
      <c r="KG550" s="2"/>
      <c r="KH550" s="2"/>
      <c r="KI550" s="2"/>
      <c r="KJ550" s="2"/>
      <c r="KK550" s="2"/>
      <c r="KL550" s="2"/>
      <c r="KM550" s="2"/>
      <c r="KN550" s="2"/>
      <c r="KO550" s="2"/>
      <c r="KP550" s="2"/>
      <c r="KQ550" s="2"/>
      <c r="KR550" s="2"/>
      <c r="KS550" s="2"/>
      <c r="KT550" s="2"/>
      <c r="KU550" s="2"/>
      <c r="KV550" s="2"/>
      <c r="KW550" s="2"/>
      <c r="KX550" s="2"/>
      <c r="KY550" s="2"/>
      <c r="KZ550" s="2"/>
      <c r="LA550" s="2"/>
      <c r="LB550" s="2"/>
      <c r="LC550" s="2"/>
      <c r="LD550" s="2"/>
      <c r="LE550" s="2"/>
      <c r="LF550" s="2"/>
      <c r="LG550" s="2"/>
      <c r="LH550" s="2"/>
      <c r="LI550" s="2"/>
      <c r="LJ550" s="2"/>
      <c r="LK550" s="2"/>
      <c r="LL550" s="2"/>
      <c r="LM550" s="2"/>
      <c r="LN550" s="2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</row>
    <row r="551" spans="1:34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4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0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5F455-1B1D-4149-98EF-E9614A0BAF72}">
  <dimension ref="A1:MC550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JG408" sqref="JG408"/>
    </sheetView>
  </sheetViews>
  <sheetFormatPr defaultRowHeight="14.4"/>
  <cols>
    <col min="1" max="1" width="8.88671875" style="1"/>
  </cols>
  <sheetData>
    <row r="1" spans="1:341">
      <c r="B1" s="1" t="s">
        <v>0</v>
      </c>
      <c r="C1" s="1">
        <v>7781</v>
      </c>
      <c r="D1" s="1">
        <v>9183</v>
      </c>
      <c r="E1" s="1"/>
      <c r="F1" s="1"/>
      <c r="G1" s="1"/>
      <c r="H1" s="1"/>
      <c r="I1" s="1"/>
      <c r="J1" s="1"/>
      <c r="K1" s="1">
        <v>19060</v>
      </c>
      <c r="L1" s="1">
        <v>29023</v>
      </c>
      <c r="M1" s="1"/>
      <c r="N1" s="1"/>
      <c r="O1" s="1"/>
      <c r="P1" s="1"/>
      <c r="Q1" s="1"/>
      <c r="R1" s="1">
        <v>10440</v>
      </c>
      <c r="S1" s="1"/>
      <c r="T1" s="1"/>
      <c r="U1" s="1">
        <v>15620</v>
      </c>
      <c r="V1" s="1">
        <v>20560</v>
      </c>
      <c r="W1" s="1"/>
      <c r="X1" s="1"/>
      <c r="Y1" s="1"/>
      <c r="Z1" s="1"/>
      <c r="AA1" s="1"/>
      <c r="AB1" s="1"/>
      <c r="AC1" s="1"/>
      <c r="AD1" s="1">
        <v>6863</v>
      </c>
      <c r="AE1" s="1"/>
      <c r="AF1" s="1"/>
      <c r="AG1" s="1">
        <v>1270</v>
      </c>
      <c r="AH1" s="1">
        <v>6762</v>
      </c>
      <c r="AI1" s="1">
        <v>8267</v>
      </c>
      <c r="AJ1" s="1"/>
      <c r="AK1" s="1"/>
      <c r="AL1" s="1"/>
      <c r="AM1" s="1"/>
      <c r="AN1" s="1"/>
      <c r="AO1" s="1"/>
      <c r="AP1" s="1"/>
      <c r="AQ1" s="1"/>
      <c r="AR1" s="1"/>
      <c r="AS1" s="1"/>
      <c r="AT1" s="1">
        <v>7328</v>
      </c>
      <c r="AU1" s="1">
        <v>6464</v>
      </c>
      <c r="AV1" s="1"/>
      <c r="AW1" s="1"/>
      <c r="AX1" s="1"/>
      <c r="AY1" s="1"/>
      <c r="AZ1" s="1"/>
      <c r="BA1" s="1"/>
      <c r="BB1" s="1"/>
      <c r="BC1" s="1">
        <v>4619</v>
      </c>
      <c r="BD1" s="1">
        <v>3616</v>
      </c>
      <c r="BE1" s="1"/>
      <c r="BF1" s="1"/>
      <c r="BG1" s="1"/>
      <c r="BH1" s="1"/>
      <c r="BI1" s="4" t="s">
        <v>61</v>
      </c>
      <c r="BJ1" s="2">
        <v>14800</v>
      </c>
      <c r="BK1" s="2">
        <v>14860</v>
      </c>
      <c r="BL1" s="2"/>
      <c r="BM1" s="2"/>
      <c r="BN1" s="2"/>
      <c r="BO1" s="2"/>
      <c r="BP1" s="2"/>
      <c r="BQ1" s="2">
        <v>14990</v>
      </c>
      <c r="BR1" s="2">
        <v>24270</v>
      </c>
      <c r="BS1" s="2"/>
      <c r="BT1" s="2"/>
      <c r="BU1" s="2"/>
      <c r="BV1" s="2"/>
      <c r="BW1" s="2">
        <v>9479</v>
      </c>
      <c r="BX1" s="2"/>
      <c r="BY1" s="2"/>
      <c r="BZ1" s="2">
        <v>23760</v>
      </c>
      <c r="CA1" s="2">
        <v>57150</v>
      </c>
      <c r="CB1" s="2"/>
      <c r="CC1" s="2"/>
      <c r="CD1" s="2"/>
      <c r="CE1" s="2"/>
      <c r="CF1" s="2"/>
      <c r="CG1" s="2"/>
      <c r="CH1" s="2">
        <v>11090</v>
      </c>
      <c r="CI1" s="2"/>
      <c r="CJ1" s="2"/>
      <c r="CK1" s="2"/>
      <c r="CL1" s="2">
        <v>22550</v>
      </c>
      <c r="CM1" s="2"/>
      <c r="CN1" s="2"/>
      <c r="CO1" s="2"/>
      <c r="CP1" s="2"/>
      <c r="CQ1" s="2"/>
      <c r="CR1" s="2"/>
      <c r="CS1" s="2"/>
      <c r="CT1" s="2">
        <v>3188</v>
      </c>
      <c r="CU1" s="2">
        <v>3147</v>
      </c>
      <c r="CV1" s="2"/>
      <c r="CW1" s="2"/>
      <c r="CX1" s="2">
        <v>9767</v>
      </c>
      <c r="CY1" s="2">
        <v>10030</v>
      </c>
      <c r="CZ1" s="2"/>
      <c r="DA1" s="2"/>
      <c r="DB1" s="2"/>
      <c r="DC1" s="2"/>
      <c r="DD1" s="2"/>
      <c r="DE1" s="2">
        <v>11490</v>
      </c>
      <c r="DF1" s="2">
        <v>11110</v>
      </c>
      <c r="DG1" s="2"/>
      <c r="DH1" s="2"/>
      <c r="DI1" s="2"/>
      <c r="DJ1" s="2"/>
      <c r="DK1" s="2"/>
      <c r="DL1" s="2">
        <v>11560</v>
      </c>
      <c r="DM1" s="2">
        <v>11500</v>
      </c>
      <c r="DN1" s="2"/>
      <c r="DO1" s="2"/>
      <c r="DP1" s="2"/>
      <c r="DQ1" s="2"/>
      <c r="DR1" s="2"/>
      <c r="DS1" s="2">
        <v>16690</v>
      </c>
      <c r="DT1" s="2">
        <v>10290</v>
      </c>
      <c r="DU1" s="2"/>
      <c r="DV1" s="2"/>
      <c r="DW1" s="2"/>
      <c r="DX1" s="2"/>
      <c r="DY1" s="2"/>
      <c r="DZ1" s="2"/>
      <c r="EA1" s="2"/>
      <c r="EB1" s="2">
        <v>4899</v>
      </c>
      <c r="EC1" s="2"/>
      <c r="ED1" s="2"/>
      <c r="EE1" s="2">
        <v>2663</v>
      </c>
      <c r="EF1" s="2"/>
      <c r="EG1" s="2">
        <v>3239</v>
      </c>
      <c r="EH1" s="2">
        <v>3521</v>
      </c>
      <c r="EI1" s="1" t="s">
        <v>148</v>
      </c>
      <c r="EJ1" s="1">
        <v>7318</v>
      </c>
      <c r="EK1" s="1">
        <v>7774</v>
      </c>
      <c r="EL1" s="1"/>
      <c r="EM1" s="1"/>
      <c r="EN1" s="1"/>
      <c r="EO1" s="1"/>
      <c r="EP1" s="1"/>
      <c r="EQ1" s="1"/>
      <c r="ER1" s="1"/>
      <c r="ES1" s="1"/>
      <c r="ET1" s="1">
        <v>8435</v>
      </c>
      <c r="EU1" s="1">
        <v>8291</v>
      </c>
      <c r="EV1" s="1"/>
      <c r="EW1" s="1"/>
      <c r="EX1" s="1"/>
      <c r="EY1" s="1"/>
      <c r="EZ1" s="1"/>
      <c r="FA1" s="1">
        <v>3209</v>
      </c>
      <c r="FB1" s="1">
        <v>3276</v>
      </c>
      <c r="FC1" s="1"/>
      <c r="FD1" s="1"/>
      <c r="FE1" s="1"/>
      <c r="FF1" s="1"/>
      <c r="FG1" s="1"/>
      <c r="FH1" s="1"/>
      <c r="FI1" s="1">
        <v>6194</v>
      </c>
      <c r="FJ1" s="1">
        <v>6219</v>
      </c>
      <c r="FK1" s="1"/>
      <c r="FL1" s="1"/>
      <c r="FM1" s="1"/>
      <c r="FN1" s="1"/>
      <c r="FO1" s="1"/>
      <c r="FP1" s="1"/>
      <c r="FQ1" s="1">
        <v>9544</v>
      </c>
      <c r="FR1" s="1">
        <v>9402</v>
      </c>
      <c r="FS1" s="1"/>
      <c r="FT1" s="1"/>
      <c r="FU1" s="1"/>
      <c r="FV1" s="1"/>
      <c r="FW1" s="1"/>
      <c r="FX1" s="1"/>
      <c r="FY1" s="1"/>
      <c r="FZ1" s="1">
        <v>5937</v>
      </c>
      <c r="GA1" s="1">
        <v>6337</v>
      </c>
      <c r="GB1" s="1"/>
      <c r="GC1" s="1"/>
      <c r="GD1" s="1"/>
      <c r="GE1" s="1"/>
      <c r="GF1" s="1"/>
      <c r="GG1" s="1"/>
      <c r="GH1" s="1">
        <v>11160</v>
      </c>
      <c r="GI1" s="1">
        <v>11270</v>
      </c>
      <c r="GJ1" s="1"/>
      <c r="GK1" s="1"/>
      <c r="GL1" s="1"/>
      <c r="GM1" s="1"/>
      <c r="GN1" s="1"/>
      <c r="GO1" s="1">
        <v>9934</v>
      </c>
      <c r="GP1" s="1">
        <v>9824</v>
      </c>
      <c r="GQ1" s="1"/>
      <c r="GR1" s="1"/>
      <c r="GS1" s="1"/>
      <c r="GT1" s="1"/>
      <c r="GU1" s="1"/>
      <c r="GV1" s="1"/>
      <c r="GW1" s="1"/>
      <c r="GX1" s="1">
        <v>9138</v>
      </c>
      <c r="GY1" s="1">
        <v>9279</v>
      </c>
      <c r="GZ1" s="1"/>
      <c r="HA1" s="1"/>
      <c r="HB1" s="1"/>
      <c r="HC1" s="1"/>
      <c r="HD1" s="1">
        <v>18360</v>
      </c>
      <c r="HE1" s="1">
        <v>18140</v>
      </c>
      <c r="HF1" s="1"/>
      <c r="HG1" s="1"/>
      <c r="HH1" s="1"/>
      <c r="HI1" s="1"/>
      <c r="HJ1" s="1"/>
      <c r="HK1" s="1"/>
      <c r="HL1" s="1"/>
      <c r="HM1" s="1"/>
      <c r="HN1" s="1"/>
      <c r="HO1" s="1">
        <v>11245</v>
      </c>
      <c r="HP1" s="1">
        <v>11101</v>
      </c>
      <c r="HQ1" s="1"/>
      <c r="HR1" s="1"/>
      <c r="HS1" s="1"/>
      <c r="HT1" s="1"/>
      <c r="HU1" s="1"/>
      <c r="HV1" s="1"/>
      <c r="HW1" s="4" t="s">
        <v>249</v>
      </c>
      <c r="HX1" s="2">
        <v>21770</v>
      </c>
      <c r="HY1" s="2">
        <v>22100</v>
      </c>
      <c r="HZ1" s="2"/>
      <c r="IA1" s="2"/>
      <c r="IB1" s="2"/>
      <c r="IC1" s="2"/>
      <c r="ID1" s="2"/>
      <c r="IE1" s="2"/>
      <c r="IF1" s="2"/>
      <c r="IG1" s="2"/>
      <c r="IH1" s="2">
        <v>5246</v>
      </c>
      <c r="II1" s="2">
        <v>5482</v>
      </c>
      <c r="IJ1" s="2"/>
      <c r="IK1" s="2"/>
      <c r="IL1" s="2">
        <v>6575</v>
      </c>
      <c r="IM1" s="2">
        <v>6350</v>
      </c>
      <c r="IN1" s="2"/>
      <c r="IO1" s="2"/>
      <c r="IP1" s="2"/>
      <c r="IQ1" s="2"/>
      <c r="IR1" s="2">
        <v>5246</v>
      </c>
      <c r="IS1" s="2">
        <v>5177</v>
      </c>
      <c r="IT1" s="2"/>
      <c r="IU1" s="2"/>
      <c r="IV1" s="2"/>
      <c r="IW1" s="2">
        <v>15660</v>
      </c>
      <c r="IX1" s="2">
        <v>15450</v>
      </c>
      <c r="IY1" s="2"/>
      <c r="IZ1" s="2"/>
      <c r="JA1" s="2"/>
      <c r="JB1" s="2"/>
      <c r="JC1" s="2"/>
      <c r="JD1" s="2"/>
      <c r="JE1" s="2">
        <v>14040</v>
      </c>
      <c r="JF1" s="2">
        <v>14070</v>
      </c>
      <c r="JG1" s="2"/>
      <c r="JH1" s="2"/>
      <c r="JI1" s="2"/>
      <c r="JJ1" s="2"/>
      <c r="JK1" s="2"/>
      <c r="JL1" s="2"/>
      <c r="JM1" s="2">
        <v>8187</v>
      </c>
      <c r="JN1" s="2">
        <v>8366</v>
      </c>
      <c r="JO1" s="2"/>
      <c r="JP1" s="2"/>
      <c r="JQ1" s="2"/>
      <c r="JR1" s="2"/>
      <c r="JS1" s="2">
        <v>10650</v>
      </c>
      <c r="JT1" s="2">
        <v>10390</v>
      </c>
      <c r="JU1" s="2"/>
      <c r="JV1" s="2"/>
      <c r="JW1" s="2"/>
      <c r="JX1" s="2"/>
      <c r="JY1" s="2"/>
      <c r="JZ1" s="2">
        <v>24550</v>
      </c>
      <c r="KA1" s="2">
        <v>24360</v>
      </c>
      <c r="KB1" s="2"/>
      <c r="KC1" s="2"/>
      <c r="KD1" s="2"/>
      <c r="KE1" s="2"/>
      <c r="KF1" s="2"/>
      <c r="KG1" s="2"/>
      <c r="KH1" s="2"/>
      <c r="KI1" s="2"/>
      <c r="KJ1" s="2"/>
      <c r="KK1" s="2">
        <v>5380</v>
      </c>
      <c r="KL1" s="2">
        <v>5610</v>
      </c>
      <c r="KM1" s="2"/>
      <c r="KN1" s="2"/>
      <c r="KO1" s="2"/>
      <c r="KP1" s="2">
        <v>8806</v>
      </c>
      <c r="KQ1" s="2">
        <v>8781</v>
      </c>
      <c r="KR1" s="2"/>
      <c r="KS1" s="2"/>
      <c r="KT1" s="2"/>
      <c r="KU1" s="2"/>
      <c r="KV1" s="2">
        <v>23190</v>
      </c>
      <c r="KW1" s="2">
        <v>32220</v>
      </c>
      <c r="KX1" s="2"/>
      <c r="KY1" s="2"/>
      <c r="KZ1" s="2"/>
      <c r="LA1" s="2"/>
      <c r="LB1" s="2"/>
      <c r="LC1" s="2"/>
      <c r="LD1" s="2"/>
      <c r="LE1" s="2"/>
      <c r="LF1" s="2"/>
      <c r="LG1" s="2">
        <v>8692</v>
      </c>
      <c r="LH1" s="2"/>
      <c r="LI1" s="2"/>
      <c r="LJ1" s="2">
        <v>6907</v>
      </c>
      <c r="LK1" s="2">
        <v>6966</v>
      </c>
      <c r="LL1" s="2"/>
      <c r="LM1" s="2"/>
      <c r="LN1" s="2"/>
      <c r="LO1" s="2" t="s">
        <v>348</v>
      </c>
      <c r="LP1" s="2">
        <v>2317</v>
      </c>
      <c r="LQ1" s="2"/>
      <c r="LR1" s="2"/>
      <c r="LS1" s="2"/>
      <c r="LT1" s="2"/>
      <c r="LU1" s="2">
        <v>4157</v>
      </c>
      <c r="LV1" s="2">
        <v>4244</v>
      </c>
      <c r="LW1" s="2"/>
      <c r="LX1" s="2"/>
      <c r="LY1" s="2"/>
      <c r="LZ1" s="2"/>
      <c r="MA1" s="2"/>
      <c r="MB1" s="2"/>
      <c r="MC1" s="2"/>
    </row>
    <row r="2" spans="1:341">
      <c r="B2" s="1"/>
      <c r="C2" s="1" t="s">
        <v>1</v>
      </c>
      <c r="D2" s="1"/>
      <c r="E2" s="1"/>
      <c r="F2" s="1"/>
      <c r="G2" s="1"/>
      <c r="H2" s="1"/>
      <c r="I2" s="1"/>
      <c r="J2" s="1"/>
      <c r="K2" s="1" t="s">
        <v>2</v>
      </c>
      <c r="L2" s="1"/>
      <c r="M2" s="1"/>
      <c r="N2" s="1"/>
      <c r="O2" s="1"/>
      <c r="P2" s="1"/>
      <c r="Q2" s="1"/>
      <c r="R2" s="1" t="s">
        <v>3</v>
      </c>
      <c r="S2" s="1"/>
      <c r="T2" s="1"/>
      <c r="U2" s="1" t="s">
        <v>4</v>
      </c>
      <c r="V2" s="1"/>
      <c r="W2" s="1"/>
      <c r="X2" s="1"/>
      <c r="Y2" s="1"/>
      <c r="Z2" s="1"/>
      <c r="AA2" s="1"/>
      <c r="AB2" s="1"/>
      <c r="AC2" s="1"/>
      <c r="AD2" s="1" t="s">
        <v>5</v>
      </c>
      <c r="AE2" s="1"/>
      <c r="AF2" s="1"/>
      <c r="AG2" s="1" t="s">
        <v>6</v>
      </c>
      <c r="AH2" s="1" t="s">
        <v>7</v>
      </c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 t="s">
        <v>8</v>
      </c>
      <c r="AU2" s="1"/>
      <c r="AV2" s="1"/>
      <c r="AW2" s="1"/>
      <c r="AX2" s="1"/>
      <c r="AY2" s="1"/>
      <c r="AZ2" s="1"/>
      <c r="BA2" s="1"/>
      <c r="BB2" s="1"/>
      <c r="BC2" s="1" t="s">
        <v>9</v>
      </c>
      <c r="BD2" s="1"/>
      <c r="BE2" s="1"/>
      <c r="BF2" s="1"/>
      <c r="BG2" s="1"/>
      <c r="BH2" s="1"/>
      <c r="BI2" s="4"/>
      <c r="BJ2" s="3" t="s">
        <v>62</v>
      </c>
      <c r="BK2" s="2"/>
      <c r="BL2" s="2"/>
      <c r="BM2" s="2"/>
      <c r="BN2" s="2"/>
      <c r="BO2" s="2"/>
      <c r="BP2" s="2"/>
      <c r="BQ2" s="2" t="s">
        <v>63</v>
      </c>
      <c r="BR2" s="2"/>
      <c r="BS2" s="2"/>
      <c r="BT2" s="2"/>
      <c r="BU2" s="2"/>
      <c r="BV2" s="2"/>
      <c r="BW2" s="2" t="s">
        <v>64</v>
      </c>
      <c r="BX2" s="2"/>
      <c r="BY2" s="2"/>
      <c r="BZ2" s="2" t="s">
        <v>65</v>
      </c>
      <c r="CA2" s="2"/>
      <c r="CB2" s="2"/>
      <c r="CC2" s="2"/>
      <c r="CD2" s="2"/>
      <c r="CE2" s="2"/>
      <c r="CF2" s="2"/>
      <c r="CG2" s="2"/>
      <c r="CH2" s="2" t="s">
        <v>66</v>
      </c>
      <c r="CI2" s="2"/>
      <c r="CJ2" s="2"/>
      <c r="CK2" s="2"/>
      <c r="CL2" s="2" t="s">
        <v>67</v>
      </c>
      <c r="CM2" s="2"/>
      <c r="CN2" s="2"/>
      <c r="CO2" s="2"/>
      <c r="CP2" s="2"/>
      <c r="CQ2" s="2"/>
      <c r="CR2" s="2"/>
      <c r="CS2" s="2"/>
      <c r="CT2" s="3" t="s">
        <v>68</v>
      </c>
      <c r="CU2" s="2"/>
      <c r="CV2" s="2"/>
      <c r="CW2" s="2"/>
      <c r="CX2" s="3" t="s">
        <v>69</v>
      </c>
      <c r="CY2" s="2"/>
      <c r="CZ2" s="2"/>
      <c r="DA2" s="2"/>
      <c r="DB2" s="2"/>
      <c r="DC2" s="2"/>
      <c r="DD2" s="2"/>
      <c r="DE2" s="3" t="s">
        <v>70</v>
      </c>
      <c r="DF2" s="2"/>
      <c r="DG2" s="2"/>
      <c r="DH2" s="2"/>
      <c r="DI2" s="2"/>
      <c r="DJ2" s="2"/>
      <c r="DK2" s="2"/>
      <c r="DL2" s="3" t="s">
        <v>71</v>
      </c>
      <c r="DM2" s="2"/>
      <c r="DN2" s="2"/>
      <c r="DO2" s="2"/>
      <c r="DP2" s="2"/>
      <c r="DQ2" s="2"/>
      <c r="DR2" s="2"/>
      <c r="DS2" s="2" t="s">
        <v>72</v>
      </c>
      <c r="DT2" s="2"/>
      <c r="DU2" s="2"/>
      <c r="DV2" s="2"/>
      <c r="DW2" s="2"/>
      <c r="DX2" s="2"/>
      <c r="DY2" s="2"/>
      <c r="DZ2" s="2"/>
      <c r="EA2" s="2"/>
      <c r="EB2" s="3" t="s">
        <v>73</v>
      </c>
      <c r="EC2" s="2"/>
      <c r="ED2" s="2"/>
      <c r="EE2" s="3" t="s">
        <v>74</v>
      </c>
      <c r="EF2" s="2"/>
      <c r="EG2" s="2" t="s">
        <v>75</v>
      </c>
      <c r="EH2" s="2"/>
      <c r="EI2" s="19"/>
      <c r="EJ2" s="1" t="s">
        <v>149</v>
      </c>
      <c r="EK2" s="1"/>
      <c r="EL2" s="1"/>
      <c r="EM2" s="1"/>
      <c r="EN2" s="1"/>
      <c r="EO2" s="1"/>
      <c r="EP2" s="1"/>
      <c r="EQ2" s="1"/>
      <c r="ER2" s="1"/>
      <c r="ES2" s="1"/>
      <c r="ET2" s="5" t="s">
        <v>150</v>
      </c>
      <c r="EU2" s="1"/>
      <c r="EV2" s="1"/>
      <c r="EW2" s="1"/>
      <c r="EX2" s="1"/>
      <c r="EY2" s="1"/>
      <c r="EZ2" s="1"/>
      <c r="FA2" s="1" t="s">
        <v>151</v>
      </c>
      <c r="FB2" s="19"/>
      <c r="FC2" s="1"/>
      <c r="FD2" s="1"/>
      <c r="FE2" s="1"/>
      <c r="FF2" s="1"/>
      <c r="FG2" s="1"/>
      <c r="FH2" s="1"/>
      <c r="FI2" s="1" t="s">
        <v>152</v>
      </c>
      <c r="FJ2" s="1"/>
      <c r="FK2" s="1"/>
      <c r="FL2" s="1"/>
      <c r="FM2" s="1"/>
      <c r="FN2" s="1"/>
      <c r="FO2" s="1"/>
      <c r="FP2" s="1"/>
      <c r="FQ2" s="5" t="s">
        <v>153</v>
      </c>
      <c r="FR2" s="1"/>
      <c r="FS2" s="1"/>
      <c r="FT2" s="1"/>
      <c r="FU2" s="1"/>
      <c r="FV2" s="1"/>
      <c r="FW2" s="1"/>
      <c r="FX2" s="1"/>
      <c r="FY2" s="1"/>
      <c r="FZ2" s="1" t="s">
        <v>154</v>
      </c>
      <c r="GA2" s="1"/>
      <c r="GB2" s="1"/>
      <c r="GC2" s="1"/>
      <c r="GD2" s="1"/>
      <c r="GE2" s="1"/>
      <c r="GF2" s="1"/>
      <c r="GG2" s="1"/>
      <c r="GH2" s="5" t="s">
        <v>155</v>
      </c>
      <c r="GI2" s="1"/>
      <c r="GJ2" s="1"/>
      <c r="GK2" s="1"/>
      <c r="GL2" s="1"/>
      <c r="GM2" s="1"/>
      <c r="GN2" s="1"/>
      <c r="GO2" s="5" t="s">
        <v>156</v>
      </c>
      <c r="GP2" s="1"/>
      <c r="GQ2" s="1"/>
      <c r="GR2" s="1"/>
      <c r="GS2" s="1"/>
      <c r="GT2" s="1"/>
      <c r="GU2" s="1"/>
      <c r="GV2" s="1"/>
      <c r="GW2" s="1"/>
      <c r="GX2" s="5" t="s">
        <v>157</v>
      </c>
      <c r="GY2" s="1"/>
      <c r="GZ2" s="1"/>
      <c r="HA2" s="1"/>
      <c r="HB2" s="1"/>
      <c r="HC2" s="1"/>
      <c r="HD2" s="5" t="s">
        <v>158</v>
      </c>
      <c r="HE2" s="1"/>
      <c r="HF2" s="1"/>
      <c r="HG2" s="1"/>
      <c r="HH2" s="1"/>
      <c r="HI2" s="1"/>
      <c r="HJ2" s="1"/>
      <c r="HK2" s="1"/>
      <c r="HL2" s="1"/>
      <c r="HM2" s="1"/>
      <c r="HN2" s="1"/>
      <c r="HO2" s="1" t="s">
        <v>159</v>
      </c>
      <c r="HP2" s="1"/>
      <c r="HQ2" s="1"/>
      <c r="HR2" s="1"/>
      <c r="HS2" s="1"/>
      <c r="HT2" s="1"/>
      <c r="HU2" s="1"/>
      <c r="HV2" s="1" t="s">
        <v>160</v>
      </c>
      <c r="HW2" s="4"/>
      <c r="HX2" s="2" t="s">
        <v>250</v>
      </c>
      <c r="HY2" s="2"/>
      <c r="HZ2" s="2"/>
      <c r="IA2" s="2"/>
      <c r="IB2" s="2"/>
      <c r="IC2" s="2"/>
      <c r="ID2" s="2"/>
      <c r="IE2" s="2"/>
      <c r="IF2" s="2"/>
      <c r="IG2" s="2"/>
      <c r="IH2" s="6" t="s">
        <v>251</v>
      </c>
      <c r="II2" s="2"/>
      <c r="IJ2" s="2"/>
      <c r="IK2" s="2"/>
      <c r="IL2" s="6" t="s">
        <v>252</v>
      </c>
      <c r="IM2" s="2"/>
      <c r="IN2" s="2"/>
      <c r="IO2" s="2"/>
      <c r="IP2" s="2"/>
      <c r="IQ2" s="2"/>
      <c r="IR2" s="6" t="s">
        <v>253</v>
      </c>
      <c r="IS2" s="2"/>
      <c r="IT2" s="2"/>
      <c r="IU2" s="2"/>
      <c r="IV2" s="2"/>
      <c r="IW2" s="6" t="s">
        <v>254</v>
      </c>
      <c r="IX2" s="2"/>
      <c r="IY2" s="2"/>
      <c r="IZ2" s="2"/>
      <c r="JA2" s="2"/>
      <c r="JB2" s="2"/>
      <c r="JC2" s="2"/>
      <c r="JD2" s="2"/>
      <c r="JE2" s="2" t="s">
        <v>255</v>
      </c>
      <c r="JF2" s="2"/>
      <c r="JG2" s="2"/>
      <c r="JH2" s="2"/>
      <c r="JI2" s="2"/>
      <c r="JJ2" s="2"/>
      <c r="JK2" s="2"/>
      <c r="JL2" s="2"/>
      <c r="JM2" s="6" t="s">
        <v>256</v>
      </c>
      <c r="JN2" s="2"/>
      <c r="JO2" s="2"/>
      <c r="JP2" s="2"/>
      <c r="JQ2" s="2"/>
      <c r="JR2" s="2"/>
      <c r="JS2" s="6" t="s">
        <v>257</v>
      </c>
      <c r="JT2" s="2"/>
      <c r="JU2" s="2"/>
      <c r="JV2" s="2"/>
      <c r="JW2" s="2"/>
      <c r="JX2" s="2"/>
      <c r="JY2" s="2"/>
      <c r="JZ2" s="2" t="s">
        <v>258</v>
      </c>
      <c r="KA2" s="2"/>
      <c r="KB2" s="2"/>
      <c r="KC2" s="2"/>
      <c r="KD2" s="2"/>
      <c r="KE2" s="2"/>
      <c r="KF2" s="2"/>
      <c r="KG2" s="2"/>
      <c r="KH2" s="2"/>
      <c r="KI2" s="2"/>
      <c r="KJ2" s="2"/>
      <c r="KK2" s="6" t="s">
        <v>259</v>
      </c>
      <c r="KL2" s="2"/>
      <c r="KM2" s="2"/>
      <c r="KN2" s="2"/>
      <c r="KO2" s="2"/>
      <c r="KP2" s="2" t="s">
        <v>260</v>
      </c>
      <c r="KQ2" s="2"/>
      <c r="KR2" s="2"/>
      <c r="KS2" s="2"/>
      <c r="KT2" s="2"/>
      <c r="KU2" s="2"/>
      <c r="KV2" s="2" t="s">
        <v>261</v>
      </c>
      <c r="KW2" s="2"/>
      <c r="KX2" s="2"/>
      <c r="KY2" s="2"/>
      <c r="KZ2" s="2"/>
      <c r="LA2" s="2"/>
      <c r="LB2" s="2"/>
      <c r="LC2" s="2"/>
      <c r="LD2" s="2"/>
      <c r="LE2" s="2"/>
      <c r="LF2" s="2"/>
      <c r="LG2" s="2" t="s">
        <v>262</v>
      </c>
      <c r="LH2" s="2"/>
      <c r="LI2" s="2"/>
      <c r="LJ2" s="6" t="s">
        <v>263</v>
      </c>
      <c r="LK2" s="2"/>
      <c r="LL2" s="2"/>
      <c r="LM2" s="2"/>
      <c r="LN2" s="2"/>
      <c r="LO2" s="2"/>
      <c r="LP2" s="2" t="s">
        <v>349</v>
      </c>
      <c r="LQ2" s="2"/>
      <c r="LR2" s="2"/>
      <c r="LS2" s="2"/>
      <c r="LT2" s="2"/>
      <c r="LU2" s="2" t="s">
        <v>350</v>
      </c>
      <c r="LV2" s="2"/>
      <c r="LW2" s="2"/>
      <c r="LX2" s="2"/>
      <c r="LY2" s="2"/>
      <c r="LZ2" s="2"/>
      <c r="MA2" s="2"/>
      <c r="MB2" s="2"/>
      <c r="MC2" s="2"/>
    </row>
    <row r="3" spans="1:341">
      <c r="B3" s="1"/>
      <c r="C3" s="5" t="s">
        <v>10</v>
      </c>
      <c r="D3" s="5" t="s">
        <v>11</v>
      </c>
      <c r="E3" s="5" t="s">
        <v>12</v>
      </c>
      <c r="F3" s="5" t="s">
        <v>13</v>
      </c>
      <c r="G3" s="5" t="s">
        <v>14</v>
      </c>
      <c r="H3" s="5" t="s">
        <v>15</v>
      </c>
      <c r="I3" s="5" t="s">
        <v>16</v>
      </c>
      <c r="J3" s="5" t="s">
        <v>17</v>
      </c>
      <c r="K3" s="1"/>
      <c r="L3" s="5" t="s">
        <v>18</v>
      </c>
      <c r="M3" s="7" t="s">
        <v>19</v>
      </c>
      <c r="N3" s="5" t="s">
        <v>20</v>
      </c>
      <c r="O3" s="5" t="s">
        <v>21</v>
      </c>
      <c r="P3" s="5" t="s">
        <v>22</v>
      </c>
      <c r="Q3" s="5" t="s">
        <v>23</v>
      </c>
      <c r="R3" s="1"/>
      <c r="S3" s="5" t="s">
        <v>24</v>
      </c>
      <c r="T3" s="5" t="s">
        <v>25</v>
      </c>
      <c r="U3" s="1"/>
      <c r="V3" s="5" t="s">
        <v>26</v>
      </c>
      <c r="W3" s="7" t="s">
        <v>27</v>
      </c>
      <c r="X3" s="5" t="s">
        <v>28</v>
      </c>
      <c r="Y3" s="5" t="s">
        <v>29</v>
      </c>
      <c r="Z3" s="5" t="s">
        <v>30</v>
      </c>
      <c r="AA3" s="5" t="s">
        <v>31</v>
      </c>
      <c r="AB3" s="5" t="s">
        <v>32</v>
      </c>
      <c r="AC3" s="7" t="s">
        <v>33</v>
      </c>
      <c r="AD3" s="1"/>
      <c r="AE3" s="5" t="s">
        <v>34</v>
      </c>
      <c r="AF3" s="5" t="s">
        <v>35</v>
      </c>
      <c r="AG3" s="1"/>
      <c r="AH3" s="1"/>
      <c r="AI3" s="5" t="s">
        <v>36</v>
      </c>
      <c r="AJ3" s="5" t="s">
        <v>37</v>
      </c>
      <c r="AK3" s="5" t="s">
        <v>38</v>
      </c>
      <c r="AL3" s="7" t="s">
        <v>39</v>
      </c>
      <c r="AM3" s="7" t="s">
        <v>40</v>
      </c>
      <c r="AN3" s="7" t="s">
        <v>41</v>
      </c>
      <c r="AO3" s="7" t="s">
        <v>42</v>
      </c>
      <c r="AP3" s="5" t="s">
        <v>43</v>
      </c>
      <c r="AQ3" s="5" t="s">
        <v>44</v>
      </c>
      <c r="AR3" s="7" t="s">
        <v>45</v>
      </c>
      <c r="AS3" s="7" t="s">
        <v>46</v>
      </c>
      <c r="AT3" s="1"/>
      <c r="AU3" s="5" t="s">
        <v>47</v>
      </c>
      <c r="AV3" s="7" t="s">
        <v>48</v>
      </c>
      <c r="AW3" s="7" t="s">
        <v>49</v>
      </c>
      <c r="AX3" s="7" t="s">
        <v>50</v>
      </c>
      <c r="AY3" s="5" t="s">
        <v>51</v>
      </c>
      <c r="AZ3" s="5" t="s">
        <v>52</v>
      </c>
      <c r="BA3" s="5" t="s">
        <v>53</v>
      </c>
      <c r="BB3" s="5" t="s">
        <v>54</v>
      </c>
      <c r="BC3" s="1"/>
      <c r="BD3" s="5" t="s">
        <v>55</v>
      </c>
      <c r="BE3" s="5" t="s">
        <v>56</v>
      </c>
      <c r="BF3" s="5" t="s">
        <v>57</v>
      </c>
      <c r="BG3" s="5" t="s">
        <v>58</v>
      </c>
      <c r="BH3" s="7" t="s">
        <v>59</v>
      </c>
      <c r="BI3" s="4"/>
      <c r="BJ3" s="2"/>
      <c r="BK3" s="8" t="s">
        <v>76</v>
      </c>
      <c r="BL3" s="8" t="s">
        <v>77</v>
      </c>
      <c r="BM3" s="8" t="s">
        <v>78</v>
      </c>
      <c r="BN3" s="8" t="s">
        <v>79</v>
      </c>
      <c r="BO3" s="8" t="s">
        <v>80</v>
      </c>
      <c r="BP3" s="8" t="s">
        <v>81</v>
      </c>
      <c r="BQ3" s="2"/>
      <c r="BR3" s="3" t="s">
        <v>82</v>
      </c>
      <c r="BS3" s="3" t="s">
        <v>83</v>
      </c>
      <c r="BT3" s="3" t="s">
        <v>84</v>
      </c>
      <c r="BU3" s="3" t="s">
        <v>85</v>
      </c>
      <c r="BV3" s="3" t="s">
        <v>86</v>
      </c>
      <c r="BW3" s="2" t="s">
        <v>87</v>
      </c>
      <c r="BX3" s="2" t="s">
        <v>88</v>
      </c>
      <c r="BY3" s="2" t="s">
        <v>89</v>
      </c>
      <c r="BZ3" s="2"/>
      <c r="CA3" s="3" t="s">
        <v>90</v>
      </c>
      <c r="CB3" s="3" t="s">
        <v>91</v>
      </c>
      <c r="CC3" s="3" t="s">
        <v>92</v>
      </c>
      <c r="CD3" s="3" t="s">
        <v>93</v>
      </c>
      <c r="CE3" s="9" t="s">
        <v>94</v>
      </c>
      <c r="CF3" s="3" t="s">
        <v>95</v>
      </c>
      <c r="CG3" s="3" t="s">
        <v>96</v>
      </c>
      <c r="CH3" s="2" t="s">
        <v>97</v>
      </c>
      <c r="CI3" s="3" t="s">
        <v>98</v>
      </c>
      <c r="CJ3" s="3" t="s">
        <v>99</v>
      </c>
      <c r="CK3" s="3" t="s">
        <v>100</v>
      </c>
      <c r="CL3" s="2"/>
      <c r="CM3" s="9" t="s">
        <v>101</v>
      </c>
      <c r="CN3" s="3" t="s">
        <v>102</v>
      </c>
      <c r="CO3" s="3" t="s">
        <v>103</v>
      </c>
      <c r="CP3" s="3" t="s">
        <v>104</v>
      </c>
      <c r="CQ3" s="3" t="s">
        <v>105</v>
      </c>
      <c r="CR3" s="3" t="s">
        <v>106</v>
      </c>
      <c r="CS3" s="9" t="s">
        <v>107</v>
      </c>
      <c r="CT3" s="2"/>
      <c r="CU3" s="2" t="s">
        <v>108</v>
      </c>
      <c r="CV3" s="2" t="s">
        <v>109</v>
      </c>
      <c r="CW3" s="2" t="s">
        <v>110</v>
      </c>
      <c r="CX3" s="2"/>
      <c r="CY3" s="2" t="s">
        <v>111</v>
      </c>
      <c r="CZ3" s="2" t="s">
        <v>112</v>
      </c>
      <c r="DA3" s="2" t="s">
        <v>113</v>
      </c>
      <c r="DB3" s="2" t="s">
        <v>114</v>
      </c>
      <c r="DC3" s="2" t="s">
        <v>115</v>
      </c>
      <c r="DD3" s="2" t="s">
        <v>116</v>
      </c>
      <c r="DE3" s="2"/>
      <c r="DF3" s="2" t="s">
        <v>117</v>
      </c>
      <c r="DG3" s="2" t="s">
        <v>118</v>
      </c>
      <c r="DH3" s="2" t="s">
        <v>119</v>
      </c>
      <c r="DI3" s="2" t="s">
        <v>120</v>
      </c>
      <c r="DJ3" s="2" t="s">
        <v>121</v>
      </c>
      <c r="DK3" s="2" t="s">
        <v>122</v>
      </c>
      <c r="DL3" s="2"/>
      <c r="DM3" s="2" t="s">
        <v>123</v>
      </c>
      <c r="DN3" s="2" t="s">
        <v>124</v>
      </c>
      <c r="DO3" s="2" t="s">
        <v>125</v>
      </c>
      <c r="DP3" s="2" t="s">
        <v>126</v>
      </c>
      <c r="DQ3" s="2" t="s">
        <v>127</v>
      </c>
      <c r="DR3" s="2" t="s">
        <v>128</v>
      </c>
      <c r="DS3" s="2"/>
      <c r="DT3" s="9" t="s">
        <v>129</v>
      </c>
      <c r="DU3" s="3" t="s">
        <v>130</v>
      </c>
      <c r="DV3" s="3" t="s">
        <v>131</v>
      </c>
      <c r="DW3" s="3" t="s">
        <v>132</v>
      </c>
      <c r="DX3" s="3" t="s">
        <v>133</v>
      </c>
      <c r="DY3" s="3" t="s">
        <v>134</v>
      </c>
      <c r="DZ3" s="3" t="s">
        <v>135</v>
      </c>
      <c r="EA3" s="3" t="s">
        <v>136</v>
      </c>
      <c r="EB3" s="2"/>
      <c r="EC3" s="2" t="s">
        <v>137</v>
      </c>
      <c r="ED3" s="2" t="s">
        <v>138</v>
      </c>
      <c r="EE3" s="2"/>
      <c r="EF3" s="2" t="s">
        <v>139</v>
      </c>
      <c r="EG3" s="2" t="s">
        <v>140</v>
      </c>
      <c r="EH3" s="8" t="s">
        <v>141</v>
      </c>
      <c r="EI3" s="1"/>
      <c r="EJ3" s="1"/>
      <c r="EK3" s="5" t="s">
        <v>161</v>
      </c>
      <c r="EL3" s="5" t="s">
        <v>162</v>
      </c>
      <c r="EM3" s="5" t="s">
        <v>163</v>
      </c>
      <c r="EN3" s="5" t="s">
        <v>164</v>
      </c>
      <c r="EO3" s="5" t="s">
        <v>165</v>
      </c>
      <c r="EP3" s="5" t="s">
        <v>166</v>
      </c>
      <c r="EQ3" s="5" t="s">
        <v>167</v>
      </c>
      <c r="ER3" s="5" t="s">
        <v>168</v>
      </c>
      <c r="ES3" s="5" t="s">
        <v>169</v>
      </c>
      <c r="ET3" s="1"/>
      <c r="EU3" s="10" t="s">
        <v>115</v>
      </c>
      <c r="EV3" s="1" t="s">
        <v>170</v>
      </c>
      <c r="EW3" s="1" t="s">
        <v>171</v>
      </c>
      <c r="EX3" s="1" t="s">
        <v>172</v>
      </c>
      <c r="EY3" s="1" t="s">
        <v>173</v>
      </c>
      <c r="EZ3" s="1" t="s">
        <v>174</v>
      </c>
      <c r="FA3" s="1"/>
      <c r="FB3" s="5" t="s">
        <v>175</v>
      </c>
      <c r="FC3" s="5" t="s">
        <v>176</v>
      </c>
      <c r="FD3" s="5" t="s">
        <v>177</v>
      </c>
      <c r="FE3" s="5" t="s">
        <v>178</v>
      </c>
      <c r="FF3" s="5" t="s">
        <v>179</v>
      </c>
      <c r="FG3" s="5" t="s">
        <v>180</v>
      </c>
      <c r="FH3" s="5" t="s">
        <v>181</v>
      </c>
      <c r="FI3" s="1"/>
      <c r="FJ3" s="5" t="s">
        <v>182</v>
      </c>
      <c r="FK3" s="5" t="s">
        <v>183</v>
      </c>
      <c r="FL3" s="5" t="s">
        <v>184</v>
      </c>
      <c r="FM3" s="5" t="s">
        <v>185</v>
      </c>
      <c r="FN3" s="5" t="s">
        <v>186</v>
      </c>
      <c r="FO3" s="5" t="s">
        <v>187</v>
      </c>
      <c r="FP3" s="5" t="s">
        <v>188</v>
      </c>
      <c r="FQ3" s="1"/>
      <c r="FR3" s="10" t="s">
        <v>189</v>
      </c>
      <c r="FS3" s="10" t="s">
        <v>190</v>
      </c>
      <c r="FT3" s="10" t="s">
        <v>191</v>
      </c>
      <c r="FU3" s="10" t="s">
        <v>192</v>
      </c>
      <c r="FV3" s="1" t="s">
        <v>193</v>
      </c>
      <c r="FW3" s="1" t="s">
        <v>194</v>
      </c>
      <c r="FX3" s="1" t="s">
        <v>195</v>
      </c>
      <c r="FY3" s="1" t="s">
        <v>196</v>
      </c>
      <c r="FZ3" s="1"/>
      <c r="GA3" s="5" t="s">
        <v>197</v>
      </c>
      <c r="GB3" s="5" t="s">
        <v>198</v>
      </c>
      <c r="GC3" s="5" t="s">
        <v>199</v>
      </c>
      <c r="GD3" s="5" t="s">
        <v>200</v>
      </c>
      <c r="GE3" s="5" t="s">
        <v>201</v>
      </c>
      <c r="GF3" s="7" t="s">
        <v>202</v>
      </c>
      <c r="GG3" s="7" t="s">
        <v>203</v>
      </c>
      <c r="GH3" s="1"/>
      <c r="GI3" s="1" t="s">
        <v>204</v>
      </c>
      <c r="GJ3" s="1" t="s">
        <v>205</v>
      </c>
      <c r="GK3" s="1" t="s">
        <v>206</v>
      </c>
      <c r="GL3" s="1" t="s">
        <v>207</v>
      </c>
      <c r="GM3" s="1" t="s">
        <v>208</v>
      </c>
      <c r="GN3" s="1" t="s">
        <v>122</v>
      </c>
      <c r="GO3" s="1"/>
      <c r="GP3" s="1" t="s">
        <v>209</v>
      </c>
      <c r="GQ3" s="1" t="s">
        <v>210</v>
      </c>
      <c r="GR3" s="1" t="s">
        <v>211</v>
      </c>
      <c r="GS3" s="1" t="s">
        <v>212</v>
      </c>
      <c r="GT3" s="1" t="s">
        <v>213</v>
      </c>
      <c r="GU3" s="1" t="s">
        <v>214</v>
      </c>
      <c r="GV3" s="1" t="s">
        <v>215</v>
      </c>
      <c r="GW3" s="1" t="s">
        <v>216</v>
      </c>
      <c r="GX3" s="1"/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/>
      <c r="HE3" s="10" t="s">
        <v>222</v>
      </c>
      <c r="HF3" s="10" t="s">
        <v>223</v>
      </c>
      <c r="HG3" s="10" t="s">
        <v>224</v>
      </c>
      <c r="HH3" s="10" t="s">
        <v>225</v>
      </c>
      <c r="HI3" s="10" t="s">
        <v>226</v>
      </c>
      <c r="HJ3" s="10" t="s">
        <v>227</v>
      </c>
      <c r="HK3" s="10" t="s">
        <v>228</v>
      </c>
      <c r="HL3" s="1" t="s">
        <v>229</v>
      </c>
      <c r="HM3" s="1" t="s">
        <v>230</v>
      </c>
      <c r="HN3" s="1" t="s">
        <v>231</v>
      </c>
      <c r="HO3" s="1"/>
      <c r="HP3" s="5" t="s">
        <v>232</v>
      </c>
      <c r="HQ3" s="5" t="s">
        <v>233</v>
      </c>
      <c r="HR3" s="5" t="s">
        <v>234</v>
      </c>
      <c r="HS3" s="5" t="s">
        <v>235</v>
      </c>
      <c r="HT3" s="5" t="s">
        <v>236</v>
      </c>
      <c r="HU3" s="7" t="s">
        <v>237</v>
      </c>
      <c r="HV3" s="7"/>
      <c r="HW3" s="4"/>
      <c r="HX3" s="2"/>
      <c r="HY3" s="6" t="s">
        <v>264</v>
      </c>
      <c r="HZ3" s="6" t="s">
        <v>265</v>
      </c>
      <c r="IA3" s="6" t="s">
        <v>266</v>
      </c>
      <c r="IB3" s="6" t="s">
        <v>267</v>
      </c>
      <c r="IC3" s="6" t="s">
        <v>268</v>
      </c>
      <c r="ID3" s="6" t="s">
        <v>269</v>
      </c>
      <c r="IE3" s="6" t="s">
        <v>270</v>
      </c>
      <c r="IF3" s="6" t="s">
        <v>271</v>
      </c>
      <c r="IG3" s="11" t="s">
        <v>272</v>
      </c>
      <c r="IH3" s="2"/>
      <c r="II3" s="2" t="s">
        <v>273</v>
      </c>
      <c r="IJ3" s="2" t="s">
        <v>274</v>
      </c>
      <c r="IK3" s="2" t="s">
        <v>196</v>
      </c>
      <c r="IL3" s="2"/>
      <c r="IM3" s="2" t="s">
        <v>275</v>
      </c>
      <c r="IN3" s="2" t="s">
        <v>276</v>
      </c>
      <c r="IO3" s="2" t="s">
        <v>277</v>
      </c>
      <c r="IP3" s="2" t="s">
        <v>278</v>
      </c>
      <c r="IQ3" s="2" t="s">
        <v>279</v>
      </c>
      <c r="IR3" s="2"/>
      <c r="IS3" s="12" t="s">
        <v>280</v>
      </c>
      <c r="IT3" s="12" t="s">
        <v>281</v>
      </c>
      <c r="IU3" s="12" t="s">
        <v>282</v>
      </c>
      <c r="IV3" s="2" t="s">
        <v>283</v>
      </c>
      <c r="IW3" s="2"/>
      <c r="IX3" s="12" t="s">
        <v>284</v>
      </c>
      <c r="IY3" s="12" t="s">
        <v>285</v>
      </c>
      <c r="IZ3" s="12" t="s">
        <v>286</v>
      </c>
      <c r="JA3" s="2" t="s">
        <v>287</v>
      </c>
      <c r="JB3" s="2" t="s">
        <v>288</v>
      </c>
      <c r="JC3" s="2" t="s">
        <v>289</v>
      </c>
      <c r="JD3" s="2" t="s">
        <v>290</v>
      </c>
      <c r="JE3" s="2"/>
      <c r="JF3" s="6" t="s">
        <v>291</v>
      </c>
      <c r="JG3" s="6" t="s">
        <v>292</v>
      </c>
      <c r="JH3" s="6" t="s">
        <v>293</v>
      </c>
      <c r="JI3" s="6" t="s">
        <v>294</v>
      </c>
      <c r="JJ3" s="6" t="s">
        <v>295</v>
      </c>
      <c r="JK3" s="6" t="s">
        <v>296</v>
      </c>
      <c r="JL3" s="6" t="s">
        <v>297</v>
      </c>
      <c r="JM3" s="2"/>
      <c r="JN3" s="2" t="s">
        <v>298</v>
      </c>
      <c r="JO3" s="2" t="s">
        <v>299</v>
      </c>
      <c r="JP3" s="2" t="s">
        <v>168</v>
      </c>
      <c r="JQ3" s="2" t="s">
        <v>300</v>
      </c>
      <c r="JR3" s="2" t="s">
        <v>301</v>
      </c>
      <c r="JS3" s="2"/>
      <c r="JT3" s="2" t="s">
        <v>302</v>
      </c>
      <c r="JU3" s="2" t="s">
        <v>303</v>
      </c>
      <c r="JV3" s="2" t="s">
        <v>304</v>
      </c>
      <c r="JW3" s="2" t="s">
        <v>305</v>
      </c>
      <c r="JX3" s="2" t="s">
        <v>306</v>
      </c>
      <c r="JY3" s="2" t="s">
        <v>307</v>
      </c>
      <c r="JZ3" s="2"/>
      <c r="KA3" s="6" t="s">
        <v>308</v>
      </c>
      <c r="KB3" s="6" t="s">
        <v>309</v>
      </c>
      <c r="KC3" s="6" t="s">
        <v>310</v>
      </c>
      <c r="KD3" s="6" t="s">
        <v>311</v>
      </c>
      <c r="KE3" s="6" t="s">
        <v>312</v>
      </c>
      <c r="KF3" s="6" t="s">
        <v>227</v>
      </c>
      <c r="KG3" s="6" t="s">
        <v>313</v>
      </c>
      <c r="KH3" s="6" t="s">
        <v>314</v>
      </c>
      <c r="KI3" s="6" t="s">
        <v>315</v>
      </c>
      <c r="KJ3" s="11" t="s">
        <v>316</v>
      </c>
      <c r="KK3" s="2"/>
      <c r="KL3" s="2" t="s">
        <v>317</v>
      </c>
      <c r="KM3" s="2" t="s">
        <v>318</v>
      </c>
      <c r="KN3" s="2" t="s">
        <v>319</v>
      </c>
      <c r="KO3" s="2" t="s">
        <v>320</v>
      </c>
      <c r="KP3" s="2"/>
      <c r="KQ3" s="6" t="s">
        <v>321</v>
      </c>
      <c r="KR3" s="6" t="s">
        <v>322</v>
      </c>
      <c r="KS3" s="6" t="s">
        <v>323</v>
      </c>
      <c r="KT3" s="6" t="s">
        <v>324</v>
      </c>
      <c r="KU3" s="11" t="s">
        <v>325</v>
      </c>
      <c r="KV3" s="2"/>
      <c r="KW3" s="6" t="s">
        <v>326</v>
      </c>
      <c r="KX3" s="6" t="s">
        <v>327</v>
      </c>
      <c r="KY3" s="6" t="s">
        <v>328</v>
      </c>
      <c r="KZ3" s="6" t="s">
        <v>329</v>
      </c>
      <c r="LA3" s="6" t="s">
        <v>330</v>
      </c>
      <c r="LB3" s="6" t="s">
        <v>331</v>
      </c>
      <c r="LC3" s="6" t="s">
        <v>332</v>
      </c>
      <c r="LD3" s="6" t="s">
        <v>333</v>
      </c>
      <c r="LE3" s="6" t="s">
        <v>334</v>
      </c>
      <c r="LF3" s="11" t="s">
        <v>335</v>
      </c>
      <c r="LG3" s="2"/>
      <c r="LH3" s="6" t="s">
        <v>336</v>
      </c>
      <c r="LI3" s="6" t="s">
        <v>337</v>
      </c>
      <c r="LJ3" s="2"/>
      <c r="LK3" s="2" t="s">
        <v>338</v>
      </c>
      <c r="LL3" s="2" t="s">
        <v>339</v>
      </c>
      <c r="LM3" s="2" t="s">
        <v>340</v>
      </c>
      <c r="LN3" s="2" t="s">
        <v>341</v>
      </c>
      <c r="LO3" s="2"/>
      <c r="LP3" s="2"/>
      <c r="LQ3" s="13" t="s">
        <v>351</v>
      </c>
      <c r="LR3" s="14" t="s">
        <v>352</v>
      </c>
      <c r="LS3" s="13" t="s">
        <v>353</v>
      </c>
      <c r="LT3" s="14" t="s">
        <v>354</v>
      </c>
      <c r="LU3" s="2"/>
      <c r="LV3" s="14" t="s">
        <v>355</v>
      </c>
      <c r="LW3" s="13" t="s">
        <v>356</v>
      </c>
      <c r="LX3" s="13" t="s">
        <v>357</v>
      </c>
      <c r="LY3" s="13" t="s">
        <v>358</v>
      </c>
      <c r="LZ3" s="13" t="s">
        <v>359</v>
      </c>
      <c r="MA3" s="13" t="s">
        <v>360</v>
      </c>
      <c r="MB3" s="14" t="s">
        <v>361</v>
      </c>
      <c r="MC3" s="14" t="s">
        <v>362</v>
      </c>
    </row>
    <row r="4" spans="1:341">
      <c r="B4" s="1" t="s">
        <v>0</v>
      </c>
      <c r="C4" s="1" t="s">
        <v>1</v>
      </c>
      <c r="D4" s="1" t="s">
        <v>11</v>
      </c>
      <c r="E4" s="1" t="s">
        <v>12</v>
      </c>
      <c r="F4" s="1" t="s">
        <v>13</v>
      </c>
      <c r="G4" s="1" t="s">
        <v>14</v>
      </c>
      <c r="H4" s="1" t="s">
        <v>15</v>
      </c>
      <c r="I4" s="1" t="s">
        <v>16</v>
      </c>
      <c r="J4" s="1" t="s">
        <v>17</v>
      </c>
      <c r="K4" s="1" t="s">
        <v>2</v>
      </c>
      <c r="L4" s="1" t="s">
        <v>18</v>
      </c>
      <c r="M4" s="1" t="s">
        <v>19</v>
      </c>
      <c r="N4" s="1" t="s">
        <v>20</v>
      </c>
      <c r="O4" s="1" t="s">
        <v>21</v>
      </c>
      <c r="P4" s="1" t="s">
        <v>22</v>
      </c>
      <c r="Q4" s="1" t="s">
        <v>23</v>
      </c>
      <c r="R4" s="1" t="s">
        <v>3</v>
      </c>
      <c r="S4" s="1" t="s">
        <v>24</v>
      </c>
      <c r="T4" s="1" t="s">
        <v>25</v>
      </c>
      <c r="U4" s="1" t="s">
        <v>4</v>
      </c>
      <c r="V4" s="1" t="s">
        <v>26</v>
      </c>
      <c r="W4" s="1" t="s">
        <v>27</v>
      </c>
      <c r="X4" s="1" t="s">
        <v>60</v>
      </c>
      <c r="Y4" s="1" t="s">
        <v>29</v>
      </c>
      <c r="Z4" s="1" t="s">
        <v>30</v>
      </c>
      <c r="AA4" s="1" t="s">
        <v>31</v>
      </c>
      <c r="AB4" s="1" t="s">
        <v>32</v>
      </c>
      <c r="AC4" s="1" t="s">
        <v>33</v>
      </c>
      <c r="AD4" s="1" t="s">
        <v>5</v>
      </c>
      <c r="AE4" s="1" t="s">
        <v>34</v>
      </c>
      <c r="AF4" s="1" t="s">
        <v>35</v>
      </c>
      <c r="AG4" s="1" t="s">
        <v>6</v>
      </c>
      <c r="AH4" s="1" t="s">
        <v>7</v>
      </c>
      <c r="AI4" s="1" t="s">
        <v>36</v>
      </c>
      <c r="AJ4" s="1" t="s">
        <v>37</v>
      </c>
      <c r="AK4" s="1" t="s">
        <v>38</v>
      </c>
      <c r="AL4" s="1" t="s">
        <v>39</v>
      </c>
      <c r="AM4" s="1" t="s">
        <v>40</v>
      </c>
      <c r="AN4" s="1" t="s">
        <v>41</v>
      </c>
      <c r="AO4" s="1" t="s">
        <v>42</v>
      </c>
      <c r="AP4" s="1" t="s">
        <v>43</v>
      </c>
      <c r="AQ4" s="1" t="s">
        <v>44</v>
      </c>
      <c r="AR4" s="1" t="s">
        <v>45</v>
      </c>
      <c r="AS4" s="1" t="s">
        <v>46</v>
      </c>
      <c r="AT4" s="1" t="s">
        <v>8</v>
      </c>
      <c r="AU4" s="1" t="s">
        <v>47</v>
      </c>
      <c r="AV4" s="1" t="s">
        <v>48</v>
      </c>
      <c r="AW4" s="1" t="s">
        <v>49</v>
      </c>
      <c r="AX4" s="1" t="s">
        <v>50</v>
      </c>
      <c r="AY4" s="1" t="s">
        <v>51</v>
      </c>
      <c r="AZ4" s="1" t="s">
        <v>52</v>
      </c>
      <c r="BA4" s="1" t="s">
        <v>53</v>
      </c>
      <c r="BB4" s="1" t="s">
        <v>54</v>
      </c>
      <c r="BC4" s="1" t="s">
        <v>9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4" t="s">
        <v>61</v>
      </c>
      <c r="BJ4" s="2" t="s">
        <v>62</v>
      </c>
      <c r="BK4" s="2" t="s">
        <v>76</v>
      </c>
      <c r="BL4" s="2" t="s">
        <v>77</v>
      </c>
      <c r="BM4" s="2" t="s">
        <v>78</v>
      </c>
      <c r="BN4" s="2" t="s">
        <v>79</v>
      </c>
      <c r="BO4" s="2" t="s">
        <v>80</v>
      </c>
      <c r="BP4" s="2" t="s">
        <v>81</v>
      </c>
      <c r="BQ4" s="2" t="s">
        <v>63</v>
      </c>
      <c r="BR4" s="2" t="s">
        <v>82</v>
      </c>
      <c r="BS4" s="2" t="s">
        <v>83</v>
      </c>
      <c r="BT4" s="2" t="s">
        <v>84</v>
      </c>
      <c r="BU4" s="2" t="s">
        <v>85</v>
      </c>
      <c r="BV4" s="2" t="s">
        <v>86</v>
      </c>
      <c r="BW4" s="2" t="s">
        <v>87</v>
      </c>
      <c r="BX4" s="2" t="s">
        <v>88</v>
      </c>
      <c r="BY4" s="2" t="s">
        <v>89</v>
      </c>
      <c r="BZ4" s="2" t="s">
        <v>65</v>
      </c>
      <c r="CA4" s="2" t="s">
        <v>90</v>
      </c>
      <c r="CB4" s="2" t="s">
        <v>91</v>
      </c>
      <c r="CC4" s="2" t="s">
        <v>92</v>
      </c>
      <c r="CD4" s="2" t="s">
        <v>93</v>
      </c>
      <c r="CE4" s="2" t="s">
        <v>94</v>
      </c>
      <c r="CF4" s="2" t="s">
        <v>95</v>
      </c>
      <c r="CG4" s="2" t="s">
        <v>96</v>
      </c>
      <c r="CH4" s="2" t="s">
        <v>97</v>
      </c>
      <c r="CI4" s="2" t="s">
        <v>142</v>
      </c>
      <c r="CJ4" s="2" t="s">
        <v>99</v>
      </c>
      <c r="CK4" s="2" t="s">
        <v>100</v>
      </c>
      <c r="CL4" s="2" t="s">
        <v>67</v>
      </c>
      <c r="CM4" s="2" t="s">
        <v>101</v>
      </c>
      <c r="CN4" s="2" t="s">
        <v>102</v>
      </c>
      <c r="CO4" s="2" t="s">
        <v>103</v>
      </c>
      <c r="CP4" s="2" t="s">
        <v>143</v>
      </c>
      <c r="CQ4" s="2" t="s">
        <v>105</v>
      </c>
      <c r="CR4" s="2" t="s">
        <v>106</v>
      </c>
      <c r="CS4" s="2" t="s">
        <v>107</v>
      </c>
      <c r="CT4" s="2" t="s">
        <v>68</v>
      </c>
      <c r="CU4" s="2" t="s">
        <v>108</v>
      </c>
      <c r="CV4" s="2" t="s">
        <v>109</v>
      </c>
      <c r="CW4" s="2" t="s">
        <v>110</v>
      </c>
      <c r="CX4" s="2" t="s">
        <v>69</v>
      </c>
      <c r="CY4" s="2" t="s">
        <v>111</v>
      </c>
      <c r="CZ4" s="2" t="s">
        <v>112</v>
      </c>
      <c r="DA4" s="2" t="s">
        <v>113</v>
      </c>
      <c r="DB4" s="2" t="s">
        <v>144</v>
      </c>
      <c r="DC4" s="2" t="s">
        <v>115</v>
      </c>
      <c r="DD4" s="2" t="s">
        <v>116</v>
      </c>
      <c r="DE4" s="2" t="s">
        <v>70</v>
      </c>
      <c r="DF4" s="2" t="s">
        <v>117</v>
      </c>
      <c r="DG4" s="2" t="s">
        <v>118</v>
      </c>
      <c r="DH4" s="2" t="s">
        <v>119</v>
      </c>
      <c r="DI4" s="2" t="s">
        <v>120</v>
      </c>
      <c r="DJ4" s="2" t="s">
        <v>121</v>
      </c>
      <c r="DK4" s="2" t="s">
        <v>122</v>
      </c>
      <c r="DL4" s="2" t="s">
        <v>71</v>
      </c>
      <c r="DM4" s="2" t="s">
        <v>145</v>
      </c>
      <c r="DN4" s="2" t="s">
        <v>124</v>
      </c>
      <c r="DO4" s="2" t="s">
        <v>125</v>
      </c>
      <c r="DP4" s="2" t="s">
        <v>146</v>
      </c>
      <c r="DQ4" s="2" t="s">
        <v>127</v>
      </c>
      <c r="DR4" s="2" t="s">
        <v>128</v>
      </c>
      <c r="DS4" s="2" t="s">
        <v>72</v>
      </c>
      <c r="DT4" s="2" t="s">
        <v>129</v>
      </c>
      <c r="DU4" s="2" t="s">
        <v>130</v>
      </c>
      <c r="DV4" s="2" t="s">
        <v>131</v>
      </c>
      <c r="DW4" s="2" t="s">
        <v>132</v>
      </c>
      <c r="DX4" s="2" t="s">
        <v>133</v>
      </c>
      <c r="DY4" s="2" t="s">
        <v>134</v>
      </c>
      <c r="DZ4" s="2" t="s">
        <v>135</v>
      </c>
      <c r="EA4" s="2" t="s">
        <v>136</v>
      </c>
      <c r="EB4" s="2" t="s">
        <v>147</v>
      </c>
      <c r="EC4" s="2" t="s">
        <v>137</v>
      </c>
      <c r="ED4" s="2" t="s">
        <v>138</v>
      </c>
      <c r="EE4" s="2" t="s">
        <v>74</v>
      </c>
      <c r="EF4" s="2" t="s">
        <v>139</v>
      </c>
      <c r="EG4" s="2" t="s">
        <v>140</v>
      </c>
      <c r="EH4" s="2" t="s">
        <v>141</v>
      </c>
      <c r="EI4" s="1" t="s">
        <v>148</v>
      </c>
      <c r="EJ4" s="1" t="s">
        <v>149</v>
      </c>
      <c r="EK4" s="1" t="s">
        <v>161</v>
      </c>
      <c r="EL4" s="1" t="s">
        <v>162</v>
      </c>
      <c r="EM4" s="1" t="s">
        <v>238</v>
      </c>
      <c r="EN4" s="1" t="s">
        <v>164</v>
      </c>
      <c r="EO4" s="1" t="s">
        <v>165</v>
      </c>
      <c r="EP4" s="1" t="s">
        <v>166</v>
      </c>
      <c r="EQ4" s="1" t="s">
        <v>167</v>
      </c>
      <c r="ER4" s="1" t="s">
        <v>239</v>
      </c>
      <c r="ES4" s="1" t="s">
        <v>169</v>
      </c>
      <c r="ET4" s="1" t="s">
        <v>150</v>
      </c>
      <c r="EU4" s="1" t="s">
        <v>115</v>
      </c>
      <c r="EV4" s="1" t="s">
        <v>170</v>
      </c>
      <c r="EW4" s="1" t="s">
        <v>171</v>
      </c>
      <c r="EX4" s="1" t="s">
        <v>172</v>
      </c>
      <c r="EY4" s="1" t="s">
        <v>173</v>
      </c>
      <c r="EZ4" s="1" t="s">
        <v>174</v>
      </c>
      <c r="FA4" s="1" t="s">
        <v>151</v>
      </c>
      <c r="FB4" s="1" t="s">
        <v>175</v>
      </c>
      <c r="FC4" s="1" t="s">
        <v>176</v>
      </c>
      <c r="FD4" s="1" t="s">
        <v>177</v>
      </c>
      <c r="FE4" s="1" t="s">
        <v>240</v>
      </c>
      <c r="FF4" s="1" t="s">
        <v>179</v>
      </c>
      <c r="FG4" s="1" t="s">
        <v>180</v>
      </c>
      <c r="FH4" s="1" t="s">
        <v>181</v>
      </c>
      <c r="FI4" s="1" t="s">
        <v>152</v>
      </c>
      <c r="FJ4" s="1" t="s">
        <v>182</v>
      </c>
      <c r="FK4" s="1" t="s">
        <v>241</v>
      </c>
      <c r="FL4" s="1" t="s">
        <v>184</v>
      </c>
      <c r="FM4" s="1" t="s">
        <v>185</v>
      </c>
      <c r="FN4" s="1" t="s">
        <v>186</v>
      </c>
      <c r="FO4" s="1" t="s">
        <v>242</v>
      </c>
      <c r="FP4" s="1" t="s">
        <v>188</v>
      </c>
      <c r="FQ4" s="1" t="s">
        <v>153</v>
      </c>
      <c r="FR4" s="1" t="s">
        <v>189</v>
      </c>
      <c r="FS4" s="1" t="s">
        <v>190</v>
      </c>
      <c r="FT4" s="1" t="s">
        <v>191</v>
      </c>
      <c r="FU4" s="1" t="s">
        <v>192</v>
      </c>
      <c r="FV4" s="1" t="s">
        <v>193</v>
      </c>
      <c r="FW4" s="1" t="s">
        <v>194</v>
      </c>
      <c r="FX4" s="1" t="s">
        <v>243</v>
      </c>
      <c r="FY4" s="1" t="s">
        <v>196</v>
      </c>
      <c r="FZ4" s="1" t="s">
        <v>154</v>
      </c>
      <c r="GA4" s="1" t="s">
        <v>244</v>
      </c>
      <c r="GB4" s="1" t="s">
        <v>245</v>
      </c>
      <c r="GC4" s="1" t="s">
        <v>199</v>
      </c>
      <c r="GD4" s="1" t="s">
        <v>246</v>
      </c>
      <c r="GE4" s="1" t="s">
        <v>201</v>
      </c>
      <c r="GF4" s="1" t="s">
        <v>202</v>
      </c>
      <c r="GG4" s="1" t="s">
        <v>203</v>
      </c>
      <c r="GH4" s="1" t="s">
        <v>155</v>
      </c>
      <c r="GI4" s="1" t="s">
        <v>204</v>
      </c>
      <c r="GJ4" s="1" t="s">
        <v>205</v>
      </c>
      <c r="GK4" s="1" t="s">
        <v>206</v>
      </c>
      <c r="GL4" s="1" t="s">
        <v>207</v>
      </c>
      <c r="GM4" s="1" t="s">
        <v>208</v>
      </c>
      <c r="GN4" s="1" t="s">
        <v>247</v>
      </c>
      <c r="GO4" s="1" t="s">
        <v>156</v>
      </c>
      <c r="GP4" s="1" t="s">
        <v>209</v>
      </c>
      <c r="GQ4" s="1" t="s">
        <v>210</v>
      </c>
      <c r="GR4" s="1" t="s">
        <v>211</v>
      </c>
      <c r="GS4" s="1" t="s">
        <v>212</v>
      </c>
      <c r="GT4" s="1" t="s">
        <v>213</v>
      </c>
      <c r="GU4" s="1" t="s">
        <v>214</v>
      </c>
      <c r="GV4" s="1" t="s">
        <v>215</v>
      </c>
      <c r="GW4" s="1" t="s">
        <v>216</v>
      </c>
      <c r="GX4" s="1" t="s">
        <v>157</v>
      </c>
      <c r="GY4" s="1" t="s">
        <v>217</v>
      </c>
      <c r="GZ4" s="1" t="s">
        <v>218</v>
      </c>
      <c r="HA4" s="1" t="s">
        <v>219</v>
      </c>
      <c r="HB4" s="1" t="s">
        <v>220</v>
      </c>
      <c r="HC4" s="1" t="s">
        <v>221</v>
      </c>
      <c r="HD4" s="1" t="s">
        <v>158</v>
      </c>
      <c r="HE4" s="1" t="s">
        <v>222</v>
      </c>
      <c r="HF4" s="1" t="s">
        <v>223</v>
      </c>
      <c r="HG4" s="1" t="s">
        <v>248</v>
      </c>
      <c r="HH4" s="1" t="s">
        <v>225</v>
      </c>
      <c r="HI4" s="1" t="s">
        <v>226</v>
      </c>
      <c r="HJ4" s="1" t="s">
        <v>227</v>
      </c>
      <c r="HK4" s="1" t="s">
        <v>228</v>
      </c>
      <c r="HL4" s="1" t="s">
        <v>229</v>
      </c>
      <c r="HM4" s="1" t="s">
        <v>230</v>
      </c>
      <c r="HN4" s="1" t="s">
        <v>231</v>
      </c>
      <c r="HO4" s="1" t="s">
        <v>159</v>
      </c>
      <c r="HP4" s="1" t="s">
        <v>232</v>
      </c>
      <c r="HQ4" s="1" t="s">
        <v>233</v>
      </c>
      <c r="HR4" s="1" t="s">
        <v>234</v>
      </c>
      <c r="HS4" s="1" t="s">
        <v>235</v>
      </c>
      <c r="HT4" s="1" t="s">
        <v>236</v>
      </c>
      <c r="HU4" s="1" t="s">
        <v>237</v>
      </c>
      <c r="HV4" s="1" t="s">
        <v>160</v>
      </c>
      <c r="HW4" s="4" t="s">
        <v>249</v>
      </c>
      <c r="HX4" s="2" t="s">
        <v>250</v>
      </c>
      <c r="HY4" s="2" t="s">
        <v>264</v>
      </c>
      <c r="HZ4" s="2" t="s">
        <v>265</v>
      </c>
      <c r="IA4" s="2" t="s">
        <v>266</v>
      </c>
      <c r="IB4" s="2" t="s">
        <v>267</v>
      </c>
      <c r="IC4" s="2" t="s">
        <v>268</v>
      </c>
      <c r="ID4" s="2" t="s">
        <v>269</v>
      </c>
      <c r="IE4" s="2" t="s">
        <v>270</v>
      </c>
      <c r="IF4" s="2" t="s">
        <v>271</v>
      </c>
      <c r="IG4" s="2" t="s">
        <v>272</v>
      </c>
      <c r="IH4" s="2" t="s">
        <v>251</v>
      </c>
      <c r="II4" s="2" t="s">
        <v>273</v>
      </c>
      <c r="IJ4" s="2" t="s">
        <v>274</v>
      </c>
      <c r="IK4" s="2" t="s">
        <v>342</v>
      </c>
      <c r="IL4" s="2" t="s">
        <v>252</v>
      </c>
      <c r="IM4" s="2" t="s">
        <v>275</v>
      </c>
      <c r="IN4" s="2" t="s">
        <v>276</v>
      </c>
      <c r="IO4" s="2" t="s">
        <v>277</v>
      </c>
      <c r="IP4" s="2" t="s">
        <v>278</v>
      </c>
      <c r="IQ4" s="2" t="s">
        <v>279</v>
      </c>
      <c r="IR4" s="2" t="s">
        <v>253</v>
      </c>
      <c r="IS4" s="2" t="s">
        <v>343</v>
      </c>
      <c r="IT4" s="12" t="s">
        <v>281</v>
      </c>
      <c r="IU4" s="12" t="s">
        <v>282</v>
      </c>
      <c r="IV4" s="2" t="s">
        <v>283</v>
      </c>
      <c r="IW4" s="2" t="s">
        <v>254</v>
      </c>
      <c r="IX4" s="12" t="s">
        <v>344</v>
      </c>
      <c r="IY4" s="12" t="s">
        <v>285</v>
      </c>
      <c r="IZ4" s="12" t="s">
        <v>286</v>
      </c>
      <c r="JA4" s="2" t="s">
        <v>287</v>
      </c>
      <c r="JB4" s="2" t="s">
        <v>288</v>
      </c>
      <c r="JC4" s="2" t="s">
        <v>289</v>
      </c>
      <c r="JD4" s="2" t="s">
        <v>290</v>
      </c>
      <c r="JE4" s="2" t="s">
        <v>255</v>
      </c>
      <c r="JF4" s="2" t="s">
        <v>291</v>
      </c>
      <c r="JG4" s="2" t="s">
        <v>292</v>
      </c>
      <c r="JH4" s="2" t="s">
        <v>293</v>
      </c>
      <c r="JI4" s="2" t="s">
        <v>294</v>
      </c>
      <c r="JJ4" s="2" t="s">
        <v>345</v>
      </c>
      <c r="JK4" s="2" t="s">
        <v>296</v>
      </c>
      <c r="JL4" s="2" t="s">
        <v>346</v>
      </c>
      <c r="JM4" s="2" t="s">
        <v>256</v>
      </c>
      <c r="JN4" s="2" t="s">
        <v>298</v>
      </c>
      <c r="JO4" s="2" t="s">
        <v>299</v>
      </c>
      <c r="JP4" s="2" t="s">
        <v>168</v>
      </c>
      <c r="JQ4" s="2" t="s">
        <v>300</v>
      </c>
      <c r="JR4" s="2" t="s">
        <v>301</v>
      </c>
      <c r="JS4" s="2" t="s">
        <v>257</v>
      </c>
      <c r="JT4" s="2" t="s">
        <v>302</v>
      </c>
      <c r="JU4" s="2" t="s">
        <v>303</v>
      </c>
      <c r="JV4" s="2" t="s">
        <v>304</v>
      </c>
      <c r="JW4" s="2" t="s">
        <v>305</v>
      </c>
      <c r="JX4" s="2" t="s">
        <v>306</v>
      </c>
      <c r="JY4" s="2" t="s">
        <v>307</v>
      </c>
      <c r="JZ4" s="2" t="s">
        <v>258</v>
      </c>
      <c r="KA4" s="2" t="s">
        <v>308</v>
      </c>
      <c r="KB4" s="2" t="s">
        <v>309</v>
      </c>
      <c r="KC4" s="2" t="s">
        <v>310</v>
      </c>
      <c r="KD4" s="2" t="s">
        <v>311</v>
      </c>
      <c r="KE4" s="2" t="s">
        <v>312</v>
      </c>
      <c r="KF4" s="2" t="s">
        <v>227</v>
      </c>
      <c r="KG4" s="2" t="s">
        <v>313</v>
      </c>
      <c r="KH4" s="2" t="s">
        <v>314</v>
      </c>
      <c r="KI4" s="2" t="s">
        <v>315</v>
      </c>
      <c r="KJ4" s="2" t="s">
        <v>316</v>
      </c>
      <c r="KK4" s="2" t="s">
        <v>259</v>
      </c>
      <c r="KL4" s="2" t="s">
        <v>317</v>
      </c>
      <c r="KM4" s="2" t="s">
        <v>318</v>
      </c>
      <c r="KN4" s="2" t="s">
        <v>319</v>
      </c>
      <c r="KO4" s="2" t="s">
        <v>320</v>
      </c>
      <c r="KP4" s="2" t="s">
        <v>260</v>
      </c>
      <c r="KQ4" s="12" t="s">
        <v>321</v>
      </c>
      <c r="KR4" s="12" t="s">
        <v>322</v>
      </c>
      <c r="KS4" s="12" t="s">
        <v>323</v>
      </c>
      <c r="KT4" s="12" t="s">
        <v>324</v>
      </c>
      <c r="KU4" s="12" t="s">
        <v>325</v>
      </c>
      <c r="KV4" s="4" t="s">
        <v>261</v>
      </c>
      <c r="KW4" s="12" t="s">
        <v>326</v>
      </c>
      <c r="KX4" s="12" t="s">
        <v>347</v>
      </c>
      <c r="KY4" s="12" t="s">
        <v>328</v>
      </c>
      <c r="KZ4" s="12" t="s">
        <v>329</v>
      </c>
      <c r="LA4" s="12" t="s">
        <v>330</v>
      </c>
      <c r="LB4" s="12" t="s">
        <v>331</v>
      </c>
      <c r="LC4" s="12" t="s">
        <v>332</v>
      </c>
      <c r="LD4" s="12" t="s">
        <v>333</v>
      </c>
      <c r="LE4" s="12" t="s">
        <v>334</v>
      </c>
      <c r="LF4" s="12" t="s">
        <v>335</v>
      </c>
      <c r="LG4" s="2" t="s">
        <v>262</v>
      </c>
      <c r="LH4" s="12" t="s">
        <v>336</v>
      </c>
      <c r="LI4" s="12" t="s">
        <v>337</v>
      </c>
      <c r="LJ4" s="4" t="s">
        <v>263</v>
      </c>
      <c r="LK4" s="4" t="s">
        <v>338</v>
      </c>
      <c r="LL4" s="4" t="s">
        <v>339</v>
      </c>
      <c r="LM4" s="4" t="s">
        <v>340</v>
      </c>
      <c r="LN4" s="4" t="s">
        <v>341</v>
      </c>
      <c r="LO4" s="2" t="s">
        <v>348</v>
      </c>
      <c r="LP4" s="2" t="s">
        <v>349</v>
      </c>
      <c r="LQ4" s="2" t="s">
        <v>351</v>
      </c>
      <c r="LR4" s="2" t="s">
        <v>352</v>
      </c>
      <c r="LS4" s="2" t="s">
        <v>353</v>
      </c>
      <c r="LT4" s="2" t="s">
        <v>354</v>
      </c>
      <c r="LU4" s="2" t="s">
        <v>350</v>
      </c>
      <c r="LV4" s="2" t="s">
        <v>355</v>
      </c>
      <c r="LW4" s="2" t="s">
        <v>356</v>
      </c>
      <c r="LX4" s="2" t="s">
        <v>357</v>
      </c>
      <c r="LY4" s="2" t="s">
        <v>358</v>
      </c>
      <c r="LZ4" s="2" t="s">
        <v>359</v>
      </c>
      <c r="MA4" s="2" t="s">
        <v>360</v>
      </c>
      <c r="MB4" s="2" t="s">
        <v>361</v>
      </c>
      <c r="MC4" s="2" t="s">
        <v>362</v>
      </c>
    </row>
    <row r="5" spans="1:341">
      <c r="A5" s="1">
        <v>1368</v>
      </c>
    </row>
    <row r="6" spans="1:341">
      <c r="A6" s="1">
        <v>1369</v>
      </c>
    </row>
    <row r="7" spans="1:341">
      <c r="A7" s="1">
        <v>1370</v>
      </c>
    </row>
    <row r="8" spans="1:341">
      <c r="A8" s="1">
        <v>1371</v>
      </c>
    </row>
    <row r="9" spans="1:341">
      <c r="A9" s="1">
        <v>1372</v>
      </c>
    </row>
    <row r="10" spans="1:341">
      <c r="A10" s="1">
        <v>1373</v>
      </c>
    </row>
    <row r="11" spans="1:341">
      <c r="A11" s="1">
        <v>1374</v>
      </c>
    </row>
    <row r="12" spans="1:341">
      <c r="A12" s="1">
        <v>1375</v>
      </c>
    </row>
    <row r="13" spans="1:341">
      <c r="A13" s="1">
        <v>1376</v>
      </c>
    </row>
    <row r="14" spans="1:341">
      <c r="A14" s="1">
        <v>1377</v>
      </c>
    </row>
    <row r="15" spans="1:341">
      <c r="A15" s="1">
        <v>1378</v>
      </c>
    </row>
    <row r="16" spans="1:341">
      <c r="A16" s="1">
        <v>1379</v>
      </c>
      <c r="LS16" t="s">
        <v>363</v>
      </c>
    </row>
    <row r="17" spans="1:322">
      <c r="A17" s="1">
        <v>1380</v>
      </c>
    </row>
    <row r="18" spans="1:322">
      <c r="A18" s="1">
        <v>1381</v>
      </c>
    </row>
    <row r="19" spans="1:322">
      <c r="A19" s="1">
        <v>1382</v>
      </c>
    </row>
    <row r="20" spans="1:322">
      <c r="A20" s="1">
        <v>1383</v>
      </c>
    </row>
    <row r="21" spans="1:322">
      <c r="A21" s="1">
        <v>1384</v>
      </c>
    </row>
    <row r="22" spans="1:322">
      <c r="A22" s="1">
        <v>1385</v>
      </c>
    </row>
    <row r="23" spans="1:322">
      <c r="A23" s="1">
        <v>1386</v>
      </c>
    </row>
    <row r="24" spans="1:322">
      <c r="A24" s="1">
        <v>1387</v>
      </c>
    </row>
    <row r="25" spans="1:322">
      <c r="A25" s="1">
        <v>1388</v>
      </c>
    </row>
    <row r="26" spans="1:322">
      <c r="A26" s="1">
        <v>1389</v>
      </c>
    </row>
    <row r="27" spans="1:322">
      <c r="A27" s="1">
        <v>1390</v>
      </c>
    </row>
    <row r="28" spans="1:322">
      <c r="A28" s="1">
        <v>1391</v>
      </c>
      <c r="B28">
        <v>13</v>
      </c>
      <c r="K28">
        <v>4.7</v>
      </c>
      <c r="R28">
        <v>2.6</v>
      </c>
      <c r="U28">
        <v>16.5</v>
      </c>
      <c r="AD28">
        <v>26</v>
      </c>
      <c r="AG28">
        <v>2</v>
      </c>
      <c r="AH28">
        <v>5</v>
      </c>
      <c r="AT28">
        <v>3.4</v>
      </c>
      <c r="AU28">
        <v>4.4000000000000004</v>
      </c>
      <c r="AY28">
        <v>2.4</v>
      </c>
      <c r="AZ28">
        <v>2.4</v>
      </c>
      <c r="BA28">
        <v>2.4</v>
      </c>
      <c r="BB28">
        <v>2.4</v>
      </c>
      <c r="BI28">
        <v>6</v>
      </c>
      <c r="CX28">
        <v>5.9</v>
      </c>
      <c r="DE28">
        <v>5.5</v>
      </c>
      <c r="DL28">
        <v>4.4000000000000004</v>
      </c>
      <c r="EI28">
        <v>14</v>
      </c>
      <c r="HW28">
        <v>6</v>
      </c>
      <c r="HX28">
        <v>5.4</v>
      </c>
      <c r="IH28">
        <v>1.3</v>
      </c>
      <c r="JM28">
        <v>9.4</v>
      </c>
      <c r="JS28">
        <v>4.9000000000000004</v>
      </c>
      <c r="KK28">
        <v>3.1</v>
      </c>
      <c r="KP28">
        <v>7.6</v>
      </c>
      <c r="KV28">
        <v>14.9</v>
      </c>
      <c r="LJ28">
        <v>14.7</v>
      </c>
    </row>
    <row r="29" spans="1:322">
      <c r="A29" s="1">
        <v>1392</v>
      </c>
    </row>
    <row r="30" spans="1:322">
      <c r="A30" s="1">
        <v>1393</v>
      </c>
    </row>
    <row r="31" spans="1:322">
      <c r="A31" s="1">
        <v>1394</v>
      </c>
    </row>
    <row r="32" spans="1:322">
      <c r="A32" s="1">
        <v>1395</v>
      </c>
    </row>
    <row r="33" spans="1:1">
      <c r="A33" s="1">
        <v>1396</v>
      </c>
    </row>
    <row r="34" spans="1:1">
      <c r="A34" s="1">
        <v>1397</v>
      </c>
    </row>
    <row r="35" spans="1:1">
      <c r="A35" s="1">
        <v>1398</v>
      </c>
    </row>
    <row r="36" spans="1:1">
      <c r="A36" s="1">
        <v>1399</v>
      </c>
    </row>
    <row r="37" spans="1:1">
      <c r="A37" s="1">
        <v>1400</v>
      </c>
    </row>
    <row r="38" spans="1:1">
      <c r="A38" s="1">
        <v>1401</v>
      </c>
    </row>
    <row r="39" spans="1:1">
      <c r="A39" s="1">
        <v>1402</v>
      </c>
    </row>
    <row r="40" spans="1:1">
      <c r="A40" s="1">
        <v>1403</v>
      </c>
    </row>
    <row r="41" spans="1:1">
      <c r="A41" s="1">
        <v>1404</v>
      </c>
    </row>
    <row r="42" spans="1:1">
      <c r="A42" s="1">
        <v>1405</v>
      </c>
    </row>
    <row r="43" spans="1:1">
      <c r="A43" s="1">
        <v>1406</v>
      </c>
    </row>
    <row r="44" spans="1:1">
      <c r="A44" s="1">
        <v>1407</v>
      </c>
    </row>
    <row r="45" spans="1:1">
      <c r="A45" s="1">
        <v>1408</v>
      </c>
    </row>
    <row r="46" spans="1:1">
      <c r="A46" s="1">
        <v>1409</v>
      </c>
    </row>
    <row r="47" spans="1:1">
      <c r="A47" s="1">
        <v>1410</v>
      </c>
    </row>
    <row r="48" spans="1:1">
      <c r="A48" s="1">
        <v>1411</v>
      </c>
    </row>
    <row r="49" spans="1:1">
      <c r="A49" s="1">
        <v>1412</v>
      </c>
    </row>
    <row r="50" spans="1:1">
      <c r="A50" s="1">
        <v>1413</v>
      </c>
    </row>
    <row r="51" spans="1:1">
      <c r="A51" s="1">
        <v>1414</v>
      </c>
    </row>
    <row r="52" spans="1:1">
      <c r="A52" s="1">
        <v>1415</v>
      </c>
    </row>
    <row r="53" spans="1:1">
      <c r="A53" s="1">
        <v>1416</v>
      </c>
    </row>
    <row r="54" spans="1:1">
      <c r="A54" s="1">
        <v>1417</v>
      </c>
    </row>
    <row r="55" spans="1:1">
      <c r="A55" s="1">
        <v>1418</v>
      </c>
    </row>
    <row r="56" spans="1:1">
      <c r="A56" s="1">
        <v>1419</v>
      </c>
    </row>
    <row r="57" spans="1:1">
      <c r="A57" s="1">
        <v>1420</v>
      </c>
    </row>
    <row r="58" spans="1:1">
      <c r="A58" s="1">
        <v>1421</v>
      </c>
    </row>
    <row r="59" spans="1:1">
      <c r="A59" s="1">
        <v>1422</v>
      </c>
    </row>
    <row r="60" spans="1:1">
      <c r="A60" s="1">
        <v>1423</v>
      </c>
    </row>
    <row r="61" spans="1:1">
      <c r="A61" s="1">
        <v>1424</v>
      </c>
    </row>
    <row r="62" spans="1:1">
      <c r="A62" s="1">
        <v>1425</v>
      </c>
    </row>
    <row r="63" spans="1:1">
      <c r="A63" s="1">
        <v>1426</v>
      </c>
    </row>
    <row r="64" spans="1:1">
      <c r="A64" s="1">
        <v>1427</v>
      </c>
    </row>
    <row r="65" spans="1:1">
      <c r="A65" s="1">
        <v>1428</v>
      </c>
    </row>
    <row r="66" spans="1:1">
      <c r="A66" s="1">
        <v>1429</v>
      </c>
    </row>
    <row r="67" spans="1:1">
      <c r="A67" s="1">
        <v>1430</v>
      </c>
    </row>
    <row r="68" spans="1:1">
      <c r="A68" s="1">
        <v>1431</v>
      </c>
    </row>
    <row r="69" spans="1:1">
      <c r="A69" s="1">
        <v>1432</v>
      </c>
    </row>
    <row r="70" spans="1:1">
      <c r="A70" s="1">
        <v>1433</v>
      </c>
    </row>
    <row r="71" spans="1:1">
      <c r="A71" s="1">
        <v>1434</v>
      </c>
    </row>
    <row r="72" spans="1:1">
      <c r="A72" s="1">
        <v>1435</v>
      </c>
    </row>
    <row r="73" spans="1:1">
      <c r="A73" s="1">
        <v>1436</v>
      </c>
    </row>
    <row r="74" spans="1:1">
      <c r="A74" s="1">
        <v>1437</v>
      </c>
    </row>
    <row r="75" spans="1:1">
      <c r="A75" s="1">
        <v>1438</v>
      </c>
    </row>
    <row r="76" spans="1:1">
      <c r="A76" s="1">
        <v>1439</v>
      </c>
    </row>
    <row r="77" spans="1:1">
      <c r="A77" s="1">
        <v>1440</v>
      </c>
    </row>
    <row r="78" spans="1:1">
      <c r="A78" s="1">
        <v>1441</v>
      </c>
    </row>
    <row r="79" spans="1:1">
      <c r="A79" s="1">
        <v>1442</v>
      </c>
    </row>
    <row r="80" spans="1:1">
      <c r="A80" s="1">
        <v>1443</v>
      </c>
    </row>
    <row r="81" spans="1:1">
      <c r="A81" s="1">
        <v>1444</v>
      </c>
    </row>
    <row r="82" spans="1:1">
      <c r="A82" s="1">
        <v>1445</v>
      </c>
    </row>
    <row r="83" spans="1:1">
      <c r="A83" s="1">
        <v>1446</v>
      </c>
    </row>
    <row r="84" spans="1:1">
      <c r="A84" s="1">
        <v>1447</v>
      </c>
    </row>
    <row r="85" spans="1:1">
      <c r="A85" s="1">
        <v>1448</v>
      </c>
    </row>
    <row r="86" spans="1:1">
      <c r="A86" s="1">
        <v>1449</v>
      </c>
    </row>
    <row r="87" spans="1:1">
      <c r="A87" s="1">
        <v>1450</v>
      </c>
    </row>
    <row r="88" spans="1:1">
      <c r="A88" s="1">
        <v>1451</v>
      </c>
    </row>
    <row r="89" spans="1:1">
      <c r="A89" s="1">
        <v>1452</v>
      </c>
    </row>
    <row r="90" spans="1:1">
      <c r="A90" s="1">
        <v>1453</v>
      </c>
    </row>
    <row r="91" spans="1:1">
      <c r="A91" s="1">
        <v>1454</v>
      </c>
    </row>
    <row r="92" spans="1:1">
      <c r="A92" s="1">
        <v>1455</v>
      </c>
    </row>
    <row r="93" spans="1:1">
      <c r="A93" s="1">
        <v>1456</v>
      </c>
    </row>
    <row r="94" spans="1:1">
      <c r="A94" s="1">
        <v>1457</v>
      </c>
    </row>
    <row r="95" spans="1:1">
      <c r="A95" s="1">
        <v>1458</v>
      </c>
    </row>
    <row r="96" spans="1:1">
      <c r="A96" s="1">
        <v>1459</v>
      </c>
    </row>
    <row r="97" spans="1:1">
      <c r="A97" s="1">
        <v>1460</v>
      </c>
    </row>
    <row r="98" spans="1:1">
      <c r="A98" s="1">
        <v>1461</v>
      </c>
    </row>
    <row r="99" spans="1:1">
      <c r="A99" s="1">
        <v>1462</v>
      </c>
    </row>
    <row r="100" spans="1:1">
      <c r="A100" s="1">
        <v>1463</v>
      </c>
    </row>
    <row r="101" spans="1:1">
      <c r="A101" s="1">
        <v>1464</v>
      </c>
    </row>
    <row r="102" spans="1:1">
      <c r="A102" s="1">
        <v>1465</v>
      </c>
    </row>
    <row r="103" spans="1:1">
      <c r="A103" s="1">
        <v>1466</v>
      </c>
    </row>
    <row r="104" spans="1:1">
      <c r="A104" s="1">
        <v>1467</v>
      </c>
    </row>
    <row r="105" spans="1:1">
      <c r="A105" s="1">
        <v>1468</v>
      </c>
    </row>
    <row r="106" spans="1:1">
      <c r="A106" s="1">
        <v>1469</v>
      </c>
    </row>
    <row r="107" spans="1:1">
      <c r="A107" s="1">
        <v>1470</v>
      </c>
    </row>
    <row r="108" spans="1:1">
      <c r="A108" s="1">
        <v>1471</v>
      </c>
    </row>
    <row r="109" spans="1:1">
      <c r="A109" s="1">
        <v>1472</v>
      </c>
    </row>
    <row r="110" spans="1:1">
      <c r="A110" s="1">
        <v>1473</v>
      </c>
    </row>
    <row r="111" spans="1:1">
      <c r="A111" s="1">
        <v>1474</v>
      </c>
    </row>
    <row r="112" spans="1:1">
      <c r="A112" s="1">
        <v>1475</v>
      </c>
    </row>
    <row r="113" spans="1:1">
      <c r="A113" s="1">
        <v>1476</v>
      </c>
    </row>
    <row r="114" spans="1:1">
      <c r="A114" s="1">
        <v>1477</v>
      </c>
    </row>
    <row r="115" spans="1:1">
      <c r="A115" s="1">
        <v>1478</v>
      </c>
    </row>
    <row r="116" spans="1:1">
      <c r="A116" s="1">
        <v>1479</v>
      </c>
    </row>
    <row r="117" spans="1:1">
      <c r="A117" s="1">
        <v>1480</v>
      </c>
    </row>
    <row r="118" spans="1:1">
      <c r="A118" s="1">
        <v>1481</v>
      </c>
    </row>
    <row r="119" spans="1:1">
      <c r="A119" s="1">
        <v>1482</v>
      </c>
    </row>
    <row r="120" spans="1:1">
      <c r="A120" s="1">
        <v>1483</v>
      </c>
    </row>
    <row r="121" spans="1:1">
      <c r="A121" s="1">
        <v>1484</v>
      </c>
    </row>
    <row r="122" spans="1:1">
      <c r="A122" s="1">
        <v>1485</v>
      </c>
    </row>
    <row r="123" spans="1:1">
      <c r="A123" s="1">
        <v>1486</v>
      </c>
    </row>
    <row r="124" spans="1:1">
      <c r="A124" s="1">
        <v>1487</v>
      </c>
    </row>
    <row r="125" spans="1:1">
      <c r="A125" s="1">
        <v>1488</v>
      </c>
    </row>
    <row r="126" spans="1:1">
      <c r="A126" s="1">
        <v>1489</v>
      </c>
    </row>
    <row r="127" spans="1:1">
      <c r="A127" s="1">
        <v>1490</v>
      </c>
    </row>
    <row r="128" spans="1:1">
      <c r="A128" s="1">
        <v>1491</v>
      </c>
    </row>
    <row r="129" spans="1:1">
      <c r="A129" s="1">
        <v>1492</v>
      </c>
    </row>
    <row r="130" spans="1:1">
      <c r="A130" s="1">
        <v>1493</v>
      </c>
    </row>
    <row r="131" spans="1:1">
      <c r="A131" s="1">
        <v>1494</v>
      </c>
    </row>
    <row r="132" spans="1:1">
      <c r="A132" s="1">
        <v>1495</v>
      </c>
    </row>
    <row r="133" spans="1:1">
      <c r="A133" s="1">
        <v>1496</v>
      </c>
    </row>
    <row r="134" spans="1:1">
      <c r="A134" s="1">
        <v>1497</v>
      </c>
    </row>
    <row r="135" spans="1:1">
      <c r="A135" s="1">
        <v>1498</v>
      </c>
    </row>
    <row r="136" spans="1:1">
      <c r="A136" s="1">
        <v>1499</v>
      </c>
    </row>
    <row r="137" spans="1:1">
      <c r="A137" s="1">
        <v>1500</v>
      </c>
    </row>
    <row r="138" spans="1:1">
      <c r="A138" s="1">
        <v>1501</v>
      </c>
    </row>
    <row r="139" spans="1:1">
      <c r="A139" s="1">
        <v>1502</v>
      </c>
    </row>
    <row r="140" spans="1:1">
      <c r="A140" s="1">
        <v>1503</v>
      </c>
    </row>
    <row r="141" spans="1:1">
      <c r="A141" s="1">
        <v>1504</v>
      </c>
    </row>
    <row r="142" spans="1:1">
      <c r="A142" s="1">
        <v>1505</v>
      </c>
    </row>
    <row r="143" spans="1:1">
      <c r="A143" s="1">
        <v>1506</v>
      </c>
    </row>
    <row r="144" spans="1:1">
      <c r="A144" s="1">
        <v>1507</v>
      </c>
    </row>
    <row r="145" spans="1:1">
      <c r="A145" s="1">
        <v>1508</v>
      </c>
    </row>
    <row r="146" spans="1:1">
      <c r="A146" s="1">
        <v>1509</v>
      </c>
    </row>
    <row r="147" spans="1:1">
      <c r="A147" s="1">
        <v>1510</v>
      </c>
    </row>
    <row r="148" spans="1:1">
      <c r="A148" s="1">
        <v>1511</v>
      </c>
    </row>
    <row r="149" spans="1:1">
      <c r="A149" s="1">
        <v>1512</v>
      </c>
    </row>
    <row r="150" spans="1:1">
      <c r="A150" s="1">
        <v>1513</v>
      </c>
    </row>
    <row r="151" spans="1:1">
      <c r="A151" s="1">
        <v>1514</v>
      </c>
    </row>
    <row r="152" spans="1:1">
      <c r="A152" s="1">
        <v>1515</v>
      </c>
    </row>
    <row r="153" spans="1:1">
      <c r="A153" s="1">
        <v>1516</v>
      </c>
    </row>
    <row r="154" spans="1:1">
      <c r="A154" s="1">
        <v>1517</v>
      </c>
    </row>
    <row r="155" spans="1:1">
      <c r="A155" s="1">
        <v>1518</v>
      </c>
    </row>
    <row r="156" spans="1:1">
      <c r="A156" s="1">
        <v>1519</v>
      </c>
    </row>
    <row r="157" spans="1:1">
      <c r="A157" s="1">
        <v>1520</v>
      </c>
    </row>
    <row r="158" spans="1:1">
      <c r="A158" s="1">
        <v>1521</v>
      </c>
    </row>
    <row r="159" spans="1:1">
      <c r="A159" s="1">
        <v>1522</v>
      </c>
    </row>
    <row r="160" spans="1:1">
      <c r="A160" s="1">
        <v>1523</v>
      </c>
    </row>
    <row r="161" spans="1:1">
      <c r="A161" s="1">
        <v>1524</v>
      </c>
    </row>
    <row r="162" spans="1:1">
      <c r="A162" s="1">
        <v>1525</v>
      </c>
    </row>
    <row r="163" spans="1:1">
      <c r="A163" s="1">
        <v>1526</v>
      </c>
    </row>
    <row r="164" spans="1:1">
      <c r="A164" s="1">
        <v>1527</v>
      </c>
    </row>
    <row r="165" spans="1:1">
      <c r="A165" s="1">
        <v>1528</v>
      </c>
    </row>
    <row r="166" spans="1:1">
      <c r="A166" s="1">
        <v>1529</v>
      </c>
    </row>
    <row r="167" spans="1:1">
      <c r="A167" s="1">
        <v>1530</v>
      </c>
    </row>
    <row r="168" spans="1:1">
      <c r="A168" s="1">
        <v>1531</v>
      </c>
    </row>
    <row r="169" spans="1:1">
      <c r="A169" s="1">
        <v>1532</v>
      </c>
    </row>
    <row r="170" spans="1:1">
      <c r="A170" s="1">
        <v>1533</v>
      </c>
    </row>
    <row r="171" spans="1:1">
      <c r="A171" s="1">
        <v>1534</v>
      </c>
    </row>
    <row r="172" spans="1:1">
      <c r="A172" s="1">
        <v>1535</v>
      </c>
    </row>
    <row r="173" spans="1:1">
      <c r="A173" s="1">
        <v>1536</v>
      </c>
    </row>
    <row r="174" spans="1:1">
      <c r="A174" s="1">
        <v>1537</v>
      </c>
    </row>
    <row r="175" spans="1:1">
      <c r="A175" s="1">
        <v>1538</v>
      </c>
    </row>
    <row r="176" spans="1:1">
      <c r="A176" s="1">
        <v>1539</v>
      </c>
    </row>
    <row r="177" spans="1:1">
      <c r="A177" s="1">
        <v>1540</v>
      </c>
    </row>
    <row r="178" spans="1:1">
      <c r="A178" s="1">
        <v>1541</v>
      </c>
    </row>
    <row r="179" spans="1:1">
      <c r="A179" s="1">
        <v>1542</v>
      </c>
    </row>
    <row r="180" spans="1:1">
      <c r="A180" s="1">
        <v>1543</v>
      </c>
    </row>
    <row r="181" spans="1:1">
      <c r="A181" s="1">
        <v>1544</v>
      </c>
    </row>
    <row r="182" spans="1:1">
      <c r="A182" s="1">
        <v>1545</v>
      </c>
    </row>
    <row r="183" spans="1:1">
      <c r="A183" s="1">
        <v>1546</v>
      </c>
    </row>
    <row r="184" spans="1:1">
      <c r="A184" s="1">
        <v>1547</v>
      </c>
    </row>
    <row r="185" spans="1:1">
      <c r="A185" s="1">
        <v>1548</v>
      </c>
    </row>
    <row r="186" spans="1:1">
      <c r="A186" s="1">
        <v>1549</v>
      </c>
    </row>
    <row r="187" spans="1:1">
      <c r="A187" s="1">
        <v>1550</v>
      </c>
    </row>
    <row r="188" spans="1:1">
      <c r="A188" s="1">
        <v>1551</v>
      </c>
    </row>
    <row r="189" spans="1:1">
      <c r="A189" s="1">
        <v>1552</v>
      </c>
    </row>
    <row r="190" spans="1:1">
      <c r="A190" s="1">
        <v>1553</v>
      </c>
    </row>
    <row r="191" spans="1:1">
      <c r="A191" s="1">
        <v>1554</v>
      </c>
    </row>
    <row r="192" spans="1:1">
      <c r="A192" s="1">
        <v>1555</v>
      </c>
    </row>
    <row r="193" spans="1:1">
      <c r="A193" s="1">
        <v>1556</v>
      </c>
    </row>
    <row r="194" spans="1:1">
      <c r="A194" s="1">
        <v>1557</v>
      </c>
    </row>
    <row r="195" spans="1:1">
      <c r="A195" s="1">
        <v>1558</v>
      </c>
    </row>
    <row r="196" spans="1:1">
      <c r="A196" s="1">
        <v>1559</v>
      </c>
    </row>
    <row r="197" spans="1:1">
      <c r="A197" s="1">
        <v>1560</v>
      </c>
    </row>
    <row r="198" spans="1:1">
      <c r="A198" s="1">
        <v>1561</v>
      </c>
    </row>
    <row r="199" spans="1:1">
      <c r="A199" s="1">
        <v>1562</v>
      </c>
    </row>
    <row r="200" spans="1:1">
      <c r="A200" s="1">
        <v>1563</v>
      </c>
    </row>
    <row r="201" spans="1:1">
      <c r="A201" s="1">
        <v>1564</v>
      </c>
    </row>
    <row r="202" spans="1:1">
      <c r="A202" s="1">
        <v>1565</v>
      </c>
    </row>
    <row r="203" spans="1:1">
      <c r="A203" s="1">
        <v>1566</v>
      </c>
    </row>
    <row r="204" spans="1:1">
      <c r="A204" s="1">
        <v>1567</v>
      </c>
    </row>
    <row r="205" spans="1:1">
      <c r="A205" s="1">
        <v>1568</v>
      </c>
    </row>
    <row r="206" spans="1:1">
      <c r="A206" s="1">
        <v>1569</v>
      </c>
    </row>
    <row r="207" spans="1:1">
      <c r="A207" s="1">
        <v>1570</v>
      </c>
    </row>
    <row r="208" spans="1:1">
      <c r="A208" s="1">
        <v>1571</v>
      </c>
    </row>
    <row r="209" spans="1:1">
      <c r="A209" s="1">
        <v>1572</v>
      </c>
    </row>
    <row r="210" spans="1:1">
      <c r="A210" s="1">
        <v>1573</v>
      </c>
    </row>
    <row r="211" spans="1:1">
      <c r="A211" s="1">
        <v>1574</v>
      </c>
    </row>
    <row r="212" spans="1:1">
      <c r="A212" s="1">
        <v>1575</v>
      </c>
    </row>
    <row r="213" spans="1:1">
      <c r="A213" s="1">
        <v>1576</v>
      </c>
    </row>
    <row r="214" spans="1:1">
      <c r="A214" s="1">
        <v>1577</v>
      </c>
    </row>
    <row r="215" spans="1:1">
      <c r="A215" s="1">
        <v>1578</v>
      </c>
    </row>
    <row r="216" spans="1:1">
      <c r="A216" s="1">
        <v>1579</v>
      </c>
    </row>
    <row r="217" spans="1:1">
      <c r="A217" s="1">
        <v>1580</v>
      </c>
    </row>
    <row r="218" spans="1:1">
      <c r="A218" s="1">
        <v>1581</v>
      </c>
    </row>
    <row r="219" spans="1:1">
      <c r="A219" s="1">
        <v>1582</v>
      </c>
    </row>
    <row r="220" spans="1:1">
      <c r="A220" s="1">
        <v>1583</v>
      </c>
    </row>
    <row r="221" spans="1:1">
      <c r="A221" s="1">
        <v>1584</v>
      </c>
    </row>
    <row r="222" spans="1:1">
      <c r="A222" s="1">
        <v>1585</v>
      </c>
    </row>
    <row r="223" spans="1:1">
      <c r="A223" s="1">
        <v>1586</v>
      </c>
    </row>
    <row r="224" spans="1:1">
      <c r="A224" s="1">
        <v>1587</v>
      </c>
    </row>
    <row r="225" spans="1:1">
      <c r="A225" s="1">
        <v>1588</v>
      </c>
    </row>
    <row r="226" spans="1:1">
      <c r="A226" s="1">
        <v>1589</v>
      </c>
    </row>
    <row r="227" spans="1:1">
      <c r="A227" s="1">
        <v>1590</v>
      </c>
    </row>
    <row r="228" spans="1:1">
      <c r="A228" s="1">
        <v>1591</v>
      </c>
    </row>
    <row r="229" spans="1:1">
      <c r="A229" s="1">
        <v>1592</v>
      </c>
    </row>
    <row r="230" spans="1:1">
      <c r="A230" s="1">
        <v>1593</v>
      </c>
    </row>
    <row r="231" spans="1:1">
      <c r="A231" s="1">
        <v>1594</v>
      </c>
    </row>
    <row r="232" spans="1:1">
      <c r="A232" s="1">
        <v>1595</v>
      </c>
    </row>
    <row r="233" spans="1:1">
      <c r="A233" s="1">
        <v>1596</v>
      </c>
    </row>
    <row r="234" spans="1:1">
      <c r="A234" s="1">
        <v>1597</v>
      </c>
    </row>
    <row r="235" spans="1:1">
      <c r="A235" s="1">
        <v>1598</v>
      </c>
    </row>
    <row r="236" spans="1:1">
      <c r="A236" s="1">
        <v>1599</v>
      </c>
    </row>
    <row r="237" spans="1:1">
      <c r="A237" s="1">
        <v>1600</v>
      </c>
    </row>
    <row r="238" spans="1:1">
      <c r="A238" s="1">
        <v>1601</v>
      </c>
    </row>
    <row r="239" spans="1:1">
      <c r="A239" s="1">
        <v>1602</v>
      </c>
    </row>
    <row r="240" spans="1:1">
      <c r="A240" s="1">
        <v>1603</v>
      </c>
    </row>
    <row r="241" spans="1:1">
      <c r="A241" s="1">
        <v>1604</v>
      </c>
    </row>
    <row r="242" spans="1:1">
      <c r="A242" s="1">
        <v>1605</v>
      </c>
    </row>
    <row r="243" spans="1:1">
      <c r="A243" s="1">
        <v>1606</v>
      </c>
    </row>
    <row r="244" spans="1:1">
      <c r="A244" s="1">
        <v>1607</v>
      </c>
    </row>
    <row r="245" spans="1:1">
      <c r="A245" s="1">
        <v>1608</v>
      </c>
    </row>
    <row r="246" spans="1:1">
      <c r="A246" s="1">
        <v>1609</v>
      </c>
    </row>
    <row r="247" spans="1:1">
      <c r="A247" s="1">
        <v>1610</v>
      </c>
    </row>
    <row r="248" spans="1:1">
      <c r="A248" s="1">
        <v>1611</v>
      </c>
    </row>
    <row r="249" spans="1:1">
      <c r="A249" s="1">
        <v>1612</v>
      </c>
    </row>
    <row r="250" spans="1:1">
      <c r="A250" s="1">
        <v>1613</v>
      </c>
    </row>
    <row r="251" spans="1:1">
      <c r="A251" s="1">
        <v>1614</v>
      </c>
    </row>
    <row r="252" spans="1:1">
      <c r="A252" s="1">
        <v>1615</v>
      </c>
    </row>
    <row r="253" spans="1:1">
      <c r="A253" s="1">
        <v>1616</v>
      </c>
    </row>
    <row r="254" spans="1:1">
      <c r="A254" s="1">
        <v>1617</v>
      </c>
    </row>
    <row r="255" spans="1:1">
      <c r="A255" s="1">
        <v>1618</v>
      </c>
    </row>
    <row r="256" spans="1:1">
      <c r="A256" s="1">
        <v>1619</v>
      </c>
    </row>
    <row r="257" spans="1:333">
      <c r="A257" s="1">
        <v>1620</v>
      </c>
    </row>
    <row r="258" spans="1:333">
      <c r="A258" s="1">
        <v>1621</v>
      </c>
    </row>
    <row r="259" spans="1:333">
      <c r="A259" s="1">
        <v>1622</v>
      </c>
    </row>
    <row r="260" spans="1:333">
      <c r="A260" s="1">
        <v>1623</v>
      </c>
    </row>
    <row r="261" spans="1:333">
      <c r="A261" s="1">
        <v>1624</v>
      </c>
    </row>
    <row r="262" spans="1:333">
      <c r="A262" s="1">
        <v>1625</v>
      </c>
    </row>
    <row r="263" spans="1:333">
      <c r="A263" s="1">
        <v>1626</v>
      </c>
    </row>
    <row r="264" spans="1:333">
      <c r="A264" s="1">
        <v>1627</v>
      </c>
    </row>
    <row r="265" spans="1:333">
      <c r="A265" s="1">
        <v>1628</v>
      </c>
    </row>
    <row r="266" spans="1:333">
      <c r="A266" s="1">
        <v>1629</v>
      </c>
    </row>
    <row r="267" spans="1:333">
      <c r="A267" s="1">
        <v>1630</v>
      </c>
      <c r="B267">
        <v>18</v>
      </c>
      <c r="C267">
        <v>17</v>
      </c>
      <c r="U267">
        <v>26.1</v>
      </c>
      <c r="AH267">
        <v>20</v>
      </c>
      <c r="AT267">
        <v>8</v>
      </c>
      <c r="BC267">
        <v>8</v>
      </c>
      <c r="BI267">
        <v>6</v>
      </c>
      <c r="EI267">
        <v>18</v>
      </c>
      <c r="HW267">
        <v>8</v>
      </c>
      <c r="LU267">
        <v>10</v>
      </c>
    </row>
    <row r="268" spans="1:333">
      <c r="A268" s="1">
        <v>1631</v>
      </c>
    </row>
    <row r="269" spans="1:333">
      <c r="A269" s="1">
        <v>1632</v>
      </c>
    </row>
    <row r="270" spans="1:333">
      <c r="A270" s="1">
        <v>1633</v>
      </c>
    </row>
    <row r="271" spans="1:333">
      <c r="A271" s="1">
        <v>1634</v>
      </c>
    </row>
    <row r="272" spans="1:333">
      <c r="A272" s="1">
        <v>1635</v>
      </c>
    </row>
    <row r="273" spans="1:231">
      <c r="A273" s="1">
        <v>1636</v>
      </c>
    </row>
    <row r="274" spans="1:231">
      <c r="A274" s="1">
        <v>1637</v>
      </c>
    </row>
    <row r="275" spans="1:231">
      <c r="A275" s="1">
        <v>1638</v>
      </c>
    </row>
    <row r="276" spans="1:231">
      <c r="A276" s="1">
        <v>1639</v>
      </c>
    </row>
    <row r="277" spans="1:231">
      <c r="A277" s="1">
        <v>1640</v>
      </c>
    </row>
    <row r="278" spans="1:231">
      <c r="A278" s="1">
        <v>1641</v>
      </c>
    </row>
    <row r="279" spans="1:231">
      <c r="A279" s="1">
        <v>1642</v>
      </c>
    </row>
    <row r="280" spans="1:231">
      <c r="A280" s="1">
        <v>1643</v>
      </c>
    </row>
    <row r="281" spans="1:231">
      <c r="A281" s="1">
        <v>1644</v>
      </c>
      <c r="B281">
        <v>16</v>
      </c>
      <c r="BI281">
        <v>6</v>
      </c>
      <c r="EI281">
        <v>16</v>
      </c>
      <c r="HW281">
        <v>8</v>
      </c>
    </row>
    <row r="282" spans="1:231">
      <c r="A282" s="1">
        <v>1645</v>
      </c>
    </row>
    <row r="283" spans="1:231">
      <c r="A283" s="1">
        <v>1646</v>
      </c>
    </row>
    <row r="284" spans="1:231">
      <c r="A284" s="1">
        <v>1647</v>
      </c>
    </row>
    <row r="285" spans="1:231">
      <c r="A285" s="1">
        <v>1648</v>
      </c>
    </row>
    <row r="286" spans="1:231">
      <c r="A286" s="1">
        <v>1649</v>
      </c>
    </row>
    <row r="287" spans="1:231">
      <c r="A287" s="1">
        <v>1650</v>
      </c>
    </row>
    <row r="288" spans="1:231">
      <c r="A288" s="1">
        <v>1651</v>
      </c>
    </row>
    <row r="289" spans="1:1">
      <c r="A289" s="1">
        <v>1652</v>
      </c>
    </row>
    <row r="290" spans="1:1">
      <c r="A290" s="1">
        <v>1653</v>
      </c>
    </row>
    <row r="291" spans="1:1">
      <c r="A291" s="1">
        <v>1654</v>
      </c>
    </row>
    <row r="292" spans="1:1">
      <c r="A292" s="1">
        <v>1655</v>
      </c>
    </row>
    <row r="293" spans="1:1">
      <c r="A293" s="1">
        <v>1656</v>
      </c>
    </row>
    <row r="294" spans="1:1">
      <c r="A294" s="1">
        <v>1657</v>
      </c>
    </row>
    <row r="295" spans="1:1">
      <c r="A295" s="1">
        <v>1658</v>
      </c>
    </row>
    <row r="296" spans="1:1">
      <c r="A296" s="1">
        <v>1659</v>
      </c>
    </row>
    <row r="297" spans="1:1">
      <c r="A297" s="1">
        <v>1660</v>
      </c>
    </row>
    <row r="298" spans="1:1">
      <c r="A298" s="1">
        <v>1661</v>
      </c>
    </row>
    <row r="299" spans="1:1">
      <c r="A299" s="1">
        <v>1662</v>
      </c>
    </row>
    <row r="300" spans="1:1">
      <c r="A300" s="1">
        <v>1663</v>
      </c>
    </row>
    <row r="301" spans="1:1">
      <c r="A301" s="1">
        <v>1664</v>
      </c>
    </row>
    <row r="302" spans="1:1">
      <c r="A302" s="1">
        <v>1665</v>
      </c>
    </row>
    <row r="303" spans="1:1">
      <c r="A303" s="1">
        <v>1666</v>
      </c>
    </row>
    <row r="304" spans="1:1">
      <c r="A304" s="1">
        <v>1667</v>
      </c>
    </row>
    <row r="305" spans="1:1">
      <c r="A305" s="1">
        <v>1668</v>
      </c>
    </row>
    <row r="306" spans="1:1">
      <c r="A306" s="1">
        <v>1669</v>
      </c>
    </row>
    <row r="307" spans="1:1">
      <c r="A307" s="1">
        <v>1670</v>
      </c>
    </row>
    <row r="308" spans="1:1">
      <c r="A308" s="1">
        <v>1671</v>
      </c>
    </row>
    <row r="309" spans="1:1">
      <c r="A309" s="1">
        <v>1672</v>
      </c>
    </row>
    <row r="310" spans="1:1">
      <c r="A310" s="1">
        <v>1673</v>
      </c>
    </row>
    <row r="311" spans="1:1">
      <c r="A311" s="1">
        <v>1674</v>
      </c>
    </row>
    <row r="312" spans="1:1">
      <c r="A312" s="1">
        <v>1675</v>
      </c>
    </row>
    <row r="313" spans="1:1">
      <c r="A313" s="1">
        <v>1676</v>
      </c>
    </row>
    <row r="314" spans="1:1">
      <c r="A314" s="1">
        <v>1677</v>
      </c>
    </row>
    <row r="315" spans="1:1">
      <c r="A315" s="1">
        <v>1678</v>
      </c>
    </row>
    <row r="316" spans="1:1">
      <c r="A316" s="1">
        <v>1679</v>
      </c>
    </row>
    <row r="317" spans="1:1">
      <c r="A317" s="1">
        <v>1680</v>
      </c>
    </row>
    <row r="318" spans="1:1">
      <c r="A318" s="1">
        <v>1681</v>
      </c>
    </row>
    <row r="319" spans="1:1">
      <c r="A319" s="1">
        <v>1682</v>
      </c>
    </row>
    <row r="320" spans="1:1">
      <c r="A320" s="1">
        <v>1683</v>
      </c>
    </row>
    <row r="321" spans="1:1">
      <c r="A321" s="1">
        <v>1684</v>
      </c>
    </row>
    <row r="322" spans="1:1">
      <c r="A322" s="1">
        <v>1685</v>
      </c>
    </row>
    <row r="323" spans="1:1">
      <c r="A323" s="1">
        <v>1686</v>
      </c>
    </row>
    <row r="324" spans="1:1">
      <c r="A324" s="1">
        <v>1687</v>
      </c>
    </row>
    <row r="325" spans="1:1">
      <c r="A325" s="1">
        <v>1688</v>
      </c>
    </row>
    <row r="326" spans="1:1">
      <c r="A326" s="1">
        <v>1689</v>
      </c>
    </row>
    <row r="327" spans="1:1">
      <c r="A327" s="1">
        <v>1690</v>
      </c>
    </row>
    <row r="328" spans="1:1">
      <c r="A328" s="1">
        <v>1691</v>
      </c>
    </row>
    <row r="329" spans="1:1">
      <c r="A329" s="1">
        <v>1692</v>
      </c>
    </row>
    <row r="330" spans="1:1">
      <c r="A330" s="1">
        <v>1693</v>
      </c>
    </row>
    <row r="331" spans="1:1">
      <c r="A331" s="1">
        <v>1694</v>
      </c>
    </row>
    <row r="332" spans="1:1">
      <c r="A332" s="1">
        <v>1695</v>
      </c>
    </row>
    <row r="333" spans="1:1">
      <c r="A333" s="1">
        <v>1696</v>
      </c>
    </row>
    <row r="334" spans="1:1">
      <c r="A334" s="1">
        <v>1697</v>
      </c>
    </row>
    <row r="335" spans="1:1">
      <c r="A335" s="1">
        <v>1698</v>
      </c>
    </row>
    <row r="336" spans="1:1">
      <c r="A336" s="1">
        <v>1699</v>
      </c>
    </row>
    <row r="337" spans="1:1">
      <c r="A337" s="1">
        <v>1700</v>
      </c>
    </row>
    <row r="338" spans="1:1">
      <c r="A338" s="1">
        <v>1701</v>
      </c>
    </row>
    <row r="339" spans="1:1">
      <c r="A339" s="1">
        <v>1702</v>
      </c>
    </row>
    <row r="340" spans="1:1">
      <c r="A340" s="1">
        <v>1703</v>
      </c>
    </row>
    <row r="341" spans="1:1">
      <c r="A341" s="1">
        <v>1704</v>
      </c>
    </row>
    <row r="342" spans="1:1">
      <c r="A342" s="1">
        <v>1705</v>
      </c>
    </row>
    <row r="343" spans="1:1">
      <c r="A343" s="1">
        <v>1706</v>
      </c>
    </row>
    <row r="344" spans="1:1">
      <c r="A344" s="1">
        <v>1707</v>
      </c>
    </row>
    <row r="345" spans="1:1">
      <c r="A345" s="1">
        <v>1708</v>
      </c>
    </row>
    <row r="346" spans="1:1">
      <c r="A346" s="1">
        <v>1709</v>
      </c>
    </row>
    <row r="347" spans="1:1">
      <c r="A347" s="1">
        <v>1710</v>
      </c>
    </row>
    <row r="348" spans="1:1">
      <c r="A348" s="1">
        <v>1711</v>
      </c>
    </row>
    <row r="349" spans="1:1">
      <c r="A349" s="1">
        <v>1712</v>
      </c>
    </row>
    <row r="350" spans="1:1">
      <c r="A350" s="1">
        <v>1713</v>
      </c>
    </row>
    <row r="351" spans="1:1">
      <c r="A351" s="1">
        <v>1714</v>
      </c>
    </row>
    <row r="352" spans="1:1">
      <c r="A352" s="1">
        <v>1715</v>
      </c>
    </row>
    <row r="353" spans="1:1">
      <c r="A353" s="1">
        <v>1716</v>
      </c>
    </row>
    <row r="354" spans="1:1">
      <c r="A354" s="1">
        <v>1717</v>
      </c>
    </row>
    <row r="355" spans="1:1">
      <c r="A355" s="1">
        <v>1718</v>
      </c>
    </row>
    <row r="356" spans="1:1">
      <c r="A356" s="1">
        <v>1719</v>
      </c>
    </row>
    <row r="357" spans="1:1">
      <c r="A357" s="1">
        <v>1720</v>
      </c>
    </row>
    <row r="358" spans="1:1">
      <c r="A358" s="1">
        <v>1721</v>
      </c>
    </row>
    <row r="359" spans="1:1">
      <c r="A359" s="1">
        <v>1722</v>
      </c>
    </row>
    <row r="360" spans="1:1">
      <c r="A360" s="1">
        <v>1723</v>
      </c>
    </row>
    <row r="361" spans="1:1">
      <c r="A361" s="1">
        <v>1724</v>
      </c>
    </row>
    <row r="362" spans="1:1">
      <c r="A362" s="1">
        <v>1725</v>
      </c>
    </row>
    <row r="363" spans="1:1">
      <c r="A363" s="1">
        <v>1726</v>
      </c>
    </row>
    <row r="364" spans="1:1">
      <c r="A364" s="1">
        <v>1727</v>
      </c>
    </row>
    <row r="365" spans="1:1">
      <c r="A365" s="1">
        <v>1728</v>
      </c>
    </row>
    <row r="366" spans="1:1">
      <c r="A366" s="1">
        <v>1729</v>
      </c>
    </row>
    <row r="367" spans="1:1">
      <c r="A367" s="1">
        <v>1730</v>
      </c>
    </row>
    <row r="368" spans="1:1">
      <c r="A368" s="1">
        <v>1731</v>
      </c>
    </row>
    <row r="369" spans="1:1">
      <c r="A369" s="1">
        <v>1732</v>
      </c>
    </row>
    <row r="370" spans="1:1">
      <c r="A370" s="1">
        <v>1733</v>
      </c>
    </row>
    <row r="371" spans="1:1">
      <c r="A371" s="1">
        <v>1734</v>
      </c>
    </row>
    <row r="372" spans="1:1">
      <c r="A372" s="1">
        <v>1735</v>
      </c>
    </row>
    <row r="373" spans="1:1">
      <c r="A373" s="1">
        <v>1736</v>
      </c>
    </row>
    <row r="374" spans="1:1">
      <c r="A374" s="1">
        <v>1737</v>
      </c>
    </row>
    <row r="375" spans="1:1">
      <c r="A375" s="1">
        <v>1738</v>
      </c>
    </row>
    <row r="376" spans="1:1">
      <c r="A376" s="1">
        <v>1739</v>
      </c>
    </row>
    <row r="377" spans="1:1">
      <c r="A377" s="1">
        <v>1740</v>
      </c>
    </row>
    <row r="378" spans="1:1">
      <c r="A378" s="1">
        <v>1741</v>
      </c>
    </row>
    <row r="379" spans="1:1">
      <c r="A379" s="1">
        <v>1742</v>
      </c>
    </row>
    <row r="380" spans="1:1">
      <c r="A380" s="1">
        <v>1743</v>
      </c>
    </row>
    <row r="381" spans="1:1">
      <c r="A381" s="1">
        <v>1744</v>
      </c>
    </row>
    <row r="382" spans="1:1">
      <c r="A382" s="1">
        <v>1745</v>
      </c>
    </row>
    <row r="383" spans="1:1">
      <c r="A383" s="1">
        <v>1746</v>
      </c>
    </row>
    <row r="384" spans="1:1">
      <c r="A384" s="1">
        <v>1747</v>
      </c>
    </row>
    <row r="385" spans="1:1">
      <c r="A385" s="1">
        <v>1748</v>
      </c>
    </row>
    <row r="386" spans="1:1">
      <c r="A386" s="1">
        <v>1749</v>
      </c>
    </row>
    <row r="387" spans="1:1">
      <c r="A387" s="1">
        <v>1750</v>
      </c>
    </row>
    <row r="388" spans="1:1">
      <c r="A388" s="1">
        <v>1751</v>
      </c>
    </row>
    <row r="389" spans="1:1">
      <c r="A389" s="1">
        <v>1752</v>
      </c>
    </row>
    <row r="390" spans="1:1">
      <c r="A390" s="1">
        <v>1753</v>
      </c>
    </row>
    <row r="391" spans="1:1">
      <c r="A391" s="1">
        <v>1754</v>
      </c>
    </row>
    <row r="392" spans="1:1">
      <c r="A392" s="1">
        <v>1755</v>
      </c>
    </row>
    <row r="393" spans="1:1">
      <c r="A393" s="1">
        <v>1756</v>
      </c>
    </row>
    <row r="394" spans="1:1">
      <c r="A394" s="1">
        <v>1757</v>
      </c>
    </row>
    <row r="395" spans="1:1">
      <c r="A395" s="1">
        <v>1758</v>
      </c>
    </row>
    <row r="396" spans="1:1">
      <c r="A396" s="1">
        <v>1759</v>
      </c>
    </row>
    <row r="397" spans="1:1">
      <c r="A397" s="1">
        <v>1760</v>
      </c>
    </row>
    <row r="398" spans="1:1">
      <c r="A398" s="1">
        <v>1761</v>
      </c>
    </row>
    <row r="399" spans="1:1">
      <c r="A399" s="1">
        <v>1762</v>
      </c>
    </row>
    <row r="400" spans="1:1">
      <c r="A400" s="1">
        <v>1763</v>
      </c>
    </row>
    <row r="401" spans="1:333">
      <c r="A401" s="1">
        <v>1764</v>
      </c>
    </row>
    <row r="402" spans="1:333">
      <c r="A402" s="1">
        <v>1765</v>
      </c>
    </row>
    <row r="403" spans="1:333">
      <c r="A403" s="1">
        <v>1766</v>
      </c>
    </row>
    <row r="404" spans="1:333">
      <c r="A404" s="1">
        <v>1767</v>
      </c>
    </row>
    <row r="405" spans="1:333">
      <c r="A405" s="1">
        <v>1768</v>
      </c>
    </row>
    <row r="406" spans="1:333">
      <c r="A406" s="1">
        <v>1769</v>
      </c>
    </row>
    <row r="407" spans="1:333">
      <c r="A407" s="1">
        <v>1770</v>
      </c>
    </row>
    <row r="408" spans="1:333">
      <c r="A408" s="1">
        <v>1771</v>
      </c>
    </row>
    <row r="409" spans="1:333">
      <c r="A409" s="1">
        <v>1772</v>
      </c>
    </row>
    <row r="410" spans="1:333">
      <c r="A410" s="1">
        <v>1773</v>
      </c>
    </row>
    <row r="411" spans="1:333">
      <c r="A411" s="1">
        <v>1774</v>
      </c>
    </row>
    <row r="412" spans="1:333">
      <c r="A412" s="1">
        <v>1775</v>
      </c>
    </row>
    <row r="413" spans="1:333">
      <c r="A413" s="1">
        <v>1776</v>
      </c>
      <c r="B413">
        <f>100*4400000/Sheet2!B413</f>
        <v>17.066648925626524</v>
      </c>
      <c r="C413">
        <f>100*1030000/Sheet2!C413</f>
        <v>26.134991289816373</v>
      </c>
      <c r="K413">
        <f>100*410000/Sheet2!K413</f>
        <v>15.58769408580075</v>
      </c>
      <c r="R413">
        <f>100*60000/Sheet2!R413</f>
        <v>5.8169295918842199</v>
      </c>
      <c r="U413">
        <f>100*810000/Sheet2!U413</f>
        <v>15.704601487012489</v>
      </c>
      <c r="AD413">
        <f>100*100000/Sheet2!AD413</f>
        <v>4.073493812424001</v>
      </c>
      <c r="AH413">
        <f>100*830000/Sheet2!AH413</f>
        <v>16.240374447465285</v>
      </c>
      <c r="AK413" s="19">
        <v>35</v>
      </c>
      <c r="AT413">
        <f>100*220000/Sheet2!AT413</f>
        <v>7.0622992380934768</v>
      </c>
      <c r="BC413">
        <f>100*250000/Sheet2!BC413</f>
        <v>14.124287401452021</v>
      </c>
      <c r="EI413">
        <v>10</v>
      </c>
      <c r="HW413">
        <v>8.5</v>
      </c>
      <c r="JE413">
        <v>7.2</v>
      </c>
      <c r="LP413">
        <f>100*130000/Sheet2!LP413</f>
        <v>9.134978013513301</v>
      </c>
      <c r="LU413">
        <f>100*420000/Sheet2!LU413</f>
        <v>18.443665536245625</v>
      </c>
    </row>
    <row r="414" spans="1:333">
      <c r="A414" s="1">
        <v>1777</v>
      </c>
    </row>
    <row r="415" spans="1:333">
      <c r="A415" s="1">
        <v>1778</v>
      </c>
    </row>
    <row r="416" spans="1:333">
      <c r="A416" s="1">
        <v>1779</v>
      </c>
    </row>
    <row r="417" spans="1:1">
      <c r="A417" s="1">
        <v>1780</v>
      </c>
    </row>
    <row r="418" spans="1:1">
      <c r="A418" s="1">
        <v>1781</v>
      </c>
    </row>
    <row r="419" spans="1:1">
      <c r="A419" s="1">
        <v>1782</v>
      </c>
    </row>
    <row r="420" spans="1:1">
      <c r="A420" s="1">
        <v>1783</v>
      </c>
    </row>
    <row r="421" spans="1:1">
      <c r="A421" s="1">
        <v>1784</v>
      </c>
    </row>
    <row r="422" spans="1:1">
      <c r="A422" s="1">
        <v>1785</v>
      </c>
    </row>
    <row r="423" spans="1:1">
      <c r="A423" s="1">
        <v>1786</v>
      </c>
    </row>
    <row r="424" spans="1:1">
      <c r="A424" s="1">
        <v>1787</v>
      </c>
    </row>
    <row r="425" spans="1:1">
      <c r="A425" s="1">
        <v>1788</v>
      </c>
    </row>
    <row r="426" spans="1:1">
      <c r="A426" s="1">
        <v>1789</v>
      </c>
    </row>
    <row r="427" spans="1:1">
      <c r="A427" s="1">
        <v>1790</v>
      </c>
    </row>
    <row r="428" spans="1:1">
      <c r="A428" s="1">
        <v>1791</v>
      </c>
    </row>
    <row r="429" spans="1:1">
      <c r="A429" s="1">
        <v>1792</v>
      </c>
    </row>
    <row r="430" spans="1:1">
      <c r="A430" s="1">
        <v>1793</v>
      </c>
    </row>
    <row r="431" spans="1:1">
      <c r="A431" s="1">
        <v>1794</v>
      </c>
    </row>
    <row r="432" spans="1:1">
      <c r="A432" s="1">
        <v>1795</v>
      </c>
    </row>
    <row r="433" spans="1:1">
      <c r="A433" s="1">
        <v>1796</v>
      </c>
    </row>
    <row r="434" spans="1:1">
      <c r="A434" s="1">
        <v>1797</v>
      </c>
    </row>
    <row r="435" spans="1:1">
      <c r="A435" s="1">
        <v>1798</v>
      </c>
    </row>
    <row r="436" spans="1:1">
      <c r="A436" s="1">
        <v>1799</v>
      </c>
    </row>
    <row r="437" spans="1:1">
      <c r="A437" s="1">
        <v>1800</v>
      </c>
    </row>
    <row r="438" spans="1:1">
      <c r="A438" s="1">
        <v>1801</v>
      </c>
    </row>
    <row r="439" spans="1:1">
      <c r="A439" s="1">
        <v>1802</v>
      </c>
    </row>
    <row r="440" spans="1:1">
      <c r="A440" s="1">
        <v>1803</v>
      </c>
    </row>
    <row r="441" spans="1:1">
      <c r="A441" s="1">
        <v>1804</v>
      </c>
    </row>
    <row r="442" spans="1:1">
      <c r="A442" s="1">
        <v>1805</v>
      </c>
    </row>
    <row r="443" spans="1:1">
      <c r="A443" s="1">
        <v>1806</v>
      </c>
    </row>
    <row r="444" spans="1:1">
      <c r="A444" s="1">
        <v>1807</v>
      </c>
    </row>
    <row r="445" spans="1:1">
      <c r="A445" s="1">
        <v>1808</v>
      </c>
    </row>
    <row r="446" spans="1:1">
      <c r="A446" s="1">
        <v>1809</v>
      </c>
    </row>
    <row r="447" spans="1:1">
      <c r="A447" s="1">
        <v>1810</v>
      </c>
    </row>
    <row r="448" spans="1:1">
      <c r="A448" s="1">
        <v>1811</v>
      </c>
    </row>
    <row r="449" spans="1:1">
      <c r="A449" s="1">
        <v>1812</v>
      </c>
    </row>
    <row r="450" spans="1:1">
      <c r="A450" s="1">
        <v>1813</v>
      </c>
    </row>
    <row r="451" spans="1:1">
      <c r="A451" s="1">
        <v>1814</v>
      </c>
    </row>
    <row r="452" spans="1:1">
      <c r="A452" s="1">
        <v>1815</v>
      </c>
    </row>
    <row r="453" spans="1:1">
      <c r="A453" s="1">
        <v>1816</v>
      </c>
    </row>
    <row r="454" spans="1:1">
      <c r="A454" s="1">
        <v>1817</v>
      </c>
    </row>
    <row r="455" spans="1:1">
      <c r="A455" s="1">
        <v>1818</v>
      </c>
    </row>
    <row r="456" spans="1:1">
      <c r="A456" s="1">
        <v>1819</v>
      </c>
    </row>
    <row r="457" spans="1:1">
      <c r="A457" s="1">
        <v>1820</v>
      </c>
    </row>
    <row r="458" spans="1:1">
      <c r="A458" s="1">
        <v>1821</v>
      </c>
    </row>
    <row r="459" spans="1:1">
      <c r="A459" s="1">
        <v>1822</v>
      </c>
    </row>
    <row r="460" spans="1:1">
      <c r="A460" s="1">
        <v>1823</v>
      </c>
    </row>
    <row r="461" spans="1:1">
      <c r="A461" s="1">
        <v>1824</v>
      </c>
    </row>
    <row r="462" spans="1:1">
      <c r="A462" s="1">
        <v>1825</v>
      </c>
    </row>
    <row r="463" spans="1:1">
      <c r="A463" s="1">
        <v>1826</v>
      </c>
    </row>
    <row r="464" spans="1:1">
      <c r="A464" s="1">
        <v>1827</v>
      </c>
    </row>
    <row r="465" spans="1:1">
      <c r="A465" s="1">
        <v>1828</v>
      </c>
    </row>
    <row r="466" spans="1:1">
      <c r="A466" s="1">
        <v>1829</v>
      </c>
    </row>
    <row r="467" spans="1:1">
      <c r="A467" s="1">
        <v>1830</v>
      </c>
    </row>
    <row r="468" spans="1:1">
      <c r="A468" s="1">
        <v>1831</v>
      </c>
    </row>
    <row r="469" spans="1:1">
      <c r="A469" s="1">
        <v>1832</v>
      </c>
    </row>
    <row r="470" spans="1:1">
      <c r="A470" s="1">
        <v>1833</v>
      </c>
    </row>
    <row r="471" spans="1:1">
      <c r="A471" s="1">
        <v>1834</v>
      </c>
    </row>
    <row r="472" spans="1:1">
      <c r="A472" s="1">
        <v>1835</v>
      </c>
    </row>
    <row r="473" spans="1:1">
      <c r="A473" s="1">
        <v>1836</v>
      </c>
    </row>
    <row r="474" spans="1:1">
      <c r="A474" s="1">
        <v>1837</v>
      </c>
    </row>
    <row r="475" spans="1:1">
      <c r="A475" s="1">
        <v>1838</v>
      </c>
    </row>
    <row r="476" spans="1:1">
      <c r="A476" s="1">
        <v>1839</v>
      </c>
    </row>
    <row r="477" spans="1:1">
      <c r="A477" s="1">
        <v>1840</v>
      </c>
    </row>
    <row r="478" spans="1:1">
      <c r="A478" s="1">
        <v>1841</v>
      </c>
    </row>
    <row r="479" spans="1:1">
      <c r="A479" s="1">
        <v>1842</v>
      </c>
    </row>
    <row r="480" spans="1:1">
      <c r="A480" s="1">
        <v>1843</v>
      </c>
    </row>
    <row r="481" spans="1:61">
      <c r="A481" s="1">
        <v>1844</v>
      </c>
    </row>
    <row r="482" spans="1:61">
      <c r="A482" s="1">
        <v>1845</v>
      </c>
    </row>
    <row r="483" spans="1:61">
      <c r="A483" s="1">
        <v>1846</v>
      </c>
    </row>
    <row r="484" spans="1:61">
      <c r="A484" s="1">
        <v>1847</v>
      </c>
    </row>
    <row r="485" spans="1:61">
      <c r="A485" s="1">
        <v>1848</v>
      </c>
    </row>
    <row r="486" spans="1:61">
      <c r="A486" s="1">
        <v>1849</v>
      </c>
    </row>
    <row r="487" spans="1:61">
      <c r="A487" s="1">
        <v>1850</v>
      </c>
    </row>
    <row r="488" spans="1:61">
      <c r="A488" s="1">
        <v>1851</v>
      </c>
      <c r="BI488">
        <v>5</v>
      </c>
    </row>
    <row r="489" spans="1:61">
      <c r="A489" s="1">
        <v>1852</v>
      </c>
    </row>
    <row r="490" spans="1:61">
      <c r="A490" s="1">
        <v>1853</v>
      </c>
    </row>
    <row r="491" spans="1:61">
      <c r="A491" s="1">
        <v>1854</v>
      </c>
    </row>
    <row r="492" spans="1:61">
      <c r="A492" s="1">
        <v>1855</v>
      </c>
    </row>
    <row r="493" spans="1:61">
      <c r="A493" s="1">
        <v>1856</v>
      </c>
    </row>
    <row r="494" spans="1:61">
      <c r="A494" s="1">
        <v>1857</v>
      </c>
    </row>
    <row r="495" spans="1:61">
      <c r="A495" s="1">
        <v>1858</v>
      </c>
    </row>
    <row r="496" spans="1:61">
      <c r="A496" s="1">
        <v>1859</v>
      </c>
    </row>
    <row r="497" spans="1:333">
      <c r="A497" s="1">
        <v>1860</v>
      </c>
      <c r="LU497">
        <v>15</v>
      </c>
    </row>
    <row r="498" spans="1:333">
      <c r="A498" s="1">
        <v>1861</v>
      </c>
    </row>
    <row r="499" spans="1:333">
      <c r="A499" s="1">
        <v>1862</v>
      </c>
    </row>
    <row r="500" spans="1:333">
      <c r="A500" s="1">
        <v>1863</v>
      </c>
    </row>
    <row r="501" spans="1:333">
      <c r="A501" s="1">
        <v>1864</v>
      </c>
    </row>
    <row r="502" spans="1:333">
      <c r="A502" s="1">
        <v>1865</v>
      </c>
    </row>
    <row r="503" spans="1:333">
      <c r="A503" s="1">
        <v>1866</v>
      </c>
    </row>
    <row r="504" spans="1:333">
      <c r="A504" s="1">
        <v>1867</v>
      </c>
    </row>
    <row r="505" spans="1:333">
      <c r="A505" s="1">
        <v>1868</v>
      </c>
    </row>
    <row r="506" spans="1:333">
      <c r="A506" s="1">
        <v>1869</v>
      </c>
    </row>
    <row r="507" spans="1:333">
      <c r="A507" s="1">
        <v>1870</v>
      </c>
    </row>
    <row r="508" spans="1:333">
      <c r="A508" s="1">
        <v>1871</v>
      </c>
    </row>
    <row r="509" spans="1:333">
      <c r="A509" s="1">
        <v>1872</v>
      </c>
    </row>
    <row r="510" spans="1:333">
      <c r="A510" s="1">
        <v>1873</v>
      </c>
    </row>
    <row r="511" spans="1:333">
      <c r="A511" s="1">
        <v>1874</v>
      </c>
    </row>
    <row r="512" spans="1:333">
      <c r="A512" s="1">
        <v>1875</v>
      </c>
    </row>
    <row r="513" spans="1:1">
      <c r="A513" s="1">
        <v>1876</v>
      </c>
    </row>
    <row r="514" spans="1:1">
      <c r="A514" s="1">
        <v>1877</v>
      </c>
    </row>
    <row r="515" spans="1:1">
      <c r="A515" s="1">
        <v>1878</v>
      </c>
    </row>
    <row r="516" spans="1:1">
      <c r="A516" s="1">
        <v>1879</v>
      </c>
    </row>
    <row r="517" spans="1:1">
      <c r="A517" s="1">
        <v>1880</v>
      </c>
    </row>
    <row r="518" spans="1:1">
      <c r="A518" s="1">
        <v>1881</v>
      </c>
    </row>
    <row r="519" spans="1:1">
      <c r="A519" s="1">
        <v>1882</v>
      </c>
    </row>
    <row r="520" spans="1:1">
      <c r="A520" s="1">
        <v>1883</v>
      </c>
    </row>
    <row r="521" spans="1:1">
      <c r="A521" s="1">
        <v>1884</v>
      </c>
    </row>
    <row r="522" spans="1:1">
      <c r="A522" s="1">
        <v>1885</v>
      </c>
    </row>
    <row r="523" spans="1:1">
      <c r="A523" s="1">
        <v>1886</v>
      </c>
    </row>
    <row r="524" spans="1:1">
      <c r="A524" s="1">
        <v>1887</v>
      </c>
    </row>
    <row r="525" spans="1:1">
      <c r="A525" s="1">
        <v>1888</v>
      </c>
    </row>
    <row r="526" spans="1:1">
      <c r="A526" s="1">
        <v>1889</v>
      </c>
    </row>
    <row r="527" spans="1:1">
      <c r="A527" s="1">
        <v>1890</v>
      </c>
    </row>
    <row r="528" spans="1:1">
      <c r="A528" s="1">
        <v>1891</v>
      </c>
    </row>
    <row r="529" spans="1:231">
      <c r="A529" s="1">
        <v>1892</v>
      </c>
    </row>
    <row r="530" spans="1:231">
      <c r="A530" s="1">
        <v>1893</v>
      </c>
      <c r="B530">
        <v>14</v>
      </c>
      <c r="BI530">
        <v>5</v>
      </c>
      <c r="EI530">
        <v>14</v>
      </c>
      <c r="HW530">
        <v>7</v>
      </c>
    </row>
    <row r="531" spans="1:231">
      <c r="A531" s="1">
        <v>1894</v>
      </c>
    </row>
    <row r="532" spans="1:231">
      <c r="A532" s="1">
        <v>1895</v>
      </c>
    </row>
    <row r="533" spans="1:231">
      <c r="A533" s="1">
        <v>1896</v>
      </c>
    </row>
    <row r="534" spans="1:231">
      <c r="A534" s="1">
        <v>1897</v>
      </c>
    </row>
    <row r="535" spans="1:231">
      <c r="A535" s="1">
        <v>1898</v>
      </c>
    </row>
    <row r="536" spans="1:231">
      <c r="A536" s="1">
        <v>1899</v>
      </c>
    </row>
    <row r="537" spans="1:231">
      <c r="A537" s="1">
        <v>1900</v>
      </c>
    </row>
    <row r="538" spans="1:231">
      <c r="A538" s="1">
        <v>1901</v>
      </c>
    </row>
    <row r="539" spans="1:231">
      <c r="A539" s="1">
        <v>1902</v>
      </c>
    </row>
    <row r="540" spans="1:231">
      <c r="A540" s="1">
        <v>1903</v>
      </c>
    </row>
    <row r="541" spans="1:231">
      <c r="A541" s="1">
        <v>1904</v>
      </c>
    </row>
    <row r="542" spans="1:231">
      <c r="A542" s="1">
        <v>1905</v>
      </c>
    </row>
    <row r="543" spans="1:231">
      <c r="A543" s="1">
        <v>1906</v>
      </c>
    </row>
    <row r="544" spans="1:231">
      <c r="A544" s="1">
        <v>1907</v>
      </c>
    </row>
    <row r="545" spans="1:1">
      <c r="A545" s="1">
        <v>1908</v>
      </c>
    </row>
    <row r="546" spans="1:1">
      <c r="A546" s="1">
        <v>1909</v>
      </c>
    </row>
    <row r="547" spans="1:1">
      <c r="A547" s="1">
        <v>1910</v>
      </c>
    </row>
    <row r="548" spans="1:1">
      <c r="A548" s="1">
        <v>1911</v>
      </c>
    </row>
    <row r="549" spans="1:1">
      <c r="A549" s="1">
        <v>1912</v>
      </c>
    </row>
    <row r="550" spans="1:1">
      <c r="A550" s="1">
        <v>1913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2019-02-18T06:00:01Z</dcterms:modified>
</cp:coreProperties>
</file>