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Compras" sheetId="1" state="visible" r:id="rId1"/>
    <sheet name="tInsumos" sheetId="2" state="visible" r:id="rId2"/>
    <sheet name="tProductos" sheetId="3" state="visible" r:id="rId3"/>
    <sheet name="tReceta" sheetId="4" state="visible" r:id="rId4"/>
    <sheet name="Coste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Compras" displayName="tCompras" ref="A1:F16" headerRowCount="1">
  <autoFilter ref="A1:F16"/>
  <tableColumns count="6">
    <tableColumn id="1" name="Codigo"/>
    <tableColumn id="2" name="Fecha"/>
    <tableColumn id="3" name="Cantidad_compra"/>
    <tableColumn id="4" name="Unidad_compra"/>
    <tableColumn id="5" name="Precio_compra_COP"/>
    <tableColumn id="6" name="Prove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Insumos" displayName="tInsumos" ref="A1:Q14" headerRowCount="1">
  <autoFilter ref="A1:Q14"/>
  <tableColumns count="17">
    <tableColumn id="1" name="Codigo"/>
    <tableColumn id="2" name="Insumo"/>
    <tableColumn id="3" name="Cantidad_compra"/>
    <tableColumn id="4" name="Unidad_compra"/>
    <tableColumn id="5" name="Precio_compra_COP"/>
    <tableColumn id="6" name="Merma_%"/>
    <tableColumn id="7" name="Categoria"/>
    <tableColumn id="8" name="Proveedor"/>
    <tableColumn id="9" name="Fecha_actualizacion"/>
    <tableColumn id="10" name="Unidad_base"/>
    <tableColumn id="11" name="Factor_a_base"/>
    <tableColumn id="12" name="Cant_base_compra"/>
    <tableColumn id="13" name="Costo_unit_base"/>
    <tableColumn id="14" name="Costo_utilizable_base"/>
    <tableColumn id="15" name="Precio_vigente_COP"/>
    <tableColumn id="16" name="Costo_unit_base_vigente"/>
    <tableColumn id="17" name="Costo_utilizable_base_vig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oductos" displayName="tProductos" ref="A1:H3" headerRowCount="1">
  <autoFilter ref="A1:H3"/>
  <tableColumns count="8">
    <tableColumn id="1" name="Producto"/>
    <tableColumn id="2" name="Rendimiento_lote_unid"/>
    <tableColumn id="3" name="Tiempo_lote_min"/>
    <tableColumn id="4" name="Mano_obra_hora_COP"/>
    <tableColumn id="5" name="Overhead_hora_COP"/>
    <tableColumn id="6" name="Empaque_unit_COP"/>
    <tableColumn id="7" name="Margen_objetivo"/>
    <tableColumn id="8" name="IVA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eceta" displayName="tReceta" ref="A1:I21" headerRowCount="1">
  <autoFilter ref="A1:I21"/>
  <tableColumns count="9">
    <tableColumn id="1" name="Producto"/>
    <tableColumn id="2" name="Codigo_Insumo"/>
    <tableColumn id="3" name="Cantidad_receta"/>
    <tableColumn id="4" name="Unidad_receta"/>
    <tableColumn id="5" name="Unidad_base_insumo"/>
    <tableColumn id="6" name="Costo_unit_insumo_base"/>
    <tableColumn id="7" name="Factor_a_base"/>
    <tableColumn id="8" name="Cant_base"/>
    <tableColumn id="9" name="Costo_parci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Costeo" displayName="tCosteo" ref="A1:L3" headerRowCount="1">
  <autoFilter ref="A1:L3"/>
  <tableColumns count="12">
    <tableColumn id="1" name="Producto"/>
    <tableColumn id="2" name="Costo_materiales_lote"/>
    <tableColumn id="3" name="Rendimiento_unid"/>
    <tableColumn id="4" name="MO_lote"/>
    <tableColumn id="5" name="Ind_lote"/>
    <tableColumn id="6" name="Empaque_unit_COP"/>
    <tableColumn id="7" name="Costo_total_unit"/>
    <tableColumn id="8" name="Margen_objetivo"/>
    <tableColumn id="9" name="IVA_venta"/>
    <tableColumn id="10" name="Precio_sin_IVA"/>
    <tableColumn id="11" name="Precio_con_IVA"/>
    <tableColumn id="12" name="Precio_redondeado_1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Fecha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Proveedor</t>
        </is>
      </c>
    </row>
    <row r="2">
      <c r="A2" t="inlineStr">
        <is>
          <t>HAR-001</t>
        </is>
      </c>
      <c r="B2" s="1" t="n">
        <v>45884</v>
      </c>
      <c r="C2" t="n">
        <v>1</v>
      </c>
      <c r="D2" t="inlineStr">
        <is>
          <t>kg</t>
        </is>
      </c>
      <c r="E2" t="n">
        <v>5000</v>
      </c>
      <c r="F2" t="inlineStr">
        <is>
          <t>Proveedor A</t>
        </is>
      </c>
    </row>
    <row r="3">
      <c r="A3" t="inlineStr">
        <is>
          <t>HAR-001</t>
        </is>
      </c>
      <c r="B3" s="1" t="n">
        <v>45899</v>
      </c>
      <c r="C3" t="n">
        <v>1</v>
      </c>
      <c r="D3" t="inlineStr">
        <is>
          <t>kg</t>
        </is>
      </c>
      <c r="E3" t="n">
        <v>5200</v>
      </c>
      <c r="F3" t="inlineStr">
        <is>
          <t>Proveedor A</t>
        </is>
      </c>
    </row>
    <row r="4">
      <c r="A4" t="inlineStr">
        <is>
          <t>AZU-001</t>
        </is>
      </c>
      <c r="B4" s="1" t="n">
        <v>45879</v>
      </c>
      <c r="C4" t="n">
        <v>1</v>
      </c>
      <c r="D4" t="inlineStr">
        <is>
          <t>kg</t>
        </is>
      </c>
      <c r="E4" t="n">
        <v>4700</v>
      </c>
      <c r="F4" t="inlineStr">
        <is>
          <t>Proveedor A</t>
        </is>
      </c>
    </row>
    <row r="5">
      <c r="A5" t="inlineStr">
        <is>
          <t>AZU-001</t>
        </is>
      </c>
      <c r="B5" s="1" t="n">
        <v>45899</v>
      </c>
      <c r="C5" t="n">
        <v>1</v>
      </c>
      <c r="D5" t="inlineStr">
        <is>
          <t>kg</t>
        </is>
      </c>
      <c r="E5" t="n">
        <v>4800</v>
      </c>
      <c r="F5" t="inlineStr">
        <is>
          <t>Proveedor A</t>
        </is>
      </c>
    </row>
    <row r="6">
      <c r="A6" t="inlineStr">
        <is>
          <t>HUE-001</t>
        </is>
      </c>
      <c r="B6" s="1" t="n">
        <v>45889</v>
      </c>
      <c r="C6" t="n">
        <v>1</v>
      </c>
      <c r="D6" t="inlineStr">
        <is>
          <t>u</t>
        </is>
      </c>
      <c r="E6" t="n">
        <v>650</v>
      </c>
      <c r="F6" t="inlineStr">
        <is>
          <t>Proveedor C</t>
        </is>
      </c>
    </row>
    <row r="7">
      <c r="A7" t="inlineStr">
        <is>
          <t>LEC-001</t>
        </is>
      </c>
      <c r="B7" s="1" t="n">
        <v>45887</v>
      </c>
      <c r="C7" t="n">
        <v>1</v>
      </c>
      <c r="D7" t="inlineStr">
        <is>
          <t>l</t>
        </is>
      </c>
      <c r="E7" t="n">
        <v>3200</v>
      </c>
      <c r="F7" t="inlineStr">
        <is>
          <t>Proveedor D</t>
        </is>
      </c>
    </row>
    <row r="8">
      <c r="A8" t="inlineStr">
        <is>
          <t>ACE-001</t>
        </is>
      </c>
      <c r="B8" s="1" t="n">
        <v>45881</v>
      </c>
      <c r="C8" t="n">
        <v>1</v>
      </c>
      <c r="D8" t="inlineStr">
        <is>
          <t>l</t>
        </is>
      </c>
      <c r="E8" t="n">
        <v>9500</v>
      </c>
      <c r="F8" t="inlineStr">
        <is>
          <t>Proveedor D</t>
        </is>
      </c>
    </row>
    <row r="9">
      <c r="A9" t="inlineStr">
        <is>
          <t>CAC-001</t>
        </is>
      </c>
      <c r="B9" s="1" t="n">
        <v>45891</v>
      </c>
      <c r="C9" t="n">
        <v>1</v>
      </c>
      <c r="D9" t="inlineStr">
        <is>
          <t>kg</t>
        </is>
      </c>
      <c r="E9" t="n">
        <v>28000</v>
      </c>
      <c r="F9" t="inlineStr">
        <is>
          <t>Proveedor E</t>
        </is>
      </c>
    </row>
    <row r="10">
      <c r="A10" t="inlineStr">
        <is>
          <t>ESS-001</t>
        </is>
      </c>
      <c r="B10" s="1" t="n">
        <v>45890</v>
      </c>
      <c r="C10" t="n">
        <v>60</v>
      </c>
      <c r="D10" t="inlineStr">
        <is>
          <t>ml</t>
        </is>
      </c>
      <c r="E10" t="n">
        <v>6000</v>
      </c>
      <c r="F10" t="inlineStr">
        <is>
          <t>Proveedor G</t>
        </is>
      </c>
    </row>
    <row r="11">
      <c r="A11" t="inlineStr">
        <is>
          <t>POL-001</t>
        </is>
      </c>
      <c r="B11" s="1" t="n">
        <v>45888</v>
      </c>
      <c r="C11" t="n">
        <v>100</v>
      </c>
      <c r="D11" t="inlineStr">
        <is>
          <t>g</t>
        </is>
      </c>
      <c r="E11" t="n">
        <v>2500</v>
      </c>
      <c r="F11" t="inlineStr">
        <is>
          <t>Proveedor F</t>
        </is>
      </c>
    </row>
    <row r="12">
      <c r="A12" t="inlineStr">
        <is>
          <t>BIC-001</t>
        </is>
      </c>
      <c r="B12" s="1" t="n">
        <v>45888</v>
      </c>
      <c r="C12" t="n">
        <v>100</v>
      </c>
      <c r="D12" t="inlineStr">
        <is>
          <t>g</t>
        </is>
      </c>
      <c r="E12" t="n">
        <v>1500</v>
      </c>
      <c r="F12" t="inlineStr">
        <is>
          <t>Proveedor F</t>
        </is>
      </c>
    </row>
    <row r="13">
      <c r="A13" t="inlineStr">
        <is>
          <t>SAL-001</t>
        </is>
      </c>
      <c r="B13" s="1" t="n">
        <v>45886</v>
      </c>
      <c r="C13" t="n">
        <v>1</v>
      </c>
      <c r="D13" t="inlineStr">
        <is>
          <t>kg</t>
        </is>
      </c>
      <c r="E13" t="n">
        <v>2000</v>
      </c>
      <c r="F13" t="inlineStr">
        <is>
          <t>Proveedor F</t>
        </is>
      </c>
    </row>
    <row r="14">
      <c r="A14" t="inlineStr">
        <is>
          <t>EMB-003</t>
        </is>
      </c>
      <c r="B14" s="1" t="n">
        <v>45894</v>
      </c>
      <c r="C14" t="n">
        <v>1</v>
      </c>
      <c r="D14" t="inlineStr">
        <is>
          <t>u</t>
        </is>
      </c>
      <c r="E14" t="n">
        <v>90</v>
      </c>
      <c r="F14" t="inlineStr">
        <is>
          <t>Proveedor E</t>
        </is>
      </c>
    </row>
    <row r="15">
      <c r="A15" t="inlineStr">
        <is>
          <t>EMB-002</t>
        </is>
      </c>
      <c r="B15" s="1" t="n">
        <v>45894</v>
      </c>
      <c r="C15" t="n">
        <v>1</v>
      </c>
      <c r="D15" t="inlineStr">
        <is>
          <t>u</t>
        </is>
      </c>
      <c r="E15" t="n">
        <v>120</v>
      </c>
      <c r="F15" t="inlineStr">
        <is>
          <t>Proveedor E</t>
        </is>
      </c>
    </row>
    <row r="16">
      <c r="A16" t="inlineStr">
        <is>
          <t>EMB-004</t>
        </is>
      </c>
      <c r="B16" s="1" t="n">
        <v>45894</v>
      </c>
      <c r="C16" t="n">
        <v>1</v>
      </c>
      <c r="D16" t="inlineStr">
        <is>
          <t>u</t>
        </is>
      </c>
      <c r="E16" t="n">
        <v>800</v>
      </c>
      <c r="F16" t="inlineStr">
        <is>
          <t>Proveedor 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Insumo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Merma_%</t>
        </is>
      </c>
      <c r="G1" t="inlineStr">
        <is>
          <t>Categoria</t>
        </is>
      </c>
      <c r="H1" t="inlineStr">
        <is>
          <t>Proveedor</t>
        </is>
      </c>
      <c r="I1" t="inlineStr">
        <is>
          <t>Fecha_actualizacion</t>
        </is>
      </c>
      <c r="J1" t="inlineStr">
        <is>
          <t>Unidad_base</t>
        </is>
      </c>
      <c r="K1" t="inlineStr">
        <is>
          <t>Factor_a_base</t>
        </is>
      </c>
      <c r="L1" t="inlineStr">
        <is>
          <t>Cant_base_compra</t>
        </is>
      </c>
      <c r="M1" t="inlineStr">
        <is>
          <t>Costo_unit_base</t>
        </is>
      </c>
      <c r="N1" t="inlineStr">
        <is>
          <t>Costo_utilizable_base</t>
        </is>
      </c>
      <c r="O1" t="inlineStr">
        <is>
          <t>Precio_vigente_COP</t>
        </is>
      </c>
      <c r="P1" t="inlineStr">
        <is>
          <t>Costo_unit_base_vigente</t>
        </is>
      </c>
      <c r="Q1" t="inlineStr">
        <is>
          <t>Costo_utilizable_base_vigente</t>
        </is>
      </c>
    </row>
    <row r="2">
      <c r="A2" t="inlineStr">
        <is>
          <t>HAR-001</t>
        </is>
      </c>
      <c r="B2" t="inlineStr">
        <is>
          <t>Harina de trigo</t>
        </is>
      </c>
      <c r="C2" t="n">
        <v>1</v>
      </c>
      <c r="D2" t="inlineStr">
        <is>
          <t>kg</t>
        </is>
      </c>
      <c r="E2" t="n">
        <v>5200</v>
      </c>
      <c r="F2" t="n">
        <v>0</v>
      </c>
      <c r="G2" t="inlineStr">
        <is>
          <t>MP</t>
        </is>
      </c>
      <c r="H2" t="inlineStr">
        <is>
          <t>Proveedor A</t>
        </is>
      </c>
      <c r="I2" t="inlineStr">
        <is>
          <t>2025-08-30</t>
        </is>
      </c>
      <c r="J2">
        <f>IF(OR([@Unidad_compra]="kg",[@Unidad_compra]="g"),"g",IF(OR([@Unidad_compra]="l",[@Unidad_compra]="ml"),"ml","u"))</f>
        <v/>
      </c>
      <c r="K2">
        <f>IF([@Unidad_compra]="kg",1000,IF([@Unidad_compra]="l",1000,1))</f>
        <v/>
      </c>
      <c r="L2">
        <f>[@Cantidad_compra]*[@Factor_a_base]</f>
        <v/>
      </c>
      <c r="M2">
        <f>IF([@Cant_base_compra]&gt;0,[@Precio_compra_COP]/[@Cant_base_compra],0)</f>
        <v/>
      </c>
      <c r="N2">
        <f>IF(1-([@Merma_%]/100)&gt;0,[@Costo_unit_base]/(1-([@Merma_%]/100)),0)</f>
        <v/>
      </c>
      <c r="O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2">
        <f>IF([@Cant_base_compra]&gt;0,[@Precio_vigente_COP]/[@Cant_base_compra],0)</f>
        <v/>
      </c>
      <c r="Q2">
        <f>IF(1-([@Merma_%]/100)&gt;0,[@Costo_unit_base_vigente]/(1-([@Merma_%]/100)),0)</f>
        <v/>
      </c>
    </row>
    <row r="3">
      <c r="A3" t="inlineStr">
        <is>
          <t>AZU-001</t>
        </is>
      </c>
      <c r="B3" t="inlineStr">
        <is>
          <t>Azúcar</t>
        </is>
      </c>
      <c r="C3" t="n">
        <v>1</v>
      </c>
      <c r="D3" t="inlineStr">
        <is>
          <t>kg</t>
        </is>
      </c>
      <c r="E3" t="n">
        <v>4800</v>
      </c>
      <c r="F3" t="n">
        <v>0</v>
      </c>
      <c r="G3" t="inlineStr">
        <is>
          <t>MP</t>
        </is>
      </c>
      <c r="H3" t="inlineStr">
        <is>
          <t>Proveedor A</t>
        </is>
      </c>
      <c r="I3" t="inlineStr">
        <is>
          <t>2025-08-30</t>
        </is>
      </c>
      <c r="J3">
        <f>IF(OR([@Unidad_compra]="kg",[@Unidad_compra]="g"),"g",IF(OR([@Unidad_compra]="l",[@Unidad_compra]="ml"),"ml","u"))</f>
        <v/>
      </c>
      <c r="K3">
        <f>IF([@Unidad_compra]="kg",1000,IF([@Unidad_compra]="l",1000,1))</f>
        <v/>
      </c>
      <c r="L3">
        <f>[@Cantidad_compra]*[@Factor_a_base]</f>
        <v/>
      </c>
      <c r="M3">
        <f>IF([@Cant_base_compra]&gt;0,[@Precio_compra_COP]/[@Cant_base_compra],0)</f>
        <v/>
      </c>
      <c r="N3">
        <f>IF(1-([@Merma_%]/100)&gt;0,[@Costo_unit_base]/(1-([@Merma_%]/100)),0)</f>
        <v/>
      </c>
      <c r="O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3">
        <f>IF([@Cant_base_compra]&gt;0,[@Precio_vigente_COP]/[@Cant_base_compra],0)</f>
        <v/>
      </c>
      <c r="Q3">
        <f>IF(1-([@Merma_%]/100)&gt;0,[@Costo_unit_base_vigente]/(1-([@Merma_%]/100)),0)</f>
        <v/>
      </c>
    </row>
    <row r="4">
      <c r="A4" t="inlineStr">
        <is>
          <t>HUE-001</t>
        </is>
      </c>
      <c r="B4" t="inlineStr">
        <is>
          <t>Huevo</t>
        </is>
      </c>
      <c r="C4" t="n">
        <v>1</v>
      </c>
      <c r="D4" t="inlineStr">
        <is>
          <t>u</t>
        </is>
      </c>
      <c r="E4" t="n">
        <v>650</v>
      </c>
      <c r="F4" t="n">
        <v>0</v>
      </c>
      <c r="G4" t="inlineStr">
        <is>
          <t>MP</t>
        </is>
      </c>
      <c r="H4" t="inlineStr">
        <is>
          <t>Proveedor C</t>
        </is>
      </c>
      <c r="I4" t="inlineStr">
        <is>
          <t>2025-08-30</t>
        </is>
      </c>
      <c r="J4">
        <f>IF(OR([@Unidad_compra]="kg",[@Unidad_compra]="g"),"g",IF(OR([@Unidad_compra]="l",[@Unidad_compra]="ml"),"ml","u"))</f>
        <v/>
      </c>
      <c r="K4">
        <f>IF([@Unidad_compra]="kg",1000,IF([@Unidad_compra]="l",1000,1))</f>
        <v/>
      </c>
      <c r="L4">
        <f>[@Cantidad_compra]*[@Factor_a_base]</f>
        <v/>
      </c>
      <c r="M4">
        <f>IF([@Cant_base_compra]&gt;0,[@Precio_compra_COP]/[@Cant_base_compra],0)</f>
        <v/>
      </c>
      <c r="N4">
        <f>IF(1-([@Merma_%]/100)&gt;0,[@Costo_unit_base]/(1-([@Merma_%]/100)),0)</f>
        <v/>
      </c>
      <c r="O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4">
        <f>IF([@Cant_base_compra]&gt;0,[@Precio_vigente_COP]/[@Cant_base_compra],0)</f>
        <v/>
      </c>
      <c r="Q4">
        <f>IF(1-([@Merma_%]/100)&gt;0,[@Costo_unit_base_vigente]/(1-([@Merma_%]/100)),0)</f>
        <v/>
      </c>
    </row>
    <row r="5">
      <c r="A5" t="inlineStr">
        <is>
          <t>LEC-001</t>
        </is>
      </c>
      <c r="B5" t="inlineStr">
        <is>
          <t>Leche</t>
        </is>
      </c>
      <c r="C5" t="n">
        <v>1</v>
      </c>
      <c r="D5" t="inlineStr">
        <is>
          <t>l</t>
        </is>
      </c>
      <c r="E5" t="n">
        <v>3200</v>
      </c>
      <c r="F5" t="n">
        <v>0</v>
      </c>
      <c r="G5" t="inlineStr">
        <is>
          <t>MP</t>
        </is>
      </c>
      <c r="H5" t="inlineStr">
        <is>
          <t>Proveedor D</t>
        </is>
      </c>
      <c r="I5" t="inlineStr">
        <is>
          <t>2025-08-30</t>
        </is>
      </c>
      <c r="J5">
        <f>IF(OR([@Unidad_compra]="kg",[@Unidad_compra]="g"),"g",IF(OR([@Unidad_compra]="l",[@Unidad_compra]="ml"),"ml","u"))</f>
        <v/>
      </c>
      <c r="K5">
        <f>IF([@Unidad_compra]="kg",1000,IF([@Unidad_compra]="l",1000,1))</f>
        <v/>
      </c>
      <c r="L5">
        <f>[@Cantidad_compra]*[@Factor_a_base]</f>
        <v/>
      </c>
      <c r="M5">
        <f>IF([@Cant_base_compra]&gt;0,[@Precio_compra_COP]/[@Cant_base_compra],0)</f>
        <v/>
      </c>
      <c r="N5">
        <f>IF(1-([@Merma_%]/100)&gt;0,[@Costo_unit_base]/(1-([@Merma_%]/100)),0)</f>
        <v/>
      </c>
      <c r="O5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5">
        <f>IF([@Cant_base_compra]&gt;0,[@Precio_vigente_COP]/[@Cant_base_compra],0)</f>
        <v/>
      </c>
      <c r="Q5">
        <f>IF(1-([@Merma_%]/100)&gt;0,[@Costo_unit_base_vigente]/(1-([@Merma_%]/100)),0)</f>
        <v/>
      </c>
    </row>
    <row r="6">
      <c r="A6" t="inlineStr">
        <is>
          <t>ACE-001</t>
        </is>
      </c>
      <c r="B6" t="inlineStr">
        <is>
          <t>Aceite vegetal</t>
        </is>
      </c>
      <c r="C6" t="n">
        <v>1</v>
      </c>
      <c r="D6" t="inlineStr">
        <is>
          <t>l</t>
        </is>
      </c>
      <c r="E6" t="n">
        <v>9500</v>
      </c>
      <c r="F6" t="n">
        <v>0</v>
      </c>
      <c r="G6" t="inlineStr">
        <is>
          <t>MP</t>
        </is>
      </c>
      <c r="H6" t="inlineStr">
        <is>
          <t>Proveedor D</t>
        </is>
      </c>
      <c r="I6" t="inlineStr">
        <is>
          <t>2025-08-30</t>
        </is>
      </c>
      <c r="J6">
        <f>IF(OR([@Unidad_compra]="kg",[@Unidad_compra]="g"),"g",IF(OR([@Unidad_compra]="l",[@Unidad_compra]="ml"),"ml","u"))</f>
        <v/>
      </c>
      <c r="K6">
        <f>IF([@Unidad_compra]="kg",1000,IF([@Unidad_compra]="l",1000,1))</f>
        <v/>
      </c>
      <c r="L6">
        <f>[@Cantidad_compra]*[@Factor_a_base]</f>
        <v/>
      </c>
      <c r="M6">
        <f>IF([@Cant_base_compra]&gt;0,[@Precio_compra_COP]/[@Cant_base_compra],0)</f>
        <v/>
      </c>
      <c r="N6">
        <f>IF(1-([@Merma_%]/100)&gt;0,[@Costo_unit_base]/(1-([@Merma_%]/100)),0)</f>
        <v/>
      </c>
      <c r="O6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6">
        <f>IF([@Cant_base_compra]&gt;0,[@Precio_vigente_COP]/[@Cant_base_compra],0)</f>
        <v/>
      </c>
      <c r="Q6">
        <f>IF(1-([@Merma_%]/100)&gt;0,[@Costo_unit_base_vigente]/(1-([@Merma_%]/100)),0)</f>
        <v/>
      </c>
    </row>
    <row r="7">
      <c r="A7" t="inlineStr">
        <is>
          <t>CAC-001</t>
        </is>
      </c>
      <c r="B7" t="inlineStr">
        <is>
          <t>Cacao en polvo</t>
        </is>
      </c>
      <c r="C7" t="n">
        <v>1</v>
      </c>
      <c r="D7" t="inlineStr">
        <is>
          <t>kg</t>
        </is>
      </c>
      <c r="E7" t="n">
        <v>28000</v>
      </c>
      <c r="F7" t="n">
        <v>0</v>
      </c>
      <c r="G7" t="inlineStr">
        <is>
          <t>MP</t>
        </is>
      </c>
      <c r="H7" t="inlineStr">
        <is>
          <t>Proveedor E</t>
        </is>
      </c>
      <c r="I7" t="inlineStr">
        <is>
          <t>2025-08-30</t>
        </is>
      </c>
      <c r="J7">
        <f>IF(OR([@Unidad_compra]="kg",[@Unidad_compra]="g"),"g",IF(OR([@Unidad_compra]="l",[@Unidad_compra]="ml"),"ml","u"))</f>
        <v/>
      </c>
      <c r="K7">
        <f>IF([@Unidad_compra]="kg",1000,IF([@Unidad_compra]="l",1000,1))</f>
        <v/>
      </c>
      <c r="L7">
        <f>[@Cantidad_compra]*[@Factor_a_base]</f>
        <v/>
      </c>
      <c r="M7">
        <f>IF([@Cant_base_compra]&gt;0,[@Precio_compra_COP]/[@Cant_base_compra],0)</f>
        <v/>
      </c>
      <c r="N7">
        <f>IF(1-([@Merma_%]/100)&gt;0,[@Costo_unit_base]/(1-([@Merma_%]/100)),0)</f>
        <v/>
      </c>
      <c r="O7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7">
        <f>IF([@Cant_base_compra]&gt;0,[@Precio_vigente_COP]/[@Cant_base_compra],0)</f>
        <v/>
      </c>
      <c r="Q7">
        <f>IF(1-([@Merma_%]/100)&gt;0,[@Costo_unit_base_vigente]/(1-([@Merma_%]/100)),0)</f>
        <v/>
      </c>
    </row>
    <row r="8">
      <c r="A8" t="inlineStr">
        <is>
          <t>ESS-001</t>
        </is>
      </c>
      <c r="B8" t="inlineStr">
        <is>
          <t>Esencia de vainilla</t>
        </is>
      </c>
      <c r="C8" t="n">
        <v>60</v>
      </c>
      <c r="D8" t="inlineStr">
        <is>
          <t>ml</t>
        </is>
      </c>
      <c r="E8" t="n">
        <v>6000</v>
      </c>
      <c r="F8" t="n">
        <v>0</v>
      </c>
      <c r="G8" t="inlineStr">
        <is>
          <t>MP</t>
        </is>
      </c>
      <c r="H8" t="inlineStr">
        <is>
          <t>Proveedor G</t>
        </is>
      </c>
      <c r="I8" t="inlineStr">
        <is>
          <t>2025-08-30</t>
        </is>
      </c>
      <c r="J8">
        <f>IF(OR([@Unidad_compra]="kg",[@Unidad_compra]="g"),"g",IF(OR([@Unidad_compra]="l",[@Unidad_compra]="ml"),"ml","u"))</f>
        <v/>
      </c>
      <c r="K8">
        <f>IF([@Unidad_compra]="kg",1000,IF([@Unidad_compra]="l",1000,1))</f>
        <v/>
      </c>
      <c r="L8">
        <f>[@Cantidad_compra]*[@Factor_a_base]</f>
        <v/>
      </c>
      <c r="M8">
        <f>IF([@Cant_base_compra]&gt;0,[@Precio_compra_COP]/[@Cant_base_compra],0)</f>
        <v/>
      </c>
      <c r="N8">
        <f>IF(1-([@Merma_%]/100)&gt;0,[@Costo_unit_base]/(1-([@Merma_%]/100)),0)</f>
        <v/>
      </c>
      <c r="O8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8">
        <f>IF([@Cant_base_compra]&gt;0,[@Precio_vigente_COP]/[@Cant_base_compra],0)</f>
        <v/>
      </c>
      <c r="Q8">
        <f>IF(1-([@Merma_%]/100)&gt;0,[@Costo_unit_base_vigente]/(1-([@Merma_%]/100)),0)</f>
        <v/>
      </c>
    </row>
    <row r="9">
      <c r="A9" t="inlineStr">
        <is>
          <t>POL-001</t>
        </is>
      </c>
      <c r="B9" t="inlineStr">
        <is>
          <t>Polvo de hornear</t>
        </is>
      </c>
      <c r="C9" t="n">
        <v>100</v>
      </c>
      <c r="D9" t="inlineStr">
        <is>
          <t>g</t>
        </is>
      </c>
      <c r="E9" t="n">
        <v>2500</v>
      </c>
      <c r="F9" t="n">
        <v>0</v>
      </c>
      <c r="G9" t="inlineStr">
        <is>
          <t>MP</t>
        </is>
      </c>
      <c r="H9" t="inlineStr">
        <is>
          <t>Proveedor F</t>
        </is>
      </c>
      <c r="I9" t="inlineStr">
        <is>
          <t>2025-08-30</t>
        </is>
      </c>
      <c r="J9">
        <f>IF(OR([@Unidad_compra]="kg",[@Unidad_compra]="g"),"g",IF(OR([@Unidad_compra]="l",[@Unidad_compra]="ml"),"ml","u"))</f>
        <v/>
      </c>
      <c r="K9">
        <f>IF([@Unidad_compra]="kg",1000,IF([@Unidad_compra]="l",1000,1))</f>
        <v/>
      </c>
      <c r="L9">
        <f>[@Cantidad_compra]*[@Factor_a_base]</f>
        <v/>
      </c>
      <c r="M9">
        <f>IF([@Cant_base_compra]&gt;0,[@Precio_compra_COP]/[@Cant_base_compra],0)</f>
        <v/>
      </c>
      <c r="N9">
        <f>IF(1-([@Merma_%]/100)&gt;0,[@Costo_unit_base]/(1-([@Merma_%]/100)),0)</f>
        <v/>
      </c>
      <c r="O9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9">
        <f>IF([@Cant_base_compra]&gt;0,[@Precio_vigente_COP]/[@Cant_base_compra],0)</f>
        <v/>
      </c>
      <c r="Q9">
        <f>IF(1-([@Merma_%]/100)&gt;0,[@Costo_unit_base_vigente]/(1-([@Merma_%]/100)),0)</f>
        <v/>
      </c>
    </row>
    <row r="10">
      <c r="A10" t="inlineStr">
        <is>
          <t>BIC-001</t>
        </is>
      </c>
      <c r="B10" t="inlineStr">
        <is>
          <t>Bicarbonato de sodio</t>
        </is>
      </c>
      <c r="C10" t="n">
        <v>100</v>
      </c>
      <c r="D10" t="inlineStr">
        <is>
          <t>g</t>
        </is>
      </c>
      <c r="E10" t="n">
        <v>1500</v>
      </c>
      <c r="F10" t="n">
        <v>0</v>
      </c>
      <c r="G10" t="inlineStr">
        <is>
          <t>MP</t>
        </is>
      </c>
      <c r="H10" t="inlineStr">
        <is>
          <t>Proveedor F</t>
        </is>
      </c>
      <c r="I10" t="inlineStr">
        <is>
          <t>2025-08-30</t>
        </is>
      </c>
      <c r="J10">
        <f>IF(OR([@Unidad_compra]="kg",[@Unidad_compra]="g"),"g",IF(OR([@Unidad_compra]="l",[@Unidad_compra]="ml"),"ml","u"))</f>
        <v/>
      </c>
      <c r="K10">
        <f>IF([@Unidad_compra]="kg",1000,IF([@Unidad_compra]="l",1000,1))</f>
        <v/>
      </c>
      <c r="L10">
        <f>[@Cantidad_compra]*[@Factor_a_base]</f>
        <v/>
      </c>
      <c r="M10">
        <f>IF([@Cant_base_compra]&gt;0,[@Precio_compra_COP]/[@Cant_base_compra],0)</f>
        <v/>
      </c>
      <c r="N10">
        <f>IF(1-([@Merma_%]/100)&gt;0,[@Costo_unit_base]/(1-([@Merma_%]/100)),0)</f>
        <v/>
      </c>
      <c r="O10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0">
        <f>IF([@Cant_base_compra]&gt;0,[@Precio_vigente_COP]/[@Cant_base_compra],0)</f>
        <v/>
      </c>
      <c r="Q10">
        <f>IF(1-([@Merma_%]/100)&gt;0,[@Costo_unit_base_vigente]/(1-([@Merma_%]/100)),0)</f>
        <v/>
      </c>
    </row>
    <row r="11">
      <c r="A11" t="inlineStr">
        <is>
          <t>SAL-001</t>
        </is>
      </c>
      <c r="B11" t="inlineStr">
        <is>
          <t>Sal</t>
        </is>
      </c>
      <c r="C11" t="n">
        <v>1</v>
      </c>
      <c r="D11" t="inlineStr">
        <is>
          <t>kg</t>
        </is>
      </c>
      <c r="E11" t="n">
        <v>2000</v>
      </c>
      <c r="F11" t="n">
        <v>0</v>
      </c>
      <c r="G11" t="inlineStr">
        <is>
          <t>MP</t>
        </is>
      </c>
      <c r="H11" t="inlineStr">
        <is>
          <t>Proveedor F</t>
        </is>
      </c>
      <c r="I11" t="inlineStr">
        <is>
          <t>2025-08-30</t>
        </is>
      </c>
      <c r="J11">
        <f>IF(OR([@Unidad_compra]="kg",[@Unidad_compra]="g"),"g",IF(OR([@Unidad_compra]="l",[@Unidad_compra]="ml"),"ml","u"))</f>
        <v/>
      </c>
      <c r="K11">
        <f>IF([@Unidad_compra]="kg",1000,IF([@Unidad_compra]="l",1000,1))</f>
        <v/>
      </c>
      <c r="L11">
        <f>[@Cantidad_compra]*[@Factor_a_base]</f>
        <v/>
      </c>
      <c r="M11">
        <f>IF([@Cant_base_compra]&gt;0,[@Precio_compra_COP]/[@Cant_base_compra],0)</f>
        <v/>
      </c>
      <c r="N11">
        <f>IF(1-([@Merma_%]/100)&gt;0,[@Costo_unit_base]/(1-([@Merma_%]/100)),0)</f>
        <v/>
      </c>
      <c r="O11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1">
        <f>IF([@Cant_base_compra]&gt;0,[@Precio_vigente_COP]/[@Cant_base_compra],0)</f>
        <v/>
      </c>
      <c r="Q11">
        <f>IF(1-([@Merma_%]/100)&gt;0,[@Costo_unit_base_vigente]/(1-([@Merma_%]/100)),0)</f>
        <v/>
      </c>
    </row>
    <row r="12">
      <c r="A12" t="inlineStr">
        <is>
          <t>EMB-003</t>
        </is>
      </c>
      <c r="B12" t="inlineStr">
        <is>
          <t>Capacillo para muffin</t>
        </is>
      </c>
      <c r="C12" t="n">
        <v>1</v>
      </c>
      <c r="D12" t="inlineStr">
        <is>
          <t>u</t>
        </is>
      </c>
      <c r="E12" t="n">
        <v>90</v>
      </c>
      <c r="F12" t="n">
        <v>0</v>
      </c>
      <c r="G12" t="inlineStr">
        <is>
          <t>Empaque</t>
        </is>
      </c>
      <c r="H12" t="inlineStr">
        <is>
          <t>Proveedor E</t>
        </is>
      </c>
      <c r="I12" t="inlineStr">
        <is>
          <t>2025-08-30</t>
        </is>
      </c>
      <c r="J12">
        <f>IF(OR([@Unidad_compra]="kg",[@Unidad_compra]="g"),"g",IF(OR([@Unidad_compra]="l",[@Unidad_compra]="ml"),"ml","u"))</f>
        <v/>
      </c>
      <c r="K12">
        <f>IF([@Unidad_compra]="kg",1000,IF([@Unidad_compra]="l",1000,1))</f>
        <v/>
      </c>
      <c r="L12">
        <f>[@Cantidad_compra]*[@Factor_a_base]</f>
        <v/>
      </c>
      <c r="M12">
        <f>IF([@Cant_base_compra]&gt;0,[@Precio_compra_COP]/[@Cant_base_compra],0)</f>
        <v/>
      </c>
      <c r="N12">
        <f>IF(1-([@Merma_%]/100)&gt;0,[@Costo_unit_base]/(1-([@Merma_%]/100)),0)</f>
        <v/>
      </c>
      <c r="O1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2">
        <f>IF([@Cant_base_compra]&gt;0,[@Precio_vigente_COP]/[@Cant_base_compra],0)</f>
        <v/>
      </c>
      <c r="Q12">
        <f>IF(1-([@Merma_%]/100)&gt;0,[@Costo_unit_base_vigente]/(1-([@Merma_%]/100)),0)</f>
        <v/>
      </c>
    </row>
    <row r="13">
      <c r="A13" t="inlineStr">
        <is>
          <t>EMB-002</t>
        </is>
      </c>
      <c r="B13" t="inlineStr">
        <is>
          <t>Bolsa celofán</t>
        </is>
      </c>
      <c r="C13" t="n">
        <v>1</v>
      </c>
      <c r="D13" t="inlineStr">
        <is>
          <t>u</t>
        </is>
      </c>
      <c r="E13" t="n">
        <v>120</v>
      </c>
      <c r="F13" t="n">
        <v>0</v>
      </c>
      <c r="G13" t="inlineStr">
        <is>
          <t>Empaque</t>
        </is>
      </c>
      <c r="H13" t="inlineStr">
        <is>
          <t>Proveedor E</t>
        </is>
      </c>
      <c r="I13" t="inlineStr">
        <is>
          <t>2025-08-30</t>
        </is>
      </c>
      <c r="J13">
        <f>IF(OR([@Unidad_compra]="kg",[@Unidad_compra]="g"),"g",IF(OR([@Unidad_compra]="l",[@Unidad_compra]="ml"),"ml","u"))</f>
        <v/>
      </c>
      <c r="K13">
        <f>IF([@Unidad_compra]="kg",1000,IF([@Unidad_compra]="l",1000,1))</f>
        <v/>
      </c>
      <c r="L13">
        <f>[@Cantidad_compra]*[@Factor_a_base]</f>
        <v/>
      </c>
      <c r="M13">
        <f>IF([@Cant_base_compra]&gt;0,[@Precio_compra_COP]/[@Cant_base_compra],0)</f>
        <v/>
      </c>
      <c r="N13">
        <f>IF(1-([@Merma_%]/100)&gt;0,[@Costo_unit_base]/(1-([@Merma_%]/100)),0)</f>
        <v/>
      </c>
      <c r="O1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3">
        <f>IF([@Cant_base_compra]&gt;0,[@Precio_vigente_COP]/[@Cant_base_compra],0)</f>
        <v/>
      </c>
      <c r="Q13">
        <f>IF(1-([@Merma_%]/100)&gt;0,[@Costo_unit_base_vigente]/(1-([@Merma_%]/100)),0)</f>
        <v/>
      </c>
    </row>
    <row r="14">
      <c r="A14" t="inlineStr">
        <is>
          <t>EMB-004</t>
        </is>
      </c>
      <c r="B14" t="inlineStr">
        <is>
          <t>Caja para 6 muffins</t>
        </is>
      </c>
      <c r="C14" t="n">
        <v>1</v>
      </c>
      <c r="D14" t="inlineStr">
        <is>
          <t>u</t>
        </is>
      </c>
      <c r="E14" t="n">
        <v>800</v>
      </c>
      <c r="F14" t="n">
        <v>0</v>
      </c>
      <c r="G14" t="inlineStr">
        <is>
          <t>Empaque</t>
        </is>
      </c>
      <c r="H14" t="inlineStr">
        <is>
          <t>Proveedor E</t>
        </is>
      </c>
      <c r="I14" t="inlineStr">
        <is>
          <t>2025-08-30</t>
        </is>
      </c>
      <c r="J14">
        <f>IF(OR([@Unidad_compra]="kg",[@Unidad_compra]="g"),"g",IF(OR([@Unidad_compra]="l",[@Unidad_compra]="ml"),"ml","u"))</f>
        <v/>
      </c>
      <c r="K14">
        <f>IF([@Unidad_compra]="kg",1000,IF([@Unidad_compra]="l",1000,1))</f>
        <v/>
      </c>
      <c r="L14">
        <f>[@Cantidad_compra]*[@Factor_a_base]</f>
        <v/>
      </c>
      <c r="M14">
        <f>IF([@Cant_base_compra]&gt;0,[@Precio_compra_COP]/[@Cant_base_compra],0)</f>
        <v/>
      </c>
      <c r="N14">
        <f>IF(1-([@Merma_%]/100)&gt;0,[@Costo_unit_base]/(1-([@Merma_%]/100)),0)</f>
        <v/>
      </c>
      <c r="O1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4">
        <f>IF([@Cant_base_compra]&gt;0,[@Precio_vigente_COP]/[@Cant_base_compra],0)</f>
        <v/>
      </c>
      <c r="Q14">
        <f>IF(1-([@Merma_%]/100)&gt;0,[@Costo_unit_base_vigente]/(1-([@Merma_%]/100)),0)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Rendimiento_lote_unid</t>
        </is>
      </c>
      <c r="C1" t="inlineStr">
        <is>
          <t>Tiempo_lote_min</t>
        </is>
      </c>
      <c r="D1" t="inlineStr">
        <is>
          <t>Mano_obra_hora_COP</t>
        </is>
      </c>
      <c r="E1" t="inlineStr">
        <is>
          <t>Overhead_hora_COP</t>
        </is>
      </c>
      <c r="F1" t="inlineStr">
        <is>
          <t>Empaque_unit_COP</t>
        </is>
      </c>
      <c r="G1" t="inlineStr">
        <is>
          <t>Margen_objetivo</t>
        </is>
      </c>
      <c r="H1" t="inlineStr">
        <is>
          <t>IVA_venta</t>
        </is>
      </c>
    </row>
    <row r="2">
      <c r="A2" t="inlineStr">
        <is>
          <t>Muffin de chocolate (sin relleno)</t>
        </is>
      </c>
      <c r="B2" t="n">
        <v>12</v>
      </c>
      <c r="C2" t="n">
        <v>45</v>
      </c>
      <c r="D2" t="n">
        <v>12000</v>
      </c>
      <c r="E2" t="n">
        <v>10000</v>
      </c>
      <c r="F2" t="n">
        <v>0</v>
      </c>
      <c r="G2" t="n">
        <v>0.55</v>
      </c>
      <c r="H2" t="n">
        <v>0</v>
      </c>
    </row>
    <row r="3">
      <c r="A3" t="inlineStr">
        <is>
          <t>Muffin de vainilla (sin relleno)</t>
        </is>
      </c>
      <c r="B3" t="n">
        <v>12</v>
      </c>
      <c r="C3" t="n">
        <v>40</v>
      </c>
      <c r="D3" t="n">
        <v>12000</v>
      </c>
      <c r="E3" t="n">
        <v>10000</v>
      </c>
      <c r="F3" t="n">
        <v>0</v>
      </c>
      <c r="G3" t="n">
        <v>0.55</v>
      </c>
      <c r="H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Codigo_Insumo</t>
        </is>
      </c>
      <c r="C1" t="inlineStr">
        <is>
          <t>Cantidad_receta</t>
        </is>
      </c>
      <c r="D1" t="inlineStr">
        <is>
          <t>Unidad_receta</t>
        </is>
      </c>
      <c r="E1" t="inlineStr">
        <is>
          <t>Unidad_base_insumo</t>
        </is>
      </c>
      <c r="F1" t="inlineStr">
        <is>
          <t>Costo_unit_insumo_base</t>
        </is>
      </c>
      <c r="G1" t="inlineStr">
        <is>
          <t>Factor_a_base</t>
        </is>
      </c>
      <c r="H1" t="inlineStr">
        <is>
          <t>Cant_base</t>
        </is>
      </c>
      <c r="I1" t="inlineStr">
        <is>
          <t>Costo_parcial</t>
        </is>
      </c>
    </row>
    <row r="2">
      <c r="A2" t="inlineStr">
        <is>
          <t>Muffin de chocolate (sin relleno)</t>
        </is>
      </c>
      <c r="B2" t="inlineStr">
        <is>
          <t>HAR-001</t>
        </is>
      </c>
      <c r="C2" t="n">
        <v>300</v>
      </c>
      <c r="D2" t="inlineStr">
        <is>
          <t>g</t>
        </is>
      </c>
      <c r="E2">
        <f>XLOOKUP([@Codigo_Insumo],tInsumos[Codigo],tInsumos[Unidad_base])</f>
        <v/>
      </c>
      <c r="F2">
        <f>XLOOKUP([@Codigo_Insumo],tInsumos[Codigo],tInsumos[Costo_utilizable_base_vigente])</f>
        <v/>
      </c>
      <c r="G2">
        <f>IF(AND([@Unidad_receta]="kg",[@Unidad_base_insumo]="g"),1000,IF(AND([@Unidad_receta]="l",[@Unidad_base_insumo]="ml"),1000,1))</f>
        <v/>
      </c>
      <c r="H2">
        <f>[@Cantidad_receta]*[@Factor_a_base]</f>
        <v/>
      </c>
      <c r="I2">
        <f>[@Cant_base]*[@Costo_unit_insumo_base]</f>
        <v/>
      </c>
    </row>
    <row r="3">
      <c r="A3" t="inlineStr">
        <is>
          <t>Muffin de chocolate (sin relleno)</t>
        </is>
      </c>
      <c r="B3" t="inlineStr">
        <is>
          <t>AZU-001</t>
        </is>
      </c>
      <c r="C3" t="n">
        <v>220</v>
      </c>
      <c r="D3" t="inlineStr">
        <is>
          <t>g</t>
        </is>
      </c>
      <c r="E3">
        <f>XLOOKUP([@Codigo_Insumo],tInsumos[Codigo],tInsumos[Unidad_base])</f>
        <v/>
      </c>
      <c r="F3">
        <f>XLOOKUP([@Codigo_Insumo],tInsumos[Codigo],tInsumos[Costo_utilizable_base_vigente])</f>
        <v/>
      </c>
      <c r="G3">
        <f>IF(AND([@Unidad_receta]="kg",[@Unidad_base_insumo]="g"),1000,IF(AND([@Unidad_receta]="l",[@Unidad_base_insumo]="ml"),1000,1))</f>
        <v/>
      </c>
      <c r="H3">
        <f>[@Cantidad_receta]*[@Factor_a_base]</f>
        <v/>
      </c>
      <c r="I3">
        <f>[@Cant_base]*[@Costo_unit_insumo_base]</f>
        <v/>
      </c>
    </row>
    <row r="4">
      <c r="A4" t="inlineStr">
        <is>
          <t>Muffin de chocolate (sin relleno)</t>
        </is>
      </c>
      <c r="B4" t="inlineStr">
        <is>
          <t>CAC-001</t>
        </is>
      </c>
      <c r="C4" t="n">
        <v>60</v>
      </c>
      <c r="D4" t="inlineStr">
        <is>
          <t>g</t>
        </is>
      </c>
      <c r="E4">
        <f>XLOOKUP([@Codigo_Insumo],tInsumos[Codigo],tInsumos[Unidad_base])</f>
        <v/>
      </c>
      <c r="F4">
        <f>XLOOKUP([@Codigo_Insumo],tInsumos[Codigo],tInsumos[Costo_utilizable_base_vigente])</f>
        <v/>
      </c>
      <c r="G4">
        <f>IF(AND([@Unidad_receta]="kg",[@Unidad_base_insumo]="g"),1000,IF(AND([@Unidad_receta]="l",[@Unidad_base_insumo]="ml"),1000,1))</f>
        <v/>
      </c>
      <c r="H4">
        <f>[@Cantidad_receta]*[@Factor_a_base]</f>
        <v/>
      </c>
      <c r="I4">
        <f>[@Cant_base]*[@Costo_unit_insumo_base]</f>
        <v/>
      </c>
    </row>
    <row r="5">
      <c r="A5" t="inlineStr">
        <is>
          <t>Muffin de chocolate (sin relleno)</t>
        </is>
      </c>
      <c r="B5" t="inlineStr">
        <is>
          <t>HUE-001</t>
        </is>
      </c>
      <c r="C5" t="n">
        <v>3</v>
      </c>
      <c r="D5" t="inlineStr">
        <is>
          <t>u</t>
        </is>
      </c>
      <c r="E5">
        <f>XLOOKUP([@Codigo_Insumo],tInsumos[Codigo],tInsumos[Unidad_base])</f>
        <v/>
      </c>
      <c r="F5">
        <f>XLOOKUP([@Codigo_Insumo],tInsumos[Codigo],tInsumos[Costo_utilizable_base_vigente])</f>
        <v/>
      </c>
      <c r="G5">
        <f>IF(AND([@Unidad_receta]="kg",[@Unidad_base_insumo]="g"),1000,IF(AND([@Unidad_receta]="l",[@Unidad_base_insumo]="ml"),1000,1))</f>
        <v/>
      </c>
      <c r="H5">
        <f>[@Cantidad_receta]*[@Factor_a_base]</f>
        <v/>
      </c>
      <c r="I5">
        <f>[@Cant_base]*[@Costo_unit_insumo_base]</f>
        <v/>
      </c>
    </row>
    <row r="6">
      <c r="A6" t="inlineStr">
        <is>
          <t>Muffin de chocolate (sin relleno)</t>
        </is>
      </c>
      <c r="B6" t="inlineStr">
        <is>
          <t>LEC-001</t>
        </is>
      </c>
      <c r="C6" t="n">
        <v>250</v>
      </c>
      <c r="D6" t="inlineStr">
        <is>
          <t>ml</t>
        </is>
      </c>
      <c r="E6">
        <f>XLOOKUP([@Codigo_Insumo],tInsumos[Codigo],tInsumos[Unidad_base])</f>
        <v/>
      </c>
      <c r="F6">
        <f>XLOOKUP([@Codigo_Insumo],tInsumos[Codigo],tInsumos[Costo_utilizable_base_vigente])</f>
        <v/>
      </c>
      <c r="G6">
        <f>IF(AND([@Unidad_receta]="kg",[@Unidad_base_insumo]="g"),1000,IF(AND([@Unidad_receta]="l",[@Unidad_base_insumo]="ml"),1000,1))</f>
        <v/>
      </c>
      <c r="H6">
        <f>[@Cantidad_receta]*[@Factor_a_base]</f>
        <v/>
      </c>
      <c r="I6">
        <f>[@Cant_base]*[@Costo_unit_insumo_base]</f>
        <v/>
      </c>
    </row>
    <row r="7">
      <c r="A7" t="inlineStr">
        <is>
          <t>Muffin de chocolate (sin relleno)</t>
        </is>
      </c>
      <c r="B7" t="inlineStr">
        <is>
          <t>ACE-001</t>
        </is>
      </c>
      <c r="C7" t="n">
        <v>120</v>
      </c>
      <c r="D7" t="inlineStr">
        <is>
          <t>ml</t>
        </is>
      </c>
      <c r="E7">
        <f>XLOOKUP([@Codigo_Insumo],tInsumos[Codigo],tInsumos[Unidad_base])</f>
        <v/>
      </c>
      <c r="F7">
        <f>XLOOKUP([@Codigo_Insumo],tInsumos[Codigo],tInsumos[Costo_utilizable_base_vigente])</f>
        <v/>
      </c>
      <c r="G7">
        <f>IF(AND([@Unidad_receta]="kg",[@Unidad_base_insumo]="g"),1000,IF(AND([@Unidad_receta]="l",[@Unidad_base_insumo]="ml"),1000,1))</f>
        <v/>
      </c>
      <c r="H7">
        <f>[@Cantidad_receta]*[@Factor_a_base]</f>
        <v/>
      </c>
      <c r="I7">
        <f>[@Cant_base]*[@Costo_unit_insumo_base]</f>
        <v/>
      </c>
    </row>
    <row r="8">
      <c r="A8" t="inlineStr">
        <is>
          <t>Muffin de chocolate (sin relleno)</t>
        </is>
      </c>
      <c r="B8" t="inlineStr">
        <is>
          <t>POL-001</t>
        </is>
      </c>
      <c r="C8" t="n">
        <v>10</v>
      </c>
      <c r="D8" t="inlineStr">
        <is>
          <t>g</t>
        </is>
      </c>
      <c r="E8">
        <f>XLOOKUP([@Codigo_Insumo],tInsumos[Codigo],tInsumos[Unidad_base])</f>
        <v/>
      </c>
      <c r="F8">
        <f>XLOOKUP([@Codigo_Insumo],tInsumos[Codigo],tInsumos[Costo_utilizable_base_vigente])</f>
        <v/>
      </c>
      <c r="G8">
        <f>IF(AND([@Unidad_receta]="kg",[@Unidad_base_insumo]="g"),1000,IF(AND([@Unidad_receta]="l",[@Unidad_base_insumo]="ml"),1000,1))</f>
        <v/>
      </c>
      <c r="H8">
        <f>[@Cantidad_receta]*[@Factor_a_base]</f>
        <v/>
      </c>
      <c r="I8">
        <f>[@Cant_base]*[@Costo_unit_insumo_base]</f>
        <v/>
      </c>
    </row>
    <row r="9">
      <c r="A9" t="inlineStr">
        <is>
          <t>Muffin de chocolate (sin relleno)</t>
        </is>
      </c>
      <c r="B9" t="inlineStr">
        <is>
          <t>BIC-001</t>
        </is>
      </c>
      <c r="C9" t="n">
        <v>3</v>
      </c>
      <c r="D9" t="inlineStr">
        <is>
          <t>g</t>
        </is>
      </c>
      <c r="E9">
        <f>XLOOKUP([@Codigo_Insumo],tInsumos[Codigo],tInsumos[Unidad_base])</f>
        <v/>
      </c>
      <c r="F9">
        <f>XLOOKUP([@Codigo_Insumo],tInsumos[Codigo],tInsumos[Costo_utilizable_base_vigente])</f>
        <v/>
      </c>
      <c r="G9">
        <f>IF(AND([@Unidad_receta]="kg",[@Unidad_base_insumo]="g"),1000,IF(AND([@Unidad_receta]="l",[@Unidad_base_insumo]="ml"),1000,1))</f>
        <v/>
      </c>
      <c r="H9">
        <f>[@Cantidad_receta]*[@Factor_a_base]</f>
        <v/>
      </c>
      <c r="I9">
        <f>[@Cant_base]*[@Costo_unit_insumo_base]</f>
        <v/>
      </c>
    </row>
    <row r="10">
      <c r="A10" t="inlineStr">
        <is>
          <t>Muffin de chocolate (sin relleno)</t>
        </is>
      </c>
      <c r="B10" t="inlineStr">
        <is>
          <t>SAL-001</t>
        </is>
      </c>
      <c r="C10" t="n">
        <v>2</v>
      </c>
      <c r="D10" t="inlineStr">
        <is>
          <t>g</t>
        </is>
      </c>
      <c r="E10">
        <f>XLOOKUP([@Codigo_Insumo],tInsumos[Codigo],tInsumos[Unidad_base])</f>
        <v/>
      </c>
      <c r="F10">
        <f>XLOOKUP([@Codigo_Insumo],tInsumos[Codigo],tInsumos[Costo_utilizable_base_vigente])</f>
        <v/>
      </c>
      <c r="G10">
        <f>IF(AND([@Unidad_receta]="kg",[@Unidad_base_insumo]="g"),1000,IF(AND([@Unidad_receta]="l",[@Unidad_base_insumo]="ml"),1000,1))</f>
        <v/>
      </c>
      <c r="H10">
        <f>[@Cantidad_receta]*[@Factor_a_base]</f>
        <v/>
      </c>
      <c r="I10">
        <f>[@Cant_base]*[@Costo_unit_insumo_base]</f>
        <v/>
      </c>
    </row>
    <row r="11">
      <c r="A11" t="inlineStr">
        <is>
          <t>Muffin de chocolate (sin relleno)</t>
        </is>
      </c>
      <c r="B11" t="inlineStr">
        <is>
          <t>ESS-001</t>
        </is>
      </c>
      <c r="C11" t="n">
        <v>5</v>
      </c>
      <c r="D11" t="inlineStr">
        <is>
          <t>ml</t>
        </is>
      </c>
      <c r="E11">
        <f>XLOOKUP([@Codigo_Insumo],tInsumos[Codigo],tInsumos[Unidad_base])</f>
        <v/>
      </c>
      <c r="F11">
        <f>XLOOKUP([@Codigo_Insumo],tInsumos[Codigo],tInsumos[Costo_utilizable_base_vigente])</f>
        <v/>
      </c>
      <c r="G11">
        <f>IF(AND([@Unidad_receta]="kg",[@Unidad_base_insumo]="g"),1000,IF(AND([@Unidad_receta]="l",[@Unidad_base_insumo]="ml"),1000,1))</f>
        <v/>
      </c>
      <c r="H11">
        <f>[@Cantidad_receta]*[@Factor_a_base]</f>
        <v/>
      </c>
      <c r="I11">
        <f>[@Cant_base]*[@Costo_unit_insumo_base]</f>
        <v/>
      </c>
    </row>
    <row r="12">
      <c r="A12" t="inlineStr">
        <is>
          <t>Muffin de chocolate (sin relleno)</t>
        </is>
      </c>
      <c r="B12" t="inlineStr">
        <is>
          <t>EMB-003</t>
        </is>
      </c>
      <c r="C12" t="n">
        <v>12</v>
      </c>
      <c r="D12" t="inlineStr">
        <is>
          <t>u</t>
        </is>
      </c>
      <c r="E12">
        <f>XLOOKUP([@Codigo_Insumo],tInsumos[Codigo],tInsumos[Unidad_base])</f>
        <v/>
      </c>
      <c r="F12">
        <f>XLOOKUP([@Codigo_Insumo],tInsumos[Codigo],tInsumos[Costo_utilizable_base_vigente])</f>
        <v/>
      </c>
      <c r="G12">
        <f>IF(AND([@Unidad_receta]="kg",[@Unidad_base_insumo]="g"),1000,IF(AND([@Unidad_receta]="l",[@Unidad_base_insumo]="ml"),1000,1))</f>
        <v/>
      </c>
      <c r="H12">
        <f>[@Cantidad_receta]*[@Factor_a_base]</f>
        <v/>
      </c>
      <c r="I12">
        <f>[@Cant_base]*[@Costo_unit_insumo_base]</f>
        <v/>
      </c>
    </row>
    <row r="13">
      <c r="A13" t="inlineStr">
        <is>
          <t>Muffin de vainilla (sin relleno)</t>
        </is>
      </c>
      <c r="B13" t="inlineStr">
        <is>
          <t>HAR-001</t>
        </is>
      </c>
      <c r="C13" t="n">
        <v>320</v>
      </c>
      <c r="D13" t="inlineStr">
        <is>
          <t>g</t>
        </is>
      </c>
      <c r="E13">
        <f>XLOOKUP([@Codigo_Insumo],tInsumos[Codigo],tInsumos[Unidad_base])</f>
        <v/>
      </c>
      <c r="F13">
        <f>XLOOKUP([@Codigo_Insumo],tInsumos[Codigo],tInsumos[Costo_utilizable_base_vigente])</f>
        <v/>
      </c>
      <c r="G13">
        <f>IF(AND([@Unidad_receta]="kg",[@Unidad_base_insumo]="g"),1000,IF(AND([@Unidad_receta]="l",[@Unidad_base_insumo]="ml"),1000,1))</f>
        <v/>
      </c>
      <c r="H13">
        <f>[@Cantidad_receta]*[@Factor_a_base]</f>
        <v/>
      </c>
      <c r="I13">
        <f>[@Cant_base]*[@Costo_unit_insumo_base]</f>
        <v/>
      </c>
    </row>
    <row r="14">
      <c r="A14" t="inlineStr">
        <is>
          <t>Muffin de vainilla (sin relleno)</t>
        </is>
      </c>
      <c r="B14" t="inlineStr">
        <is>
          <t>AZU-001</t>
        </is>
      </c>
      <c r="C14" t="n">
        <v>240</v>
      </c>
      <c r="D14" t="inlineStr">
        <is>
          <t>g</t>
        </is>
      </c>
      <c r="E14">
        <f>XLOOKUP([@Codigo_Insumo],tInsumos[Codigo],tInsumos[Unidad_base])</f>
        <v/>
      </c>
      <c r="F14">
        <f>XLOOKUP([@Codigo_Insumo],tInsumos[Codigo],tInsumos[Costo_utilizable_base_vigente])</f>
        <v/>
      </c>
      <c r="G14">
        <f>IF(AND([@Unidad_receta]="kg",[@Unidad_base_insumo]="g"),1000,IF(AND([@Unidad_receta]="l",[@Unidad_base_insumo]="ml"),1000,1))</f>
        <v/>
      </c>
      <c r="H14">
        <f>[@Cantidad_receta]*[@Factor_a_base]</f>
        <v/>
      </c>
      <c r="I14">
        <f>[@Cant_base]*[@Costo_unit_insumo_base]</f>
        <v/>
      </c>
    </row>
    <row r="15">
      <c r="A15" t="inlineStr">
        <is>
          <t>Muffin de vainilla (sin relleno)</t>
        </is>
      </c>
      <c r="B15" t="inlineStr">
        <is>
          <t>HUE-001</t>
        </is>
      </c>
      <c r="C15" t="n">
        <v>3</v>
      </c>
      <c r="D15" t="inlineStr">
        <is>
          <t>u</t>
        </is>
      </c>
      <c r="E15">
        <f>XLOOKUP([@Codigo_Insumo],tInsumos[Codigo],tInsumos[Unidad_base])</f>
        <v/>
      </c>
      <c r="F15">
        <f>XLOOKUP([@Codigo_Insumo],tInsumos[Codigo],tInsumos[Costo_utilizable_base_vigente])</f>
        <v/>
      </c>
      <c r="G15">
        <f>IF(AND([@Unidad_receta]="kg",[@Unidad_base_insumo]="g"),1000,IF(AND([@Unidad_receta]="l",[@Unidad_base_insumo]="ml"),1000,1))</f>
        <v/>
      </c>
      <c r="H15">
        <f>[@Cantidad_receta]*[@Factor_a_base]</f>
        <v/>
      </c>
      <c r="I15">
        <f>[@Cant_base]*[@Costo_unit_insumo_base]</f>
        <v/>
      </c>
    </row>
    <row r="16">
      <c r="A16" t="inlineStr">
        <is>
          <t>Muffin de vainilla (sin relleno)</t>
        </is>
      </c>
      <c r="B16" t="inlineStr">
        <is>
          <t>LEC-001</t>
        </is>
      </c>
      <c r="C16" t="n">
        <v>260</v>
      </c>
      <c r="D16" t="inlineStr">
        <is>
          <t>ml</t>
        </is>
      </c>
      <c r="E16">
        <f>XLOOKUP([@Codigo_Insumo],tInsumos[Codigo],tInsumos[Unidad_base])</f>
        <v/>
      </c>
      <c r="F16">
        <f>XLOOKUP([@Codigo_Insumo],tInsumos[Codigo],tInsumos[Costo_utilizable_base_vigente])</f>
        <v/>
      </c>
      <c r="G16">
        <f>IF(AND([@Unidad_receta]="kg",[@Unidad_base_insumo]="g"),1000,IF(AND([@Unidad_receta]="l",[@Unidad_base_insumo]="ml"),1000,1))</f>
        <v/>
      </c>
      <c r="H16">
        <f>[@Cantidad_receta]*[@Factor_a_base]</f>
        <v/>
      </c>
      <c r="I16">
        <f>[@Cant_base]*[@Costo_unit_insumo_base]</f>
        <v/>
      </c>
    </row>
    <row r="17">
      <c r="A17" t="inlineStr">
        <is>
          <t>Muffin de vainilla (sin relleno)</t>
        </is>
      </c>
      <c r="B17" t="inlineStr">
        <is>
          <t>ACE-001</t>
        </is>
      </c>
      <c r="C17" t="n">
        <v>120</v>
      </c>
      <c r="D17" t="inlineStr">
        <is>
          <t>ml</t>
        </is>
      </c>
      <c r="E17">
        <f>XLOOKUP([@Codigo_Insumo],tInsumos[Codigo],tInsumos[Unidad_base])</f>
        <v/>
      </c>
      <c r="F17">
        <f>XLOOKUP([@Codigo_Insumo],tInsumos[Codigo],tInsumos[Costo_utilizable_base_vigente])</f>
        <v/>
      </c>
      <c r="G17">
        <f>IF(AND([@Unidad_receta]="kg",[@Unidad_base_insumo]="g"),1000,IF(AND([@Unidad_receta]="l",[@Unidad_base_insumo]="ml"),1000,1))</f>
        <v/>
      </c>
      <c r="H17">
        <f>[@Cantidad_receta]*[@Factor_a_base]</f>
        <v/>
      </c>
      <c r="I17">
        <f>[@Cant_base]*[@Costo_unit_insumo_base]</f>
        <v/>
      </c>
    </row>
    <row r="18">
      <c r="A18" t="inlineStr">
        <is>
          <t>Muffin de vainilla (sin relleno)</t>
        </is>
      </c>
      <c r="B18" t="inlineStr">
        <is>
          <t>POL-001</t>
        </is>
      </c>
      <c r="C18" t="n">
        <v>12</v>
      </c>
      <c r="D18" t="inlineStr">
        <is>
          <t>g</t>
        </is>
      </c>
      <c r="E18">
        <f>XLOOKUP([@Codigo_Insumo],tInsumos[Codigo],tInsumos[Unidad_base])</f>
        <v/>
      </c>
      <c r="F18">
        <f>XLOOKUP([@Codigo_Insumo],tInsumos[Codigo],tInsumos[Costo_utilizable_base_vigente])</f>
        <v/>
      </c>
      <c r="G18">
        <f>IF(AND([@Unidad_receta]="kg",[@Unidad_base_insumo]="g"),1000,IF(AND([@Unidad_receta]="l",[@Unidad_base_insumo]="ml"),1000,1))</f>
        <v/>
      </c>
      <c r="H18">
        <f>[@Cantidad_receta]*[@Factor_a_base]</f>
        <v/>
      </c>
      <c r="I18">
        <f>[@Cant_base]*[@Costo_unit_insumo_base]</f>
        <v/>
      </c>
    </row>
    <row r="19">
      <c r="A19" t="inlineStr">
        <is>
          <t>Muffin de vainilla (sin relleno)</t>
        </is>
      </c>
      <c r="B19" t="inlineStr">
        <is>
          <t>SAL-001</t>
        </is>
      </c>
      <c r="C19" t="n">
        <v>2</v>
      </c>
      <c r="D19" t="inlineStr">
        <is>
          <t>g</t>
        </is>
      </c>
      <c r="E19">
        <f>XLOOKUP([@Codigo_Insumo],tInsumos[Codigo],tInsumos[Unidad_base])</f>
        <v/>
      </c>
      <c r="F19">
        <f>XLOOKUP([@Codigo_Insumo],tInsumos[Codigo],tInsumos[Costo_utilizable_base_vigente])</f>
        <v/>
      </c>
      <c r="G19">
        <f>IF(AND([@Unidad_receta]="kg",[@Unidad_base_insumo]="g"),1000,IF(AND([@Unidad_receta]="l",[@Unidad_base_insumo]="ml"),1000,1))</f>
        <v/>
      </c>
      <c r="H19">
        <f>[@Cantidad_receta]*[@Factor_a_base]</f>
        <v/>
      </c>
      <c r="I19">
        <f>[@Cant_base]*[@Costo_unit_insumo_base]</f>
        <v/>
      </c>
    </row>
    <row r="20">
      <c r="A20" t="inlineStr">
        <is>
          <t>Muffin de vainilla (sin relleno)</t>
        </is>
      </c>
      <c r="B20" t="inlineStr">
        <is>
          <t>ESS-001</t>
        </is>
      </c>
      <c r="C20" t="n">
        <v>8</v>
      </c>
      <c r="D20" t="inlineStr">
        <is>
          <t>ml</t>
        </is>
      </c>
      <c r="E20">
        <f>XLOOKUP([@Codigo_Insumo],tInsumos[Codigo],tInsumos[Unidad_base])</f>
        <v/>
      </c>
      <c r="F20">
        <f>XLOOKUP([@Codigo_Insumo],tInsumos[Codigo],tInsumos[Costo_utilizable_base_vigente])</f>
        <v/>
      </c>
      <c r="G20">
        <f>IF(AND([@Unidad_receta]="kg",[@Unidad_base_insumo]="g"),1000,IF(AND([@Unidad_receta]="l",[@Unidad_base_insumo]="ml"),1000,1))</f>
        <v/>
      </c>
      <c r="H20">
        <f>[@Cantidad_receta]*[@Factor_a_base]</f>
        <v/>
      </c>
      <c r="I20">
        <f>[@Cant_base]*[@Costo_unit_insumo_base]</f>
        <v/>
      </c>
    </row>
    <row r="21">
      <c r="A21" t="inlineStr">
        <is>
          <t>Muffin de vainilla (sin relleno)</t>
        </is>
      </c>
      <c r="B21" t="inlineStr">
        <is>
          <t>EMB-003</t>
        </is>
      </c>
      <c r="C21" t="n">
        <v>12</v>
      </c>
      <c r="D21" t="inlineStr">
        <is>
          <t>u</t>
        </is>
      </c>
      <c r="E21">
        <f>XLOOKUP([@Codigo_Insumo],tInsumos[Codigo],tInsumos[Unidad_base])</f>
        <v/>
      </c>
      <c r="F21">
        <f>XLOOKUP([@Codigo_Insumo],tInsumos[Codigo],tInsumos[Costo_utilizable_base_vigente])</f>
        <v/>
      </c>
      <c r="G21">
        <f>IF(AND([@Unidad_receta]="kg",[@Unidad_base_insumo]="g"),1000,IF(AND([@Unidad_receta]="l",[@Unidad_base_insumo]="ml"),1000,1))</f>
        <v/>
      </c>
      <c r="H21">
        <f>[@Cantidad_receta]*[@Factor_a_base]</f>
        <v/>
      </c>
      <c r="I21">
        <f>[@Cant_base]*[@Costo_unit_insumo_base]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Costo_materiales_lote</t>
        </is>
      </c>
      <c r="C1" t="inlineStr">
        <is>
          <t>Rendimiento_unid</t>
        </is>
      </c>
      <c r="D1" t="inlineStr">
        <is>
          <t>MO_lote</t>
        </is>
      </c>
      <c r="E1" t="inlineStr">
        <is>
          <t>Ind_lote</t>
        </is>
      </c>
      <c r="F1" t="inlineStr">
        <is>
          <t>Empaque_unit_COP</t>
        </is>
      </c>
      <c r="G1" t="inlineStr">
        <is>
          <t>Costo_total_unit</t>
        </is>
      </c>
      <c r="H1" t="inlineStr">
        <is>
          <t>Margen_objetivo</t>
        </is>
      </c>
      <c r="I1" t="inlineStr">
        <is>
          <t>IVA_venta</t>
        </is>
      </c>
      <c r="J1" t="inlineStr">
        <is>
          <t>Precio_sin_IVA</t>
        </is>
      </c>
      <c r="K1" t="inlineStr">
        <is>
          <t>Precio_con_IVA</t>
        </is>
      </c>
      <c r="L1" t="inlineStr">
        <is>
          <t>Precio_redondeado_100</t>
        </is>
      </c>
    </row>
    <row r="2">
      <c r="A2" t="inlineStr">
        <is>
          <t>Muffin de chocolate (sin relleno)</t>
        </is>
      </c>
      <c r="B2">
        <f>SUMIFS(tReceta[Costo_parcial],tReceta[Producto],[@Producto])</f>
        <v/>
      </c>
      <c r="C2">
        <f>XLOOKUP([@Producto],tProductos[Producto],tProductos[Rendimiento_lote_unid])</f>
        <v/>
      </c>
      <c r="D2">
        <f>XLOOKUP([@Producto],tProductos[Producto],tProductos[Tiempo_lote_min])/60*XLOOKUP([@Producto],tProductos[Producto],tProductos[Mano_obra_hora_COP])</f>
        <v/>
      </c>
      <c r="E2">
        <f>XLOOKUP([@Producto],tProductos[Producto],tProductos[Tiempo_lote_min])/60*XLOOKUP([@Producto],tProductos[Producto],tProductos[Overhead_hora_COP])</f>
        <v/>
      </c>
      <c r="F2">
        <f>XLOOKUP([@Producto],tProductos[Producto],tProductos[Empaque_unit_COP])</f>
        <v/>
      </c>
      <c r="G2">
        <f>([@Costo_materiales_lote]+[@MO_lote]+[@Ind_lote]) / [@Rendimiento_unid] + [@Empaque_unit_COP]</f>
        <v/>
      </c>
      <c r="H2">
        <f>XLOOKUP([@Producto],tProductos[Producto],tProductos[Margen_objetivo])</f>
        <v/>
      </c>
      <c r="I2">
        <f>XLOOKUP([@Producto],tProductos[Producto],tProductos[IVA_venta])</f>
        <v/>
      </c>
      <c r="J2">
        <f>[@Costo_total_unit]/(1-[@Margen_objetivo])</f>
        <v/>
      </c>
      <c r="K2">
        <f>[@Precio_sin_IVA]*(1+[@IVA_venta])</f>
        <v/>
      </c>
      <c r="L2">
        <f>ROUNDUP([@Precio_con_IVA],-2)</f>
        <v/>
      </c>
    </row>
    <row r="3">
      <c r="A3" t="inlineStr">
        <is>
          <t>Muffin de vainilla (sin relleno)</t>
        </is>
      </c>
      <c r="B3">
        <f>SUMIFS(tReceta[Costo_parcial],tReceta[Producto],[@Producto])</f>
        <v/>
      </c>
      <c r="C3">
        <f>XLOOKUP([@Producto],tProductos[Producto],tProductos[Rendimiento_lote_unid])</f>
        <v/>
      </c>
      <c r="D3">
        <f>XLOOKUP([@Producto],tProductos[Producto],tProductos[Tiempo_lote_min])/60*XLOOKUP([@Producto],tProductos[Producto],tProductos[Mano_obra_hora_COP])</f>
        <v/>
      </c>
      <c r="E3">
        <f>XLOOKUP([@Producto],tProductos[Producto],tProductos[Tiempo_lote_min])/60*XLOOKUP([@Producto],tProductos[Producto],tProductos[Overhead_hora_COP])</f>
        <v/>
      </c>
      <c r="F3">
        <f>XLOOKUP([@Producto],tProductos[Producto],tProductos[Empaque_unit_COP])</f>
        <v/>
      </c>
      <c r="G3">
        <f>([@Costo_materiales_lote]+[@MO_lote]+[@Ind_lote]) / [@Rendimiento_unid] + [@Empaque_unit_COP]</f>
        <v/>
      </c>
      <c r="H3">
        <f>XLOOKUP([@Producto],tProductos[Producto],tProductos[Margen_objetivo])</f>
        <v/>
      </c>
      <c r="I3">
        <f>XLOOKUP([@Producto],tProductos[Producto],tProductos[IVA_venta])</f>
        <v/>
      </c>
      <c r="J3">
        <f>[@Costo_total_unit]/(1-[@Margen_objetivo])</f>
        <v/>
      </c>
      <c r="K3">
        <f>[@Precio_sin_IVA]*(1+[@IVA_venta])</f>
        <v/>
      </c>
      <c r="L3">
        <f>ROUNDUP([@Precio_con_IVA],-2)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2025-08-31T02:08:22Z</dcterms:created>
  <dcterms:modified xsi:type="dcterms:W3CDTF">2025-08-31T02:08:22Z</dcterms:modified>
</cp:coreProperties>
</file>