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1410" documentId="13_ncr:1_{9994D86B-CAFE-4D35-B304-E4420B10AAFD}" xr6:coauthVersionLast="47" xr6:coauthVersionMax="47" xr10:uidLastSave="{95CBB794-929E-4A06-87AD-580D09E792C0}"/>
  <bookViews>
    <workbookView xWindow="-108" yWindow="-108" windowWidth="23256" windowHeight="12456" activeTab="1" xr2:uid="{00000000-000D-0000-FFFF-FFFF00000000}"/>
  </bookViews>
  <sheets>
    <sheet name="scopus results" sheetId="1" r:id="rId1"/>
    <sheet name="WEB OF SCIENCE 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E77" i="3"/>
  <c r="E189" i="3"/>
  <c r="A336" i="1"/>
  <c r="H1" i="1" s="1"/>
  <c r="I3" i="3"/>
  <c r="G49" i="1"/>
  <c r="G92" i="1"/>
  <c r="G91" i="1"/>
  <c r="G140" i="1"/>
  <c r="G48" i="1"/>
  <c r="G139" i="1"/>
  <c r="G113" i="1"/>
  <c r="G138" i="1"/>
  <c r="G112" i="1"/>
  <c r="G75" i="1"/>
  <c r="G111" i="1"/>
  <c r="G208" i="1"/>
  <c r="G256" i="1"/>
  <c r="G172" i="1"/>
  <c r="G206" i="1"/>
  <c r="G207" i="1"/>
  <c r="G204" i="1"/>
  <c r="G205" i="1"/>
  <c r="G171" i="1"/>
  <c r="G203" i="1"/>
  <c r="G255" i="1"/>
  <c r="G202" i="1"/>
  <c r="G254" i="1"/>
  <c r="G196" i="1"/>
  <c r="G197" i="1"/>
  <c r="G253" i="1"/>
  <c r="G198" i="1"/>
  <c r="G199" i="1"/>
  <c r="G170" i="1"/>
  <c r="G200" i="1"/>
  <c r="G201" i="1"/>
  <c r="G195" i="1"/>
  <c r="G169" i="1"/>
  <c r="G168" i="1"/>
  <c r="G252" i="1"/>
  <c r="G166" i="1"/>
  <c r="G194" i="1"/>
  <c r="G167" i="1"/>
  <c r="G251" i="1"/>
  <c r="G164" i="1"/>
  <c r="G165" i="1"/>
  <c r="G163" i="1"/>
  <c r="G250" i="1"/>
  <c r="G249" i="1"/>
  <c r="G162" i="1"/>
  <c r="G137" i="1"/>
  <c r="G192" i="1"/>
  <c r="G193" i="1"/>
  <c r="G248" i="1"/>
  <c r="G247" i="1"/>
  <c r="G246" i="1"/>
  <c r="G191" i="1"/>
  <c r="G136" i="1"/>
  <c r="G135" i="1"/>
  <c r="G188" i="1"/>
  <c r="G161" i="1"/>
  <c r="G189" i="1"/>
  <c r="G190" i="1"/>
  <c r="G245" i="1"/>
  <c r="G159" i="1"/>
  <c r="G243" i="1"/>
  <c r="G185" i="1"/>
  <c r="G186" i="1"/>
  <c r="G244" i="1"/>
  <c r="G187" i="1"/>
  <c r="G160" i="1"/>
  <c r="G241" i="1"/>
  <c r="G242" i="1"/>
  <c r="G239" i="1"/>
  <c r="G240" i="1"/>
  <c r="G134" i="1"/>
  <c r="G158" i="1"/>
  <c r="G309" i="1"/>
  <c r="G238" i="1"/>
  <c r="G236" i="1"/>
  <c r="G237" i="1"/>
  <c r="G333" i="1"/>
  <c r="G307" i="1"/>
  <c r="G308" i="1"/>
  <c r="G306" i="1"/>
  <c r="G234" i="1"/>
  <c r="G332" i="1"/>
  <c r="G235" i="1"/>
  <c r="G303" i="1"/>
  <c r="G304" i="1"/>
  <c r="G305" i="1"/>
  <c r="G331" i="1"/>
  <c r="G233" i="1"/>
  <c r="G301" i="1"/>
  <c r="G302" i="1"/>
  <c r="G299" i="1"/>
  <c r="G300" i="1"/>
  <c r="G298" i="1"/>
  <c r="G328" i="1"/>
  <c r="G329" i="1"/>
  <c r="G297" i="1"/>
  <c r="G232" i="1"/>
  <c r="G330" i="1"/>
  <c r="G292" i="1"/>
  <c r="G293" i="1"/>
  <c r="G294" i="1"/>
  <c r="G295" i="1"/>
  <c r="G296" i="1"/>
  <c r="G327" i="1"/>
  <c r="G291" i="1"/>
  <c r="G326" i="1"/>
  <c r="G324" i="1"/>
  <c r="G289" i="1"/>
  <c r="G231" i="1"/>
  <c r="G325" i="1"/>
  <c r="G290" i="1"/>
  <c r="G287" i="1"/>
  <c r="G288" i="1"/>
  <c r="G230" i="1"/>
  <c r="G228" i="1"/>
  <c r="G285" i="1"/>
  <c r="G229" i="1"/>
  <c r="G286" i="1"/>
  <c r="G225" i="1"/>
  <c r="G226" i="1"/>
  <c r="G227" i="1"/>
  <c r="G283" i="1"/>
  <c r="G284" i="1"/>
  <c r="G282" i="1"/>
  <c r="G224" i="1"/>
  <c r="G323" i="1"/>
  <c r="G322" i="1"/>
  <c r="G281" i="1"/>
  <c r="G321" i="1"/>
  <c r="G319" i="1"/>
  <c r="G320" i="1"/>
  <c r="G318" i="1"/>
  <c r="G317" i="1"/>
  <c r="G280" i="1"/>
  <c r="G110" i="1"/>
  <c r="G47" i="1"/>
  <c r="G133" i="1"/>
  <c r="G90" i="1"/>
  <c r="G109" i="1"/>
  <c r="G132" i="1"/>
  <c r="G60" i="1"/>
  <c r="G46" i="1"/>
  <c r="G59" i="1"/>
  <c r="G108" i="1"/>
  <c r="G131" i="1"/>
  <c r="G58" i="1"/>
  <c r="G107" i="1"/>
  <c r="G130" i="1"/>
  <c r="G129" i="1"/>
  <c r="G128" i="1"/>
  <c r="G57" i="1"/>
  <c r="G127" i="1"/>
  <c r="G106" i="1"/>
  <c r="G33" i="1"/>
  <c r="G20" i="1"/>
  <c r="G19" i="1"/>
  <c r="G24" i="1"/>
  <c r="G2" i="1"/>
  <c r="G4" i="1"/>
  <c r="G28" i="1"/>
  <c r="G32" i="1"/>
  <c r="G23" i="1"/>
  <c r="G7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" i="3"/>
  <c r="F4" i="3"/>
  <c r="F5" i="3"/>
  <c r="F2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8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8" i="3"/>
  <c r="E17" i="3"/>
  <c r="E13" i="3"/>
  <c r="E12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<sst xmlns="http://schemas.openxmlformats.org/spreadsheetml/2006/main" count="1984" uniqueCount="1555">
  <si>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</si>
  <si>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</si>
  <si>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</si>
  <si>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</si>
  <si>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</si>
  <si>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</si>
  <si>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</si>
  <si>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</si>
  <si>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</si>
  <si>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</si>
  <si>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</si>
  <si>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</si>
  <si>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</si>
  <si>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</si>
  <si>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</si>
  <si>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</si>
  <si>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</si>
  <si>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</si>
  <si>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</si>
  <si>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</si>
  <si>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</si>
  <si>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</si>
  <si>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</si>
  <si>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</si>
  <si>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</si>
  <si>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</si>
  <si>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</si>
  <si>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</si>
  <si>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</si>
  <si>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</si>
  <si>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</si>
  <si>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</si>
  <si>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</si>
  <si>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</si>
  <si>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</si>
  <si>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</si>
  <si>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</si>
  <si>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</si>
  <si>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</si>
  <si>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</si>
  <si>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</si>
  <si>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</si>
  <si>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</si>
  <si>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</si>
  <si>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</si>
  <si>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</si>
  <si>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</si>
  <si>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</si>
  <si>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</si>
  <si>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</si>
  <si>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</si>
  <si>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</si>
  <si>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</si>
  <si>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</si>
  <si>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</si>
  <si>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</si>
  <si>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</si>
  <si>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</si>
  <si>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</si>
  <si>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</si>
  <si>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</si>
  <si>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</si>
  <si>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</si>
  <si>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</si>
  <si>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</si>
  <si>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</si>
  <si>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</si>
  <si>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</si>
  <si>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</si>
  <si>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</si>
  <si>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</si>
  <si>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</si>
  <si>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</si>
  <si>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</si>
  <si>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</si>
  <si>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</si>
  <si>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</si>
  <si>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</si>
  <si>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</si>
  <si>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</si>
  <si>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</si>
  <si>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</si>
  <si>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</si>
  <si>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</si>
  <si>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</si>
  <si>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</si>
  <si>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</si>
  <si>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</si>
  <si>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</si>
  <si>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</si>
  <si>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</si>
  <si>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</si>
  <si>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</si>
  <si>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</si>
  <si>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</si>
  <si>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</si>
  <si>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</si>
  <si>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</si>
  <si>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</si>
  <si>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</si>
  <si>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</si>
  <si>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</si>
  <si>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</si>
  <si>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</si>
  <si>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</si>
  <si>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</si>
  <si>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</si>
  <si>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</si>
  <si>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</si>
  <si>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</si>
  <si>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</si>
  <si>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</si>
  <si>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</si>
  <si>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</si>
  <si>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</si>
  <si>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</si>
  <si>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</si>
  <si>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</si>
  <si>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</si>
  <si>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</si>
  <si>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</si>
  <si>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</si>
  <si>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</si>
  <si>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</si>
  <si>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</si>
  <si>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</si>
  <si>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</si>
  <si>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</si>
  <si>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</si>
  <si>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</si>
  <si>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</si>
  <si>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</si>
  <si>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</si>
  <si>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</si>
  <si>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</si>
  <si>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</si>
  <si>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</si>
  <si>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</si>
  <si>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</si>
  <si>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</si>
  <si>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</si>
  <si>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</si>
  <si>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</si>
  <si>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</si>
  <si>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</si>
  <si>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</si>
  <si>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</si>
  <si>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</si>
  <si>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</si>
  <si>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</si>
  <si>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</si>
  <si>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</si>
  <si>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</si>
  <si>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</si>
  <si>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</si>
  <si>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</si>
  <si>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</si>
  <si>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</si>
  <si>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</si>
  <si>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</si>
  <si>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</si>
  <si>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</si>
  <si>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</si>
  <si>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</si>
  <si>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</si>
  <si>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</si>
  <si>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</si>
  <si>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</si>
  <si>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</si>
  <si>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</si>
  <si>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</si>
  <si>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</si>
  <si>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</si>
  <si>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</si>
  <si>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</si>
  <si>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</si>
  <si>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</si>
  <si>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</si>
  <si>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</si>
  <si>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</si>
  <si>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</si>
  <si>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</si>
  <si>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</si>
  <si>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</si>
  <si>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</si>
  <si>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</si>
  <si>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</si>
  <si>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</si>
  <si>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</si>
  <si>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</si>
  <si>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</si>
  <si>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</si>
  <si>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</si>
  <si>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</si>
  <si>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</si>
  <si>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</si>
  <si>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</si>
  <si>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</si>
  <si>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</si>
  <si>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</si>
  <si>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</si>
  <si>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</si>
  <si>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</si>
  <si>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</si>
  <si>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</si>
  <si>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</si>
  <si>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</si>
  <si>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</si>
  <si>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</si>
  <si>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</si>
  <si>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</si>
  <si>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</si>
  <si>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</si>
  <si>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</si>
  <si>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</si>
  <si>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</si>
  <si>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</si>
  <si>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</si>
  <si>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</si>
  <si>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</si>
  <si>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</si>
  <si>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</si>
  <si>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</si>
  <si>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</si>
  <si>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</si>
  <si>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</si>
  <si>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</si>
  <si>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</si>
  <si>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</si>
  <si>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</si>
  <si>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</si>
  <si>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</si>
  <si>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</si>
  <si>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</si>
  <si>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</si>
  <si>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</si>
  <si>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</si>
  <si>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</si>
  <si>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</si>
  <si>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</si>
  <si>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</si>
  <si>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</si>
  <si>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</si>
  <si>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</si>
  <si>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</si>
  <si>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</si>
  <si>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</si>
  <si>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</si>
  <si>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</si>
  <si>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</si>
  <si>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</si>
  <si>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</si>
  <si>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</si>
  <si>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</si>
  <si>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</si>
  <si>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</si>
  <si>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</si>
  <si>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</si>
  <si>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</si>
  <si>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</si>
  <si>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</si>
  <si>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</si>
  <si>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</si>
  <si>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</si>
  <si>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</si>
  <si>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</si>
  <si>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</si>
  <si>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</si>
  <si>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</si>
  <si>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</si>
  <si>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</si>
  <si>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</si>
  <si>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</si>
  <si>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</si>
  <si>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</si>
  <si>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</si>
  <si>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</si>
  <si>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</si>
  <si>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</si>
  <si>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</si>
  <si>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</si>
  <si>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</si>
  <si>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</si>
  <si>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</si>
  <si>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</si>
  <si>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</si>
  <si>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</si>
  <si>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</si>
  <si>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</si>
  <si>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</si>
  <si>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</si>
  <si>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</si>
  <si>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</si>
  <si>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</si>
  <si>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</si>
  <si>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</si>
  <si>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</si>
  <si>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</si>
  <si>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</si>
  <si>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</si>
  <si>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</si>
  <si>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</si>
  <si>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</si>
  <si>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</si>
  <si>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</si>
  <si>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</si>
  <si>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</si>
  <si>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</si>
  <si>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</si>
  <si>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</si>
  <si>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</si>
  <si>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</si>
  <si>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</si>
  <si>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</si>
  <si>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</si>
  <si>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</si>
  <si>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</si>
  <si>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</si>
  <si>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</si>
  <si>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</si>
  <si>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</si>
  <si>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</si>
  <si>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</si>
  <si>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</si>
  <si>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</si>
  <si>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</si>
  <si>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</si>
  <si>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</si>
  <si>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</si>
  <si>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</si>
  <si>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</si>
  <si>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</si>
  <si>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</si>
  <si>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</si>
  <si>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</si>
  <si>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</si>
  <si>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</si>
  <si>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</si>
  <si>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</si>
  <si>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</si>
  <si>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</si>
  <si>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</si>
  <si>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</si>
  <si>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</si>
  <si>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</si>
  <si>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</si>
  <si>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</si>
  <si>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</si>
  <si>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</si>
  <si>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</si>
  <si>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</si>
  <si>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</si>
  <si>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</si>
  <si>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</si>
  <si>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</si>
  <si>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</si>
  <si>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</si>
  <si>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</si>
  <si>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</si>
  <si>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</si>
  <si>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</si>
  <si>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</si>
  <si>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</si>
  <si>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</si>
  <si>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</si>
  <si>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</si>
  <si>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</si>
  <si>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</si>
  <si>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</si>
  <si>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</si>
  <si>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</si>
  <si>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</si>
  <si>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</si>
  <si>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</si>
  <si>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</si>
  <si>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</si>
  <si>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</si>
  <si>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</si>
  <si>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</si>
  <si>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</si>
  <si>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</si>
  <si>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</si>
  <si>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</si>
  <si>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</si>
  <si>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</si>
  <si>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</si>
  <si>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</si>
  <si>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</si>
  <si>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</si>
  <si>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</si>
  <si>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</si>
  <si>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</si>
  <si>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</si>
  <si>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</si>
  <si>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</si>
  <si>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</si>
  <si>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</si>
  <si>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</si>
  <si>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</si>
  <si>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</si>
  <si>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</si>
  <si>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</si>
  <si>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</si>
  <si>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</si>
  <si>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</si>
  <si>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</si>
  <si>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</si>
  <si>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</si>
  <si>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</si>
  <si>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</si>
  <si>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</si>
  <si>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</si>
  <si>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</si>
  <si>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</si>
  <si>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</si>
  <si>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</si>
  <si>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</si>
  <si>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</si>
  <si>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</si>
  <si>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</si>
  <si>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</si>
  <si>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</si>
  <si>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</si>
  <si>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</si>
  <si>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</si>
  <si>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</si>
  <si>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</si>
  <si>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</si>
  <si>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</si>
  <si>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</si>
  <si>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</si>
  <si>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</si>
  <si>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</si>
  <si>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</si>
  <si>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</si>
  <si>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</si>
  <si>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</si>
  <si>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</si>
  <si>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</si>
  <si>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</si>
  <si>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</si>
  <si>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</si>
  <si>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</si>
  <si>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</si>
  <si>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</si>
  <si>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</si>
  <si>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</si>
  <si>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</si>
  <si>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</si>
  <si>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</si>
  <si>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</si>
  <si>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</si>
  <si>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</si>
  <si>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</si>
  <si>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</si>
  <si>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</si>
  <si>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</si>
  <si>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</si>
  <si>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</si>
  <si>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</si>
  <si>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</si>
  <si>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</si>
  <si>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</si>
  <si>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</si>
  <si>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</si>
  <si>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</si>
  <si>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</si>
  <si>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</si>
  <si>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</si>
  <si>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</si>
  <si>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</si>
  <si>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</si>
  <si>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</si>
  <si>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</si>
  <si>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</si>
  <si>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</si>
  <si>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</si>
  <si>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</si>
  <si>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</si>
  <si>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</si>
  <si>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</si>
  <si>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</si>
  <si>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</si>
  <si>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</si>
  <si>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</si>
  <si>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</si>
  <si>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</si>
  <si>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</si>
  <si>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</si>
  <si>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</si>
  <si>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</si>
  <si>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</si>
  <si>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</si>
  <si>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</si>
  <si>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</si>
  <si>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</si>
  <si>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</si>
  <si>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</si>
  <si>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</si>
  <si>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</si>
  <si>
    <t>The environmental impact of insulation</t>
  </si>
  <si>
    <t>A comparative life cycle assessment of building insulation products made of stone wool, paper wool and flax</t>
  </si>
  <si>
    <t>A comparative life cycle assessment of building insulation products made of stone wool, paper wool and flax - Part 2: Comparative assessment</t>
  </si>
  <si>
    <t>A life cycle impact assessment procedure with resource groups as areas of protection</t>
  </si>
  <si>
    <t>A risk-based approach to health impact assessment for input-output analysis - Part 2: Case study of insulation</t>
  </si>
  <si>
    <t>Milp approach in analysis of low energy building elements influence on energy savings in residences</t>
  </si>
  <si>
    <t>Environmental life cycle assessment of a commercial office building in Thailand</t>
  </si>
  <si>
    <t>Wool Production, Processing and Use - Environmental Aspects</t>
  </si>
  <si>
    <t>Life Cycle Assessment of Synthetic Leather</t>
  </si>
  <si>
    <t>Global warming contributions from wheat, sheep meat and wool production in Victoria, Australia - a life cycle assessment</t>
  </si>
  <si>
    <t>THE ENVIRONMENTAL ANALYSIS OF INSULATION MATERIALS IN THE CONTEXT OF SUSTAINABLE BUILDINGS</t>
  </si>
  <si>
    <t>Use of fluorescent lectin binding to distinguish Teladorsagia circumcincta and Haemonchus contortus eggs, third-stage larvae and adult worms</t>
  </si>
  <si>
    <t>Towards a methodology to determine generic LCA data on building materials for a national context</t>
  </si>
  <si>
    <t>Building Materials in the Operational Phase Impacts of Direct Carbon Exchanges and Hygrothermal Effects</t>
  </si>
  <si>
    <t>Life Cycle Assessment of External Thermal Insulation Composite System Based on Rock Wool Board</t>
  </si>
  <si>
    <t>COMPARATIVE ANALYSIS BASED AT THE LIFE CYCLE ASSESSMENT ON HOISTWAY OF RESIDENTIAL BUILDINGS</t>
  </si>
  <si>
    <t>Lifecycle primary energy analysis of low-energy timber building systems for multi-storey residential buildings</t>
  </si>
  <si>
    <t>Applying Fire-LCA Methodology to Fire Protection Systems in Buildings</t>
  </si>
  <si>
    <t>Using Life-Cycle Analysis to Assess Energy Savings Delivered by Building Insulation</t>
  </si>
  <si>
    <t>Life Cycle Assessment Used to Determine Potential Midpoint Environment Impact Factors and Water Footprint of Field-grown Tree Production Inputs and Processes</t>
  </si>
  <si>
    <t>Acoustic characterization of natural fibers for sound absorption applications</t>
  </si>
  <si>
    <t>Sustainable panels with recycled materials for building applications: environmental and acoustic characterization</t>
  </si>
  <si>
    <t>Environmental footprint of external thermal insulation composite systems with different insulation types</t>
  </si>
  <si>
    <t>Wool as an Heirloom: How Natural Fibres Can Reinvent Value in Terms of Money, Life-Span and Love</t>
  </si>
  <si>
    <t>Resource use and environmental impacts from Australian export lamb production: a life cycle assessment</t>
  </si>
  <si>
    <t>SELECTION OF ENVIRONMENTAL DATASETS AS GENERIC DATA: APPLICATION TO INSULATION MATERIALS WITHIN A NATIONAL CONTEXT</t>
  </si>
  <si>
    <t>Environmental assessment of facade-building systems and thermal insulation materials for different climatic conditions</t>
  </si>
  <si>
    <t>ENVIRONMENTAL FOOTPRINT IN THE PRODUCTION OF RECYCLED WOOL</t>
  </si>
  <si>
    <t>Use phase of wool apparel: a literature review for improving LCA</t>
  </si>
  <si>
    <t>Towards sustainable Rubia tinctorum L. dyeing of woven fabric: How life cycle assessment can contribute</t>
  </si>
  <si>
    <t>Life Cycle Assessment (LCA) of building materials for the evaluation of building sustainability: the case of thermal insulation materials</t>
  </si>
  <si>
    <t>Social Life Cycle Assessment in the Textile Sector: An Italian Case Study</t>
  </si>
  <si>
    <t>Applications of Building Insulation Products Based on Natural Wool and Hemp Fibers</t>
  </si>
  <si>
    <t>Does Use Matter? Comparison of Environmental Impacts of Clothing Based on Fiber Type</t>
  </si>
  <si>
    <t>The life cycle assessment related to insulation thickness of external walls of the airport</t>
  </si>
  <si>
    <t>Optimized Design of the District Heating System by Considering the Techno-Economic Aspects and Future Weather Projection</t>
  </si>
  <si>
    <t>Review of Methodological Choices in LCA-Based Textile and Apparel Rating Tools: Key Issues and Recommendations Relating to Assessment of Fabrics Made From Natural Fibre Types</t>
  </si>
  <si>
    <t>Evaluating the Environmental Performance of a Product/Service-System Business Model for Merino Wool Next-to-Skin Garments: The Case of Armadillo Merinox®</t>
  </si>
  <si>
    <t>Comparative Life Cycle Assessment of Cotton and Other Natural Fibers for Textile Applications</t>
  </si>
  <si>
    <t>Recycling of Wood-Polymer Composites in Relation to Substrates and Finished Products</t>
  </si>
  <si>
    <t>Multi-criteria analysis of ten single family houses regarding environmental impacts</t>
  </si>
  <si>
    <t>EARTH AS AN ALTERNATIVE INDICATOR REGARDING THE ECOLOGICAL CHARACTER OF BUILDING MATERIALS</t>
  </si>
  <si>
    <t>A LIFE CYCLE COSTING APPROACH TO DETERMINE THE OPTIMUM INSULATION THICKNESS OF EXISTING BUILDINGS</t>
  </si>
  <si>
    <t>ENVIRONMENTAL EVALUATION OF ALTERNATIVE WOOD-BASED EXTERNAL WALL ASSEMBLY</t>
  </si>
  <si>
    <t>Environmental burdens of External Thermal Insulation Systems. Expanded Polystyrene vs. Mineral Wool: Case Study from Poland</t>
  </si>
  <si>
    <t>Clothing Lifespans: What Should Be Measured and How</t>
  </si>
  <si>
    <t>Life-Cycle Assessment and Acoustic Simulation of Drywall Building Partitions with Bio-Based Materials</t>
  </si>
  <si>
    <t>Environmental Footprint of Cementitious Adhesives-Components of ETICS</t>
  </si>
  <si>
    <t>Life Cycle Assessment and Indoor Environmental Quality of Wooden Family Houses</t>
  </si>
  <si>
    <t>Interpreting environmental impacts in building design: Application of a comparative assertion method in the context of the EPD scheme for building products</t>
  </si>
  <si>
    <t>Assessment models and dynamic variables for dynamic life cycle assessment of buildings: a review</t>
  </si>
  <si>
    <t>Reducing environmental impacts from garments through best practice garment use and care, using the example of a Merino wool sweater</t>
  </si>
  <si>
    <t>Life Cycle Energy and Environmental Assessment of the Thermal Insulation Improvement in Residential Buildings</t>
  </si>
  <si>
    <t>Thermal performance and life cycle assessment of corn cob particleboards</t>
  </si>
  <si>
    <t>A systematic review of the life cycle inventory of clothing</t>
  </si>
  <si>
    <t>Economic and environmental assessment of thermal insulation. A case study in the Italian context</t>
  </si>
  <si>
    <t>Optimum Insulation Thickness, Energy Saving and Fuel Emission Calculation of Aboveground and Underground Pre-Insulated Pipes in Central Heating Systems</t>
  </si>
  <si>
    <t>Life cycle assessment to tackle the take-make-waste paradigm in the textiles production</t>
  </si>
  <si>
    <t>Life cycle impacts of sheep sector in Ontario, Canada</t>
  </si>
  <si>
    <t>Comparison of the Carbon Payback Period (CPP) of Different Variants of Insulation Materials and Existing External Walls in Selected European Countries</t>
  </si>
  <si>
    <t>Assessment of Energy, Environmental and Economic Costs of Buildings' Thermal Insulation-Influence of Type of Use and Climate</t>
  </si>
  <si>
    <t>Strategies to reduce environmental impacts from textiles: Extending clothing wear life compared to fibre displacement assessed using consequential LCA</t>
  </si>
  <si>
    <t>Systematic Insights into a Textile Industry: Reviewing Life Cycle Assessment and Eco-Design</t>
  </si>
  <si>
    <t>Mobilisation of textile waste to recover high added value products and energy for the transition to circular economy</t>
  </si>
  <si>
    <t>Comparing carbon footprints of sheep farming systems in semi-arid regions of India: A life cycle assessment study</t>
  </si>
  <si>
    <t>Energetic Performance of Natural Building Materials: Numerical Simulation and Experimental Evaluation</t>
  </si>
  <si>
    <t>Valorization of textile waste: non-woven structures and composites</t>
  </si>
  <si>
    <t>Author Full Names</t>
  </si>
  <si>
    <t>Article Title</t>
  </si>
  <si>
    <t>Publication Year</t>
  </si>
  <si>
    <t>DOI Link</t>
  </si>
  <si>
    <t>Hendriks, NA; de Hoog, J</t>
  </si>
  <si>
    <t/>
  </si>
  <si>
    <t>Brent, AC; Hietkamp, S</t>
  </si>
  <si>
    <t>10.1065/lca.2002.11.101</t>
  </si>
  <si>
    <t>Schmidt, AC; Jensen, AAC; Clausen, AU; Kamstrup, O; Postlehwaite, D</t>
  </si>
  <si>
    <t>Schmidt, AC; Jensen, AA; Clausen, AU; Kamstrup, O; Postlethwaite, D</t>
  </si>
  <si>
    <t>Brent, AC</t>
  </si>
  <si>
    <t>Nishioka, Y; Levy, JI; Norris, GA; Bennett, DH; Spengler, JD</t>
  </si>
  <si>
    <t>Bellekom, Sandra; Potting, Jose; Benders, Rene</t>
  </si>
  <si>
    <t>Pantovic, Katarina K.</t>
  </si>
  <si>
    <t>Kofoworola, Oyeshola F.; Gheewala, Shabbir H.</t>
  </si>
  <si>
    <t>10.1007/s11367-008-0012-1</t>
  </si>
  <si>
    <t>Russell, Ian</t>
  </si>
  <si>
    <t>Ding Shaolan; Shan Chen</t>
  </si>
  <si>
    <t>Biswas, Wahidul K.; Graham, John; Kelly, Kevin; John, Michele B.</t>
  </si>
  <si>
    <t>Zelazna, Agnieszka; Pawlowski, Artur</t>
  </si>
  <si>
    <t>Cay, Yusuf</t>
  </si>
  <si>
    <t>Kecebas, Ali; Alkan, Mehmet Ali; Bayhan, Mustafa</t>
  </si>
  <si>
    <t>Hillrichs, Katharina; Schnieder, Thomas; Forbes, Andrew B.; Simcock, David C.; Pedley, Kevin C.; Simpson, Heather V.</t>
  </si>
  <si>
    <t>10.1007/s00436-011-2511-4</t>
  </si>
  <si>
    <t>Hodkova, J.; Lasvaux, S.</t>
  </si>
  <si>
    <t>Brock, Philippa M.; Graham, Phillip; Madden, Patrick; Alcock, Douglas J.</t>
  </si>
  <si>
    <t>Nordby, Anne Sigrid; Shea, Andrew David</t>
  </si>
  <si>
    <t>Li Zhu; Gong Xianzheng; Wang Zhihong; Liu Yu</t>
  </si>
  <si>
    <t>Garcia Sanz-Calcedo, Justo; Pena-Corpa, Sergio</t>
  </si>
  <si>
    <t>Ingrao, Carlo; Lo Giudice, Agata; Tricase, Caterina; Rana, Roberto; Mbohwa, Charles; Siracusa, Valentina</t>
  </si>
  <si>
    <t>Dodoo, Ambrose; Gustavsson, Leif; Sathre, Roger</t>
  </si>
  <si>
    <t>10.1016/j.enbuild.2014.06.003</t>
  </si>
  <si>
    <t>Rodrigues, Carla; Freire, Fausto</t>
  </si>
  <si>
    <t>Sjostrom, Johan; Lange, David</t>
  </si>
  <si>
    <t>Gorshkov, Alexander; Vatin, Nikolai; Nemova, Darya; Shabaldin, Alexandr; Melnikova, Liubov; Kirill, Paramonov</t>
  </si>
  <si>
    <t>Ingram, Dewayne L.; Hall, Charles R.</t>
  </si>
  <si>
    <t>10.21273/JASHS.140.1.102</t>
  </si>
  <si>
    <t>Wiedemann, Stephen G.; Ledgard, Stewart F.; Henry, Beverley K.; Yan, Ming-Jia; Mao, Ningtao; Russell, Stephen J.</t>
  </si>
  <si>
    <t>Silvestre, Jose Dinis; Lasvaux, Sebastien; Hodkova, Julie; de Brito, Jorge; Pinheiro, Manuel Duarte</t>
  </si>
  <si>
    <t>Van der Velden, Natascha M.; Kuusk, Kristi; Koehler, Andreas R.</t>
  </si>
  <si>
    <t>Berardi, Umberto; Iannace, Gino</t>
  </si>
  <si>
    <t>10.1016/j.buildenv.2015.05.029</t>
  </si>
  <si>
    <t>Buratti, Cinzia; Belloni, Elisa; Lascaro, Elisa; Lopez, Giovanna Anna; Ricciardi, Paola</t>
  </si>
  <si>
    <t>Potrc, Tajda; Rebec, Katja Malovrh; Knez, Friderik; Kunic, Roman; Legat, Andraz</t>
  </si>
  <si>
    <t>Tewolde, F. T.; Takagaki, M.; Oshio, T.; Maruo, T.; Kozai, T.; Kikuchi, Y.</t>
  </si>
  <si>
    <t>Klepp, Ingun Grimstad; Tobiasson, Tone Skardal; Laitala, Kirsi</t>
  </si>
  <si>
    <t>Wiedemann, S. G.; Yan, M. -J.; Murphy, C. M.</t>
  </si>
  <si>
    <t>Silvestre, J. D.; Lasvaux, S.; Hodkova, J.; de Brito, J.; Pinheiro, M. D.</t>
  </si>
  <si>
    <t>Su, Xing; Luo, Zhong; Li, Yuhang; Huang, Chenhao</t>
  </si>
  <si>
    <t>Deviatkin, Ivan; Kapustina, Viktoriia; Vasilieva, Elena; Isyanov, Lev; Horttanainen, Mika</t>
  </si>
  <si>
    <t>Sierra-Perez, Jorge; Boschmonart-Rives, Jesus; Gabarrell, Xavier</t>
  </si>
  <si>
    <t>Wiedemann, S. G.; Yan, M. -J.; Henry, B. K.; Murphy, C. M.</t>
  </si>
  <si>
    <t>Cottle, David J.; Cowie, Annette L.</t>
  </si>
  <si>
    <t>Ingrao, Carlo; Scrucca, Flavio; Tricase, Caterina; Asdrubali, Francesco</t>
  </si>
  <si>
    <t>Bamonti, Silvia; Spinelli, Rosangela; Bonoli, Alessandra</t>
  </si>
  <si>
    <t>Laitala, K.; Klepp, I. G.; Henry, B.</t>
  </si>
  <si>
    <t>10.3233/978-1-61499-820-4-202</t>
  </si>
  <si>
    <t>Agnhage, Tove; Perwuelz, Anne; Behary, Nemeshwaree</t>
  </si>
  <si>
    <t>10.1016/j.jclepro.2016.09.183</t>
  </si>
  <si>
    <t>Sohn, Joshua L.; Kalbar, Pradip P.; Banta, Gary T.; Birkved, Morten</t>
  </si>
  <si>
    <t>Carabano, Rocio; Ma Hernando, Susana; Ruiz, Diego; Bedoya, Cesar</t>
  </si>
  <si>
    <t>de la Hera, Guillermo; Munoz-Diaz, Itziar; Cifrian, Eva; Vitorica, Ramon; San Martin, Oskar Gutierrez; Viguri, Javier R.</t>
  </si>
  <si>
    <t>Testa, Francesco; Nucci, Benedetta; Iraldo, Fabio; Appolloni, Andrea; Daddi, Tiberio</t>
  </si>
  <si>
    <t>Braulio-Gonzalo, Marta; Bovea, Maria D.</t>
  </si>
  <si>
    <t>de Guinoa, Aitana Saez; Zambrana-Vasquez, David; Alcalde, Alfonso; Corradini, Marco; Zabalza-Bribian, Ignacio</t>
  </si>
  <si>
    <t>Sohn, Joshua L.; Kalbar, Pradip P.; Birkved, Morten</t>
  </si>
  <si>
    <t>Cetiner, Ikbal; Metin, Buket</t>
  </si>
  <si>
    <t>Lenzo, Paola; Traverso, Marzia; Salomone, Roberta; Ioppolo, Giuseppe</t>
  </si>
  <si>
    <t>Savio, Lorenzo; Bosia, Daniela; Patrucco, Alessia; Pennacchio, Roberto; Piccablotto, Gabriele; Thiebat, Francesca</t>
  </si>
  <si>
    <t>10.1007/978-3-319-64641-1_20</t>
  </si>
  <si>
    <t>Zhuk, Petr</t>
  </si>
  <si>
    <t>Lamnatou, Chr.; Motte, F.; Notton, G.; Chemisana, D.; Cristofari, C.</t>
  </si>
  <si>
    <t>Laitala, Kirsi; Klepp, Ingun Grimstad; Henry, Beverley</t>
  </si>
  <si>
    <t>10.3390/su10072524</t>
  </si>
  <si>
    <t>Engelbrecht, Shaun; Ladenika, A. O.; MacGregor, O. S.; Maepa, Mpho; Bodunrin, Michael O.; Burman, Nicholas W.; Croft, Joel; Goga, Taahira; Harding, Kevin G.</t>
  </si>
  <si>
    <t>Kon, Okan; Caner, Ismail</t>
  </si>
  <si>
    <t>10.1504/IJSA.2019.101748</t>
  </si>
  <si>
    <t>Dougherty, Holland C.; Oltjen, James W.; Mitloehner, Frank M.; DePeters, Edward J.; Pettey, Lee Allen; Macon, Dan; Finzel, Julie; Rodrigues, Kimberly; Kebreab, Ermias</t>
  </si>
  <si>
    <t>Gounni, Ayoub; Mabrouk, Mohamed Tahar; El Wazna, Mohamed; Kheiri, Abdelhamid; El Alami, Mustapha; El Bouari, Abdeslam; Cherkaoui, Omar</t>
  </si>
  <si>
    <t>Kavian, Soheil; Pour, Mohsen Saffari; Hakkaki-Fard, Ali</t>
  </si>
  <si>
    <t>Wiedemann, Stephen G.; Simmons, Aaron; Watson, Kalinda J. L.; Biggs, Leo</t>
  </si>
  <si>
    <t>Watson, K. J.; Wiedemann, S. G.</t>
  </si>
  <si>
    <t>10.3390/su11143846</t>
  </si>
  <si>
    <t>Vinci, Giuliana; Rapa, Mattia</t>
  </si>
  <si>
    <t>Casadesus, Marta; Dolores Alvarez, Maria; Garrido, Nuria; Molins, Gemma; Macanas, Jorge; Colom, Xavier; Canavate, Javier; Carrillo, Fernando</t>
  </si>
  <si>
    <t>Yasin, Sohail; Sun, Danmei</t>
  </si>
  <si>
    <t>Bech, Nynne Marie; Birkved, Morten; Charnley, Fiona; Kjaer, Louise Laumann; Pigosso, Daniela C. A.; Hauschild, Michael Z.; McAloone, Tim C.; Moreno, Mariale</t>
  </si>
  <si>
    <t>La Rosa, Angela D.; Grammatikos, Sotirios A.</t>
  </si>
  <si>
    <t>Stanaszek-Tomal, Elzbieta</t>
  </si>
  <si>
    <t>10.1088/1757-899X/960/2/022053</t>
  </si>
  <si>
    <t>Monokova, Andrea; Vilcekova, Silvia</t>
  </si>
  <si>
    <t>10.1051/matecconf/202031000065</t>
  </si>
  <si>
    <t>Roxana, Florescu Elena; Maria, Bica Smaranda</t>
  </si>
  <si>
    <t>Caglayan, Semih; Ozorhon, Beliz; Ozcan-Deniz, Gulbin; Yigit, Sadik</t>
  </si>
  <si>
    <t>Mitterpach, Jozef; Igaz, Rastislav; Stefko, Jozef</t>
  </si>
  <si>
    <t>Casas-Ledon, Yannay; Daza Salgado, Karen; Cea, Juan; Arteaga-Perez, Luis E.; Fuentealba, Cecilia</t>
  </si>
  <si>
    <t>Sabia, Emilio; Gauly, Matthias; Napolitano, Fabio; Serrapica, Francesco; Cifuni, Giulia Francesca; Claps, Salvatore</t>
  </si>
  <si>
    <t>Wiedemann, S. G.; Biggs, L.; Nebel, B.; Bauch, K.; Laitala, K.; Klepp, I. G.; Swan, P. G.; Watson, K.</t>
  </si>
  <si>
    <t>Michalak, Jacek; Czernik, Sebastian; Marcinek, Marta; Michalowski, Bartosz</t>
  </si>
  <si>
    <t>Klepp, Ingun Grimstad; Laitala, Kirsi; Wiedemann, Stephen</t>
  </si>
  <si>
    <t>10.3390/su12156219</t>
  </si>
  <si>
    <t>Quintana-Gallardo, Alberto; Alba, Jesus; del Rey, Romina; Crespo-Amoros, Jose E.; Guillen-Guillamon, Ignacio</t>
  </si>
  <si>
    <t>Akyuz, Mehmet Kadri</t>
  </si>
  <si>
    <t>Llantoy, Noelia; Chafer, Marta; Cabeza, Luisa F.</t>
  </si>
  <si>
    <t>Czernik, Sebastian; Marcinek, Marta; Michalowski, Bartosz; Piasecki, Michal; Tomaszewska, Justyna; Michalak, Jacek</t>
  </si>
  <si>
    <t>Zieger, Vladimir; Lecompte, Thibaut; de Menibus, Arthur Hellouin</t>
  </si>
  <si>
    <t>Vilcekova, Silvia; Harcarova, Katarina; Monokova, Andrea; Burdova, Eva Kridlova</t>
  </si>
  <si>
    <t>Martin, Michael; Herlaar, Sjoerd</t>
  </si>
  <si>
    <t>Bozicek, David; Kunic, Roman; Kosir, Mitja</t>
  </si>
  <si>
    <t>10.1016/j.jclepro.2020.123399</t>
  </si>
  <si>
    <t>La Rosa, Angela Daniela; Grammatikos, Sotirios A.; Ursan, George Andrei; Aradoaei, Sebastian; Summerscales, John; Ciobanu, Romeo Cristian; Schreiner, Cristina Mihaela</t>
  </si>
  <si>
    <t>Ntimugura, Fabrice; Vinai, Raffaele; Harper, Anna B.; Walker, Pete</t>
  </si>
  <si>
    <t>Bhatt, Akul; Abbassi, Bassim</t>
  </si>
  <si>
    <t>Liu, Fang; Liu, Hanqiao; Yang, Na; Wang, Lei</t>
  </si>
  <si>
    <t>Su, Shu; Zhang, Huan; Zuo, Jian; Li, Xiaodong; Yuan, Jingfeng</t>
  </si>
  <si>
    <t>10.1007/s11356-021-13614-1</t>
  </si>
  <si>
    <t>Hasan, Shaheen; Khan, Sabah; Uddin, Saif</t>
  </si>
  <si>
    <t>Schulte, Maximilian; Lewandowski, Iris; Pude, Ralf; Wagner, Moritz</t>
  </si>
  <si>
    <t>Wiedemann, Stephen G.; Biggs, Leo; Nguyen, Quan V.; Clarke, Simon J.; Laitala, Kirsi; Klepp, Ingun G.</t>
  </si>
  <si>
    <t>10.1007/s11367-021-01909-x</t>
  </si>
  <si>
    <t>Prado, Valentina; Daystar, Jesse; Wallace, Michele; Pires, Steven; Laurin, Lise</t>
  </si>
  <si>
    <t>Cusenza, Maria Anna; Gulotta, Teresa Maria; Mistretta, Marina; Cellura, Maurizio</t>
  </si>
  <si>
    <t>Ramos, Ana; Briga-Sa, Ana; Pereira, Sandra; Correia, Mariana; Pinto, Jorge; Bentes, Isabel; Teixeira, Carlos A.</t>
  </si>
  <si>
    <t>10.1016/j.jobe.2021.102998</t>
  </si>
  <si>
    <t>Ata-Ali, N.; Penades-Pla, V; Martinez-Munoz, D.; Yepes, V</t>
  </si>
  <si>
    <t>Munasinghe, Prabod; Druckman, Angela; Dissanayake, D. G. K.</t>
  </si>
  <si>
    <t>10.1016/j.jclepro.2021.128852</t>
  </si>
  <si>
    <t>Annibaldi, V.; Cucchiella, F.; Rotilio, M.</t>
  </si>
  <si>
    <t>10.1016/j.cscm.2021.e00682</t>
  </si>
  <si>
    <t>Kumar, Dileep; Khan, Muhammad Haris; Abro, Muhammad Ali</t>
  </si>
  <si>
    <t>Carrieres, Vincent; Lemieux, Andree-Anne; Margni, Manuele; Pellerin, Robert; Cariou, Sylvain</t>
  </si>
  <si>
    <t>Wiedemann, Stephen G.; Biggs, Leo; Clarke, Simon J.; Russell, Stephen J.</t>
  </si>
  <si>
    <t>Estokova, Adriana; Fabianova, Martina Wolfova; Ondova, Marcela</t>
  </si>
  <si>
    <t>Yilmaz, Emrah; Aykanat, Batuhan; comak, Bekir</t>
  </si>
  <si>
    <t>Kon, Okan; Ilhan, Utku</t>
  </si>
  <si>
    <t>Bianco, Isabella; Gerboni, Raffaella; Picerno, Giuseppe; Blengini, Gian Andrea</t>
  </si>
  <si>
    <t>Bagheri, Sahar; Jafari Nodoushan, Reza; Azimzadeh, Mostafa</t>
  </si>
  <si>
    <t>Lopez-Garcia, Ana B.; Uceda-Rodriguez, Manuel; Leon-Gutierrez, Sara; Cobo-Ceacero, Carlos Javier; Moreno-Maroto, Jose Manuel</t>
  </si>
  <si>
    <t>Witzleben, Steffen</t>
  </si>
  <si>
    <t>Amicarelli, Vera; Bux, Christian; Spinelli, Maria Pia; Lagioia, Giovanni</t>
  </si>
  <si>
    <t>10.1016/j.wasman.2022.07.032</t>
  </si>
  <si>
    <t>10.1007/s11367-022-02105-1</t>
  </si>
  <si>
    <t>Altuntop, Enis Selcuk; Erdemir, Dogan</t>
  </si>
  <si>
    <t>Ferreira, Ana; Pinheiro, Manuel Duarte; de Brito, Jorge; Mateus, Ricardo</t>
  </si>
  <si>
    <t>Sadowski, Kajetan</t>
  </si>
  <si>
    <t>10.3390/en16010113</t>
  </si>
  <si>
    <t>Alsaqabi, Yazeed; Almhafdy, Abdulbasit; Haider, Husnain; Ghaffarianhoseini, Amirhosein; Ghaffarianhoseini, Ali; Ali, Ahmed AbdelMonteleb M.</t>
  </si>
  <si>
    <t>Raimundo, Antonio M.; Sousa, Afonso M.; Oliveira, A. Virgilio M.</t>
  </si>
  <si>
    <t>Phan, Kim; Ugduler, Sibel; Harinck, Lies; Denolf, Ruben; Roosen, Martijn; O'Rourke, Galahad; De Vos, Dirk; Van Speybroeck, Veronique; De Clerck, Karen; De Meester, Steven</t>
  </si>
  <si>
    <t>Botejara-Antunez, Manuel; Dominguez, Jaime Gonzalez; Garcia-Sanz-Calcedo, Justo</t>
  </si>
  <si>
    <t>Nautiyal, Mitali; Hunting, Amabel; Joseph, Frances; Cleveland, Donna</t>
  </si>
  <si>
    <t>Stanimirovic, Mirko; Vasov, Miomir; Mancic, Marko; Rancev, Boris; Medenica, Milena</t>
  </si>
  <si>
    <t>Huang, Jianen; Feng, Wei; Huang, Zhaochen; Wang, Shasha</t>
  </si>
  <si>
    <t>Hansen, Rasmus N. oddegaard; Hoxha, Endrit; Rasmussen, Freja Nygaard; Ryberg, Morten Walbech; Andersen, Camilla Ernst; Birgisdottir, Harpa</t>
  </si>
  <si>
    <t>Shin, Bigyeong; Wi, Seunghwan; Kim, Sumin</t>
  </si>
  <si>
    <t>Bianco, Isabella; Picerno, Giuseppe; Blengini, Gian Andrea</t>
  </si>
  <si>
    <t>Seyedabadi, Mohammad Reza; Abolhassani, Soroush Samareh; Eicker, Ursula</t>
  </si>
  <si>
    <t>Wiedemann, Stephen G.; Clarke, Simon J.; Nguyen, Quan V.; Cheah, Zhong Xiang; Simmons, Aaron T.</t>
  </si>
  <si>
    <t>10.1016/j.resconrec.2023.107119</t>
  </si>
  <si>
    <t>Bianco, Isabella; De Bona, Alice; Zanetti, Mariachiara; Panepinto, Deborah</t>
  </si>
  <si>
    <t>Nawrocka, Natalia; Machova, Michaela; Jensen, Rasmus Lund; Kanafani, Kai; Birgisdottir, Harpa; Hoxha, Endrit</t>
  </si>
  <si>
    <t>Alaux, Nicolas; Vasatko, Hana; Maierhofer, Dominik; Saade, Marcella Ruschi Mendes; Stavric, Milena; Passer, Alexander</t>
  </si>
  <si>
    <t>Alrasheed, Mohammed R. A.</t>
  </si>
  <si>
    <t>Fonseca, Ana; Ramalho, Edgar; Gouveia, Ana; Henriques, Rita; Figueiredo, Filipa; Nunes, Joao</t>
  </si>
  <si>
    <t>10.3390/su152115267</t>
  </si>
  <si>
    <t>Papamichael, Iliana; Voukkali, Irene; Economou, Florentios; Loizia, Pantelitsa; Demetriou, Giorgos; Esposito, Mark; Naddeo, Vincenzo; Liscio, Marco Ciro; Sospiro, Paolo; Zorpas, Antonis A.</t>
  </si>
  <si>
    <t>10.1016/j.envres.2023.117716</t>
  </si>
  <si>
    <t>Canbolat, A. S.</t>
  </si>
  <si>
    <t>Islam, Shafiqul; Bhat, Gajanan; Mani, Sudhagar</t>
  </si>
  <si>
    <t>Sarkar, Srobana; Lal, B.; Gautam, Priyanka; Bhatt, R. S.; Sahoo, A.</t>
  </si>
  <si>
    <t>10.1371/journal.pone.0292066</t>
  </si>
  <si>
    <t>Mastino, Costantino Carlo; Concu, Giovanna; Frattolillo, Andrea</t>
  </si>
  <si>
    <t>10.3390/en17040768</t>
  </si>
  <si>
    <t>Alves, Diana I.; Barreiros, Mariana; Fangueiro, Raul; Ferreira, Diana P.</t>
  </si>
  <si>
    <t>10.3389/fenvs.2024.1365162</t>
  </si>
  <si>
    <t>Mateo, A; Garrido, JJ; de la Lastra, JP; de las Mulas, JM; Moreno, A; Pintado, CO; Llanes, D</t>
  </si>
  <si>
    <t>A new epitope on sheep CD45R molecule detected by a monoclonal antibody</t>
  </si>
  <si>
    <t>10.1016/S0147-9571(98)00026-5</t>
  </si>
  <si>
    <t>Wang, Chengjie; Wang, Shiping; Zhou, He; Glindemann, Thomas</t>
  </si>
  <si>
    <t>Effects of forage composition and growing season on methane emission from sheep in the Inner Mongolia steppe of China</t>
  </si>
  <si>
    <t>10.1007/s11284-006-0191-9</t>
  </si>
  <si>
    <t>Styles, David; Jones, Michael B.</t>
  </si>
  <si>
    <t>Energy crops in Ireland: Quantifying the potential life-cycle greenhouse gas reductions of energy-crop electricity</t>
  </si>
  <si>
    <t>10.1016/j.biombioe.2007.05.003</t>
  </si>
  <si>
    <t>Cui Jing; Yu Yongling; Lv Lihua; Chen Chao</t>
  </si>
  <si>
    <t>Recycling Ways on Waste Fibers</t>
  </si>
  <si>
    <t>Peters, Greg M.; Wiedemann, Stephen G.; Rowley, Hazel V.; Tucker, Robyn W.</t>
  </si>
  <si>
    <t>Accounting for water use in Australian red meat production</t>
  </si>
  <si>
    <t>10.1007/s11367-010-0161-x</t>
  </si>
  <si>
    <t>Ibelli, A. M. G.; Nakata, L. C.; Andreo, R.; Coutinho, L. L.; Oliveira, M. C. S.; Amarante, A. F. T.; Furlong, J.; Zaros, L. G.; Regitano, L. C. A.</t>
  </si>
  <si>
    <t>mRNA profile of Nellore calves after primary infection with Haemonchus placei</t>
  </si>
  <si>
    <t>10.1016/j.vetpar.2010.11.013</t>
  </si>
  <si>
    <t>Peters, Gregory M.; Wiedemann, Stephen; Rowley, Hazel V.; Tucker, Robyn; Feitz, Andrew J.; Schulz, Matthias</t>
  </si>
  <si>
    <t>Assessing agricultural soil acidification and nutrient management in life cycle assessment</t>
  </si>
  <si>
    <t>10.1007/s11367-011-0279-5</t>
  </si>
  <si>
    <t>Abeliotis, Konstadinos; Detsis, Vassilis; Pappia, Christina</t>
  </si>
  <si>
    <t>Life cycle assessment of bean production in the Prespa National Park, Greece</t>
  </si>
  <si>
    <t>10.1016/j.jclepro.2012.09.032</t>
  </si>
  <si>
    <t>Ripoll-Bosch, R.; de Boer, I. J. M.; Bernues, A.; Vellinga, T. V.</t>
  </si>
  <si>
    <t>Accounting for multi-functionality of sheep farming in the carbon footprint of lamb: A comparison of three contrasting Mediterranean systems</t>
  </si>
  <si>
    <t>10.1016/j.agsy.2012.11.002</t>
  </si>
  <si>
    <t>Zonderland-Thomassen, M. A.; Lieffering, M.; Ledgard, S. F.</t>
  </si>
  <si>
    <t>Water footprint of beef cattle and sheep produced in New Zealand: water scarcity and eutrophication impacts</t>
  </si>
  <si>
    <t>10.1016/j.jclepro.2013.12.025</t>
  </si>
  <si>
    <t>Herd, Robert M.; Oddy, V. Hutton; Bray, Steven</t>
  </si>
  <si>
    <t>Baseline and greenhouse-gas emissions in extensive livestock enterprises, with a case study of feeding lipid to beef cattle</t>
  </si>
  <si>
    <t>10.1071/AN14222</t>
  </si>
  <si>
    <t>Vagnoni, E.; Franca, A.; Breedveld, L.; Porqueddu, C.; Ferrara, R.; Duce, P.</t>
  </si>
  <si>
    <t>Environmental performances of Sardinian dairy sheep production systems at different input levels</t>
  </si>
  <si>
    <t>10.1016/j.scitotenv.2014.09.020</t>
  </si>
  <si>
    <t>Conte, A.; Cappelletti, G. M.; Nicoletti, G. M.; Russo, C.; Del Nobile, M. A.</t>
  </si>
  <si>
    <t>Environmental implications of food loss probability in packaging design</t>
  </si>
  <si>
    <t>10.1016/j.foodres.2015.11.015</t>
  </si>
  <si>
    <t>Pardo, G.; Martin-Garcia, I.; Arco, A.; Yanez-Ruiz, D. R.; Moral, R.; del Prado, A.</t>
  </si>
  <si>
    <t>Greenhouse-gas mitigation potential of agro-industrial by-products in the diet of dairy goats in Spain: a life-cycle perspective</t>
  </si>
  <si>
    <t>10.1071/AN15620</t>
  </si>
  <si>
    <t>Addis, M. F.; Tedde, V.; Dore, S.; Pisanu, S.; Puggioni, G. M. G.; Roggio, A. M.; Pagnozzi, D.; Lollai, S.; Cannas, E. A.; Uzzau, S.</t>
  </si>
  <si>
    <t>Evaluation of milk cathelicidin for detection of dairy sheep mastitis</t>
  </si>
  <si>
    <t>10.3168/jds.2015-10293</t>
  </si>
  <si>
    <t>O'Brien, D.; Bohan, A.; McHugh, N.; Shalloo, L.</t>
  </si>
  <si>
    <t>A life cycle assessment of the effect of intensification on the environmental impacts and resource use of grass-based sheep farming</t>
  </si>
  <si>
    <t>10.1016/j.agsy.2016.07.004</t>
  </si>
  <si>
    <t>Rajesh, G.; Paul, Avishek; Mishra, S. R.; Bharati, Jaya; Thakur, Nipuna; Mondal, Tanmay; Soren, Sanjhali; Harikumar, S.; Narayanan, K.; Chouhan, V. S.; Bag, Sadhan; Das, B. C.; Singh, G.; Maurya, V. P.; Sharma, G. Taru; Sarkar, Mihir</t>
  </si>
  <si>
    <t>Expression and functional role of Bone Morphogenetic Proteins (BMPs) in cyclical corpus luteum in buffalo (Bubalus bubalis)</t>
  </si>
  <si>
    <t>10.1016/j.ygcen.2016.10.016</t>
  </si>
  <si>
    <t>Francisco Micheloud, Juan; Marin, Raul; Adrian Colque-Caro, Luis; Gladys Martinez, Olga; Gardner, Dale; Juan Gimeno, Eduardo</t>
  </si>
  <si>
    <t>Swainsonine-induced lysosomal storage disease in goats caused by the ingestion of Sida rodrigoi Monteiro in North-western Argentina</t>
  </si>
  <si>
    <t>10.1016/j.toxicon.2016.12.011</t>
  </si>
  <si>
    <t>Vagnoni, Enrico; Franca, Antonello; Porqueddu, Claudio; Duce, Pierpaolo</t>
  </si>
  <si>
    <t>Environmental profile of Sardinian sheep milk cheese supply chain: A comparison between two contrasting dairy systems</t>
  </si>
  <si>
    <t>10.1016/j.jclepro.2017.07.115</t>
  </si>
  <si>
    <t>Payen, Sandra; Ledgard, Stewart F.</t>
  </si>
  <si>
    <t>Aquatic eutrophication indicators in LCA: Methodological challenges illustrated using a case study in New Zealand</t>
  </si>
  <si>
    <t>10.1016/j.jclepro.2017.09.064</t>
  </si>
  <si>
    <t>Statuto, Dina; Bochicchio, Martina; Sica, Carmela; Picuno, Pietro</t>
  </si>
  <si>
    <t>EXPERIMENTAL DEVELOPMENT OF CLAY BRICKS REINFORCED WITH AGRICULTURAL BY-PRODUCTS</t>
  </si>
  <si>
    <t>Vagnoni, Enrico; Franca, Antonello</t>
  </si>
  <si>
    <t>Transition among different production systems in a Sardinian dairy sheep farm: Environmental implications</t>
  </si>
  <si>
    <t>10.1016/j.smallrumres.2017.12.002</t>
  </si>
  <si>
    <t>McAuliffe, Graham A.; Takahashi, Taro; Lee, Michael R. F.</t>
  </si>
  <si>
    <t>Framework for life cycle assessment of livestock production systems to account for the nutritional quality of final products</t>
  </si>
  <si>
    <t>10.1002/fes3.143</t>
  </si>
  <si>
    <t>Sharma, Pooja; Humphreys, James; Holden, Nicholas M.</t>
  </si>
  <si>
    <t>Environmental impacts of alternative agricultural uses of poorly drained farm land in Ireland</t>
  </si>
  <si>
    <t>10.1016/j.scitotenv.2018.04.315</t>
  </si>
  <si>
    <t>Quartinello, Felice; Vecchiato, Sara; Weinberger, Simone; Kremenser, Klemens; Skopek, Lukas; Pellis, Alessandro; Guebitz, Georg M.</t>
  </si>
  <si>
    <t>Highly Selective Enzymatic Recovery of Building Blocks from Wool-Cotton-Polyester Textile Waste Blends</t>
  </si>
  <si>
    <t>10.3390/polym10101107</t>
  </si>
  <si>
    <t>Heffernan, Sandra</t>
  </si>
  <si>
    <t>Innovative Natural Yarn Manufactured from Waste</t>
  </si>
  <si>
    <t>10.1007/978-3-030-16943-5_41</t>
  </si>
  <si>
    <t>Vagnoni, Enrico; Atzori, Alberto S.; Decandia, Mauro; Concu, Giovanni B.; Tronci, Stefano; Franca, Antonello; Usai, Domenico; Duce, Pierpaolo</t>
  </si>
  <si>
    <t>GHG MITIGATION AND EFFICIENCY IMPROVEMENTS FOR A SUSTAINABLE SHEEP SUPPLY CHAIN: THE SHEEP TOSHIP LIFE STRATEGY</t>
  </si>
  <si>
    <t>Mullagh, Louise; Walker, Stuart; Evans, Martyn</t>
  </si>
  <si>
    <t>Living Design. The future of sustainable maker enterprises</t>
  </si>
  <si>
    <t>10.1080/14606925.2019.1595404</t>
  </si>
  <si>
    <t>Orfi, Erik; Meszaros, Tamas; Hennies, Mark; Fulop, Tamas; Dezsi, Laszlo; Nardocci, Alexander; Rosivall, Laszlo; Hamar, Peter; Neun, Barry W.; Dobrovolskaia, Marina A.; Szebeni, Janos; Szenasi, Gabor</t>
  </si>
  <si>
    <t>Acute physiological changes caused by complement activators and amphotericin B-containing liposomes in mice</t>
  </si>
  <si>
    <t>10.2147/IJN.S187139</t>
  </si>
  <si>
    <t>Donners, M. P. J.; Verhoeven, J.; Michel, J-C</t>
  </si>
  <si>
    <t>Potential use of recycled stone wool substrate granulate as substrate component</t>
  </si>
  <si>
    <t>10.17660/ActaHortic.2019.1266.45</t>
  </si>
  <si>
    <t>Grohmann, D.; Petrucci, R.; Torre, L.; Micheli, M.; Menconi, M. E.</t>
  </si>
  <si>
    <t>Street trees' management perspectives: Reuse of Tilia sp.'s pruning waste for insulation purposes</t>
  </si>
  <si>
    <t>10.1016/j.ufug.2018.12.009</t>
  </si>
  <si>
    <t>Nuutinen, Emmi-Maria; Willberg-Keyrilainen, Pia; Virtanen, Tommi; Mija, Alice; Kuutti, Lauri; Lantto, Raija; Jaaskelainen, Anna-Stiina</t>
  </si>
  <si>
    <t>Green process to regenerate keratin from feathers with an aqueous deep eutectic solvent</t>
  </si>
  <si>
    <t>10.1039/c9ra03305j</t>
  </si>
  <si>
    <t>Norris, Lucy</t>
  </si>
  <si>
    <t>Waste, dirt and desire: Fashioning narratives of material regeneration</t>
  </si>
  <si>
    <t>10.1177/0038026119854273</t>
  </si>
  <si>
    <t>Liikanen, Miia; Gronman, Kaisa; Deviatkin, Ivan; Havukainen, Jouni; Hyvarinen, Marko; Karki, Timo; Varis, Juha; Soukka, Risto; Horttanainen, Mika</t>
  </si>
  <si>
    <t>Construction and demolition waste as a raw material for wood polymer composites - Assessment of environmental impacts</t>
  </si>
  <si>
    <t>Cataldi, Pietro; Condurache, Oana; Spirito, Davide; Krahne, Roman; Bayer, Ilker S.; Athanassiou, Athanassia; Perotto, Giovanni</t>
  </si>
  <si>
    <t>Keratin-Graphene Nanocomposite: Transformation of Waste Wool in Electronic Devices</t>
  </si>
  <si>
    <t>10.1021/acssuschemeng.9b02415</t>
  </si>
  <si>
    <t>Geldermans, Bob; Tenpierik, Martin; Luscuere, Peter</t>
  </si>
  <si>
    <t>Circular and Flexible Indoor Partitioning-A Design Conceptualization of Innovative Materials and Value Chains</t>
  </si>
  <si>
    <t>10.3390/buildings9090194</t>
  </si>
  <si>
    <t>Paula de Sousa, Marco Antonio; Sodre Lima, Alyne Cristina; Araujo, Jonas Carneiro; Costa Guimaraes, Celia Maria; Sarkis Peixoto Joele, Maria Regina; Borges, Iran; Chaves Daher, Luciara Celi; Maciel e Silva, Andre Guimaraes</t>
  </si>
  <si>
    <t>Tissue composition and allometric growth of carcass of lambs Santa Ines and crossbreed with breed Dorper</t>
  </si>
  <si>
    <t>10.1007/s11250-019-01886-2</t>
  </si>
  <si>
    <t>Gaidau, Carmen; Epure, Doru-Gabriel; Enascuta, Cristina Emanuela; Carsote, Cristina; Sendrea, Claudiu; Proietti, Noemi; Chen, Wuyong; Gu, Haibin</t>
  </si>
  <si>
    <t>Wool keratin total solubilisation for recovery and reintegration - An ecological approach</t>
  </si>
  <si>
    <t>10.1016/j.jclepro.2019.07.061</t>
  </si>
  <si>
    <t>Yesufu, Jalil; McCalmont, Jon P.; Clifton-Brown, John C.; Williams, Prysor; Hyland, John; Gibbons, James; Styles, David</t>
  </si>
  <si>
    <t>Consequential life cycle assessment of miscanthus livestock bedding, diverting straw to bioelectricity generation</t>
  </si>
  <si>
    <t>10.1111/gcbb.12646</t>
  </si>
  <si>
    <t>Rubino, Chiara; Bonet Aracil, Mariles; Gisbert-Paya, Jaime; Liuzzi, Stefania; Stefanizzi, Pietro; Zamorano Canto, Manuel; Martellotta, Francesco</t>
  </si>
  <si>
    <t>Composite Eco-Friendly Sound Absorbing Materials Made of Recycled Textile Waste and Biopolymers</t>
  </si>
  <si>
    <t>10.3390/ma12234020</t>
  </si>
  <si>
    <t>Petropoulos, Spyridon; Fernandes, Angela; Stojkovic, Dejan; Pereira, Carla; Taofiq, Oludemi; Di Gioia, Francesco; Tzortzakis, Nikos; Sokovic, Marina; Barros, Lillian; Ferreira, Isabel C. F. R.</t>
  </si>
  <si>
    <t>Cotton and cardoon byproducts as potential growing media components for Cichorium spinosum L. commercial cultivation</t>
  </si>
  <si>
    <t>10.1016/j.jclepro.2019.118254</t>
  </si>
  <si>
    <t>Cordeiro-Moura, Jhonatha Rodrigo; Correa Fehlberg, Lorena Cristina; Nodari, Carolina Silva; de Matos, Adriana Pereira; Alves, Vinicius de Oliveira; Cayo, Rodrigo; Gales, Ana Cristina</t>
  </si>
  <si>
    <t>Performance of distinct phenotypic methods for carbapenemase detection: The influence of culture media</t>
  </si>
  <si>
    <t>10.1016/j.diagmicrobio.2019.114912</t>
  </si>
  <si>
    <t>Horrillo, Andres; Gaspar, Paula; Escribano, Miguel</t>
  </si>
  <si>
    <t>Organic Farming as a Strategy to Reduce Carbon Footprint in Dehesa Agroecosystems: A Case Study Comparing Different Livestock Products</t>
  </si>
  <si>
    <t>10.3390/ani10010162</t>
  </si>
  <si>
    <t>Zucali, Maddalena; Lovarelli, Daniela; Celozzi, Stefania; Bacenetti, Jacopo; Sandrucci, Anna; Bava, Luciana</t>
  </si>
  <si>
    <t>Management options to reduce the environmental impact of dairy goat milk production</t>
  </si>
  <si>
    <t>10.1016/j.livsci.2019.103888</t>
  </si>
  <si>
    <t>Monllor, Paula; Romero, Gema; Sendra, Esther; Atzori, Alberto Stanislao; Diaz, Jose Ramon</t>
  </si>
  <si>
    <t>Short-Term Effect of the Inclusion of Silage Artichoke By-Products in Diets of Dairy Goats on Milk Quality</t>
  </si>
  <si>
    <t>10.3390/ani10020339</t>
  </si>
  <si>
    <t>Navone, Laura; Moffitt, Kaylee; Hansen, Kai-Anders; Blinco, James; Payne, Alice; Speight, Robert</t>
  </si>
  <si>
    <t>Closing the textile loop: Enzymatic fibre separation and recycling of wool/polyester fabric blends</t>
  </si>
  <si>
    <t>10.1016/j.wasman.2019.10.026</t>
  </si>
  <si>
    <t>Al Faruque, Md Abdullah; Remadevi, Rechana; Razal, Joselito; Wang, Xungai; Naebe, Maryam</t>
  </si>
  <si>
    <t>Investigation on structure and characteristics of alpaca-based wet-spun polyacrylonitrile composite fibers by utilizing natural textile waste</t>
  </si>
  <si>
    <t>10.1002/app.48370</t>
  </si>
  <si>
    <t>Dieckmann, Elena; Onsiong, Richard; Nagy, Balazs; Sheldrick, Leila; Cheeseman, Christopher</t>
  </si>
  <si>
    <t>Valorization of Waste Feathers in the Production of New Thermal Insulation Materials</t>
  </si>
  <si>
    <t>10.1007/s12649-020-01007-3</t>
  </si>
  <si>
    <t>Pina Ramirez, Carolina; Vidales Barriguete, Alejandra; Garcia Munoz, Julian; del Rio Merino, Mercedes; del Solar Serrano, Patricia</t>
  </si>
  <si>
    <t>Ecofibers for the Reinforcement of Cement Mortars for Coating Promoting the Circular Economy</t>
  </si>
  <si>
    <t>10.3390/su12072835</t>
  </si>
  <si>
    <t>Monllor, Paula; Romero, Gema; Atzori, Alberto S.; Sandoval-Castro, Carlos A.; Ayala-Burgos, Armin J.; Roca, Amparo; Sendra, Esther; Ramon-Diaz, Jose</t>
  </si>
  <si>
    <t>Composition, Mineral and Fatty Acid Profiles of Milk from Goats Fed with Different Proportions of Broccoli and Artichoke Plant By-Products</t>
  </si>
  <si>
    <t>10.3390/foods9060700</t>
  </si>
  <si>
    <t>Yan, Zhengang; Hou, Fuqin; Hou, Fujiang</t>
  </si>
  <si>
    <t>Energy Balances and Greenhouse Gas Emissions of Agriculture in the Shihezi Oasis of China</t>
  </si>
  <si>
    <t>10.3390/atmos11080781</t>
  </si>
  <si>
    <t>Nunes, Oscar Soares; Gaspar, Pedro Dinis; Nunes, Jose; Quinteiro, Paula; Dias, Ana Claudia; Godina, Radu</t>
  </si>
  <si>
    <t>Life-Cycle Assessment of Dairy Products-Case Study of Regional Cheese Produced in Portugal</t>
  </si>
  <si>
    <t>10.3390/pr8091182</t>
  </si>
  <si>
    <t>Pollaro, Nausicaa; Santagata, Remo; Ulgiati, Sergio</t>
  </si>
  <si>
    <t>Sustainability Evaluation of Sheep and Goat Rearing in Southern Italy. A Life Cycle Cost/Benefit Assessment</t>
  </si>
  <si>
    <t>10.5890/JEAM.2020.09.002</t>
  </si>
  <si>
    <t>Gess, Andreas; Viola, Irene; Miretti, Silvia; Macchi, Elisabetta; Perona, Giovanni; Battaglini, Luca; Baratta, Mario</t>
  </si>
  <si>
    <t>A New Approach to LCA Evaluation of Lamb Meat Production in Two Different Breeding Systems in Northern Italy</t>
  </si>
  <si>
    <t>10.3389/fvets.2020.00651</t>
  </si>
  <si>
    <t>Berger, F.; Gauvin, F.; Brouwers, H. J. H.</t>
  </si>
  <si>
    <t>The recycling potential of wood waste into wood-wool/cement composite</t>
  </si>
  <si>
    <t>10.1016/j.conbuildmat.2020.119786</t>
  </si>
  <si>
    <t>Samardzic, M. Miljan; Galic, A. Zoran; Jajic, M. Igor; Latkovic, S. Dragana; Vasin, R. Jovica; Andreeva, V. Irina; Vasenev, I. Ivan</t>
  </si>
  <si>
    <t>ENVIRONMENTAL ASSESSMENT OF GREENHOUSE GASES EMISSION FROM SHEEP BREEDING IN VOJVODINA REGION OF SERBIA</t>
  </si>
  <si>
    <t>10.2478/acve-2020-0036</t>
  </si>
  <si>
    <t>Becona, G.; Ledgard, S.; Astigarraga, L.; Lizarralde, C.; Dieguez, F.; Morales, H.</t>
  </si>
  <si>
    <t>EMAG - National model for evaluating environmental impacts of cattle production systems in Uruguay</t>
  </si>
  <si>
    <t>10.31285/AGRO.24.48</t>
  </si>
  <si>
    <t>Rowntree, Jason E.; Stanley, Paige L.; Maciel, Isabella C. F.; Thorbecke, Mariko; Rosenzweig, Steven T.; Hancock, Dennis W.; Guzman, Aidee; Raven, Matt R.</t>
  </si>
  <si>
    <t>Ecosystem Impacts and Productive Capacity of a Multi-Species Pastured Livestock System</t>
  </si>
  <si>
    <t>10.3389/fsufs.2020.544984</t>
  </si>
  <si>
    <t>Bosco, Simona; Volpi, Iride; Cappucci, Alice; Mantino, Alberto; Ragaglini, Giorgio; Bonari, Enrico; Mele, Marcello</t>
  </si>
  <si>
    <t>Innovating feeding strategies in dairy sheep farming can reduce environmental impact of ewe milk</t>
  </si>
  <si>
    <t>10.1080/1828051X.2021.2003726</t>
  </si>
  <si>
    <t>Arca, Pasquale; Vagnoni, Enrico; Duce, Pierpaolo; Franca, Antonello</t>
  </si>
  <si>
    <t>How does soil carbon sequestration affect greenhouse gas emissions from a sheep farming system? Results of a life cycle assessment case study</t>
  </si>
  <si>
    <t>10.4081/ija.2021.1789</t>
  </si>
  <si>
    <t>Hegyi, Andreea; Bulacu, Cezar; Szilagyi, Henriette; Lazarescu, Adrian-Victor; Colbu, Dumitru Eugen; Sandu, Mihaela</t>
  </si>
  <si>
    <t>WASTE MANAGEMENT IN THE CONTEXT OF THE DEVELOPMENT OF SUSTAINABLE THERMAL INSULATION PRODUCTS FOR THE CONSTRUCTION SECTOR</t>
  </si>
  <si>
    <t>Marchelli, Filippo; Rovero, Giorgio; Curti, Massimo; Arato, Elisabetta; Bosio, Barbara; Moliner, Cristina</t>
  </si>
  <si>
    <t>An Integrated Approach to Convert Lignocellulosic and Wool Residues into Balanced Fertilisers</t>
  </si>
  <si>
    <t>10.3390/en14020497</t>
  </si>
  <si>
    <t>Mordenti, Attilio Luigi; Giaretta, Elisa; Campidonico, Luca; Parazza, Paola; Formigoni, Andrea</t>
  </si>
  <si>
    <t>A Review Regarding the Use of Molasses in Animal Nutrition</t>
  </si>
  <si>
    <t>10.3390/ani11010115</t>
  </si>
  <si>
    <t>Sormunen, Petri; Deviatkin, Ivan; Horttanainen, Mika; Karki, Timo</t>
  </si>
  <si>
    <t>An evaluation of thermoplastic composite fi llers derived from construction and demolition waste based on their economic and environmental characteristics</t>
  </si>
  <si>
    <t>10.1016/j.jclepro.2020.125198</t>
  </si>
  <si>
    <t>Rubino, Chiara; Liuzzi, Stefania; Martellotta, Francesco; Stefanizzi, Pietro; Straziota, Pierfrancesco</t>
  </si>
  <si>
    <t>Nonwoven Textile Waste Added with PCM for Building Applications</t>
  </si>
  <si>
    <t>10.3390/app11031262</t>
  </si>
  <si>
    <t>Cai, Zengxiao; Al Faruque, Md Abdullah; Kiziltas, Alper; Mielewski, Deborah; Naebe, Maryam</t>
  </si>
  <si>
    <t>Sustainable Lightweight Insulation Materials from Textile-Based Waste for the Automobile Industry</t>
  </si>
  <si>
    <t>10.3390/ma14051241</t>
  </si>
  <si>
    <t>Borghino, Noelie; Corson, Michael; Nitschelm, Laure; Wilfart, Aurelie; Fleuet, Julie; Moraine, Marc; Breland, Tor Arvid; Lescoat, Philippe; Godinot, Olivier</t>
  </si>
  <si>
    <t>Contribution of LCA to decision making: A scenario analysis in territorial agricultural production systems</t>
  </si>
  <si>
    <t>10.1016/j.jenvman.2021.112288</t>
  </si>
  <si>
    <t>Barrigon Morillas, Juan Miguel; Montes Gonzalez, David; Vilchez-Gomez, Rosendo; Gomez Escobar, Valentin; Maderuelo-Sanz, Ruben; Rey Gozalo, Guillermo; Atanasio Moraga, Pedro</t>
  </si>
  <si>
    <t>Virgin Natural Cork Characterization as a Sustainable Material for Use in Acoustic Solutions</t>
  </si>
  <si>
    <t>10.3390/su13094976</t>
  </si>
  <si>
    <t>Melotti, Luca; Martinello, Tiziana; Perazzi, Anna; Iacopetti, Ilaria; Ferrario, Cinzia; Sugni, Michela; Sacchetto, Roberta; Patruno, Marco</t>
  </si>
  <si>
    <t>A Prototype Skin Substitute, Made of Recycled Marine Collagen, Improves the Skin Regeneration of Sheep</t>
  </si>
  <si>
    <t>10.3390/ani11051219</t>
  </si>
  <si>
    <t>Rietzler, Barbara; Manian, Avinash P.; Rhomberg, Dorian; Bechtold, Thomas; Pham, Tung</t>
  </si>
  <si>
    <t>Investigation of the decomplexation of polyamide/CaCl2 complex toward a green, nondestructive recovery of polyamide from textile waste</t>
  </si>
  <si>
    <t>10.1002/app.51170</t>
  </si>
  <si>
    <t>Gama, Nuno; Godinho, B.; Barros-Timmons, Ana; Ferreira, Artur</t>
  </si>
  <si>
    <t>PU composites based on different types of textile fibers</t>
  </si>
  <si>
    <t>10.1177/00219983211031656</t>
  </si>
  <si>
    <t>Larregla, Santiago; Gandariasbeitia, Maite; Ojinaga, Mikel; Mendarte, Sorkunde; Guerrero, Maria del Mar; Ortiz-Barredo, Amaia</t>
  </si>
  <si>
    <t>Gases Released During Soil Biodisinfestation of Pepper Greenhouses Reduce Survival of Phytophthora capsici Oospores in Northern Spain</t>
  </si>
  <si>
    <t>10.3389/fsufs.2021.663915</t>
  </si>
  <si>
    <t>Wu, Ziqin; Zeng, Yue; Liu, Yiping; Xiao, Hang; Zhang, Tonghua; Lu, Ming</t>
  </si>
  <si>
    <t>Utilization of waste wool felt architecture to synthesize self-supporting electrode materials for efficient energy storage</t>
  </si>
  <si>
    <t>10.1039/d1nj03834f</t>
  </si>
  <si>
    <t>Stenton, Marie; Kapsali, Veronika; Blackburn, Richard S.; Houghton, Joseph A.</t>
  </si>
  <si>
    <t>From Clothing Rations to Fast Fashion: Utilising Regenerated Protein Fibres to Alleviate Pressures on Mass Production</t>
  </si>
  <si>
    <t>10.3390/en14185654</t>
  </si>
  <si>
    <t>Kozub, Barbara; Bazan, Patrycja; Gailitis, Rihards; Korniejenko, Kinga; Mierzwinski, Dariusz</t>
  </si>
  <si>
    <t>Foamed Geopolymer Composites with the Addition of Glass Wool Waste</t>
  </si>
  <si>
    <t>10.3390/ma14174978</t>
  </si>
  <si>
    <t>Mancilla-Leyton, Juan Manuel; Morales-Jerrett, Eduardo; Delgado-Pertinez, Manuel; Mena, Yolanda</t>
  </si>
  <si>
    <t>Fat- and protein-corrected milk formulation to be used in the life-cycle assessment of Mediterranean dairy goat systems</t>
  </si>
  <si>
    <t>10.1016/j.livsci.2021.104697</t>
  </si>
  <si>
    <t>Nitschelm, Laure; Flipo, Blanche; Auberger, Julie; Chambaut, Helene; Dauguet, Sylvie; Espagnol, Sandrine; Gac, Armelle; Le Gall, Cecile; Malnoe, Caroline; Perrin, Aurelie; Ponchant, Paul; Renaud-Gentie, Christel; Tailleur, Aurelie; van der Werf, Hayo M. G.</t>
  </si>
  <si>
    <t>Life cycle assessment data of French organic agricultural products</t>
  </si>
  <si>
    <t>10.1016/j.dib.2021.107356</t>
  </si>
  <si>
    <t>Toro-Mujica, Paula; Riveros, Jose Luis</t>
  </si>
  <si>
    <t>Sheep production systems in Chilean Patagonia. Characterization and typology</t>
  </si>
  <si>
    <t>10.1016/j.smallrumres.2021.106516</t>
  </si>
  <si>
    <t>Superti, Valeria; Forman, Tim, V; Houmani, Cynthia</t>
  </si>
  <si>
    <t>Recycling Thermal Insulation Materials: A Case Study on More Circular Management of Expanded Polystyrene and Stonewool in Switzerland and Research Agenda</t>
  </si>
  <si>
    <t>10.3390/resources10100104</t>
  </si>
  <si>
    <t>Goh, Pei Sean; Othman, Mohd Hafiz Dzarfan; Matsuura, Takeshi</t>
  </si>
  <si>
    <t>Waste Reutilization in Polymeric Membrane Fabrication: A New Direction in Membranes for Separation</t>
  </si>
  <si>
    <t>10.3390/membranes11100782</t>
  </si>
  <si>
    <t>Schneider, Anna; Herlevi, Lisa-Marie; Guo, Yijia; Fernandez Lahore, Hector Marcelo</t>
  </si>
  <si>
    <t>Perspectives on adsorption technology as an effective strategy for continuous downstream bioprocessing</t>
  </si>
  <si>
    <t>10.1002/jctb.6923</t>
  </si>
  <si>
    <t>Naumov, Goce; Mitkoski, Aleksandar; Talevski, Hristijan; Anvari, Jana; Przybyla, Marcin; Stojanovski, Darko; Antolin, Ferran; Sabanov, Amalia; Zivaljevic, Ivana; Dimitrijevic, Vesna; Gibaja, Juan F.; Mazzucco, Niccolo; Milevski, Gjore; Dumurdanov, Nikola; Pendic, Jugoslav; Blazeska, Zlata; Stefanovic, Sofija</t>
  </si>
  <si>
    <t>The Early Neolithic tell of Vrbjanska Cuka in Pelagonia</t>
  </si>
  <si>
    <t>10.1515/pz-2021-0007</t>
  </si>
  <si>
    <t>Alencar, Renata T.; Vega, Wilder H. O.; Da Silva, Luiza N. C.; Costa, Helio H. A.; Parente, Michelle O. M.; De Lima, Lisiane D.; Landim, Aline, V</t>
  </si>
  <si>
    <t>Changes on the physicochemical and fatty acid profile of meat induced by inclusion of biscuit bran in lamb diet</t>
  </si>
  <si>
    <t>10.1590/0001-3765202220201365</t>
  </si>
  <si>
    <t>Gillespie, Gary D.; Dada, Oyinlola; McDonnell, Kevin P.</t>
  </si>
  <si>
    <t>The Potential for Hydrolysed Sheep Wool as a Sustainable Source of Fertiliser for Irish Agriculture</t>
  </si>
  <si>
    <t>10.3390/su14010365</t>
  </si>
  <si>
    <t>Briga-Sa, Ana; Gaibor, Norma; Magalhaes, Leandro; Pinto, Tiago; Leitao, Dinis</t>
  </si>
  <si>
    <t>Thermal performance characterization of cement-based lightweight blocks incorporating textile waste</t>
  </si>
  <si>
    <t>10.1016/j.conbuildmat.2022.126330</t>
  </si>
  <si>
    <t>Scarano, Pierpaolo; Tartaglia, Maria; Zuzolo, Daniela; Prigioniero, Antonello; Guarino, Carmine; Sciarrillo, Rosaria</t>
  </si>
  <si>
    <t>Recovery and Valorization of Bioactive and Functional Compounds from the Discarded of Opuntia ficus-indica (L.) Mill. Fruit Peel</t>
  </si>
  <si>
    <t>10.3390/agronomy12020388</t>
  </si>
  <si>
    <t>Ferrandez, Daniel; Yedra, Engerst; Moron, Carlos; Zaragoza, Alicia; Kosior-Kazberuk, Marta</t>
  </si>
  <si>
    <t>Circular Building Process: Reuse of Insulators from Construction and Demolition Waste to Produce Lime Mortars</t>
  </si>
  <si>
    <t>10.3390/buildings12020220</t>
  </si>
  <si>
    <t>de Rubeis, Tullio</t>
  </si>
  <si>
    <t>3D-Printed Blocks: Thermal Performance Analysis and Opportunities for Insulating Materials</t>
  </si>
  <si>
    <t>10.3390/su14031077</t>
  </si>
  <si>
    <t>Gess, Andreas; Tolsdorf, Anna; Ko, Nathanael</t>
  </si>
  <si>
    <t>A life cycle perspective of lamb meat production systems from Turkey and the EU</t>
  </si>
  <si>
    <t>10.1016/j.smallrumres.2022.106637</t>
  </si>
  <si>
    <t>Parlato, Monica C. M.; Valenti, Francesca; Lanza, Elisa; Porto, Simona M. C.</t>
  </si>
  <si>
    <t>Spatial analysis to quantify and localise the residual cardoon stem fibres as potential bio-reinforcements for building materials</t>
  </si>
  <si>
    <t>10.1080/19397038.2022.2042620</t>
  </si>
  <si>
    <t>Alyousef, Rayed; Mohammadhosseini, Hossein; Ebid, Ahmed Abdel Khalek; Alabduljabbar, Hisham</t>
  </si>
  <si>
    <t>An Integrated Approach to Using Sheep Wool as a Fibrous Material for Enhancing Strength and Transport Properties of Concrete Composites</t>
  </si>
  <si>
    <t>10.3390/ma15051638</t>
  </si>
  <si>
    <t>Lu, Linlin; Fan, Wei; Ge, Shengbo; Liew, Rock Keey; Shi, Yang; Dou, Hao; Wang, Shujuan; Lam, Su Shiung</t>
  </si>
  <si>
    <t>Progress in recycling and valorization of waste silk</t>
  </si>
  <si>
    <t>10.1016/j.scitotenv.2022.154812</t>
  </si>
  <si>
    <t>Pardo, Guillermo; del Prado, Agustin; Fernandez-Alvarez, Javier; Yanez-Ruiz, David R.; Belanche, Alejandro</t>
  </si>
  <si>
    <t>Influence of precision livestock farming on the environmental performance of intensive dairy goat farms</t>
  </si>
  <si>
    <t>10.1016/j.jclepro.2022.131518</t>
  </si>
  <si>
    <t>Meza-Herrera, C. A.; Navarrete-Molina, C.; Luna-Garcia, L. A.; Perez-Marin, C.; Altamirano-Cardenas, J. R.; Macias-Cruz, U.; Garcia de la Pena, C.; Abad-Zavaleta, J.</t>
  </si>
  <si>
    <t>Small ruminants and sustainability in Latin America &amp; the Caribbean: Regionalization, main production systems, and a combined productive, socio-economic &amp; ecological footprint quantification</t>
  </si>
  <si>
    <t>10.1016/j.smallrumres.2022.106676</t>
  </si>
  <si>
    <t>Ciliberti, M. G.; Francavilla, M.; Albenzio, M.; Inghese, C.; Santillo, A.; Sevi, A.; Caroprese, M.</t>
  </si>
  <si>
    <t>Green extraction of bioactive compounds from wine lees and their bio-responses on immune modulation using in vitro sheep model</t>
  </si>
  <si>
    <t>10.3168/jds.2021-21098</t>
  </si>
  <si>
    <t>Parlato, Monica C. M.; Valenti, Francesca; Midolo, Giusi; Porto, Simona M. C.</t>
  </si>
  <si>
    <t>Livestock Wastes Sustainable Use and Management: Assessment of Raw Sheep Wool Reuse and Valorization</t>
  </si>
  <si>
    <t>10.3390/en15093008</t>
  </si>
  <si>
    <t>Vasicek, Jaromir; Balazi, Andrej; Svoradova, Andrea; Vozaf, Jakub; Dujickova, Linda; Makarevich, Alexander, V; Bauer, Miroslav; Chrenek, Peter</t>
  </si>
  <si>
    <t>Comprehensive Flow-Cytometric Quality Assessment of Ram Sperm Intended for Gene Banking Using Standard and Novel Fertility Biomarkers</t>
  </si>
  <si>
    <t>10.3390/ijms23115920</t>
  </si>
  <si>
    <t>Zhang, Ying; Dong, Xiaobin; Wang, Xue-Chao; Liu, Mengxue; Zhang, Peng; Liu, Ranran; Huang, Jiuming; Dong, Shuheng</t>
  </si>
  <si>
    <t>Study on the Relationship between Low-Carbon Circular Farming and Animal Husbandry Models and Human Well-Being: A Case Study of Yongchang County, Gansu Province</t>
  </si>
  <si>
    <t>10.3390/su14148230</t>
  </si>
  <si>
    <t>Paula de Sousa, Marco Antonio; Esteves, Sergio Novita; Maciel e Silva, Andre Guimaraes; Brandao, Felipe Zandonadi; Chaves Daher, Luciara Celi; Macedo Pezzopane, Jose Ricardo; Volante, Caio Augusto; Barreto, Andrea do Nascimento; Garcia, Alexandre Rossetto</t>
  </si>
  <si>
    <t>Major differences between single or twin hair lambs in the immediate postpartum period: Metabolic and thermodynamic patterns detected by infrared thermography</t>
  </si>
  <si>
    <t>10.1016/j.jtherbio.2022.103258</t>
  </si>
  <si>
    <t>Marczak, Daria; Lejcus, Krzysztof; Kulczycki, Grzegorz; Misiewicz, Jakub</t>
  </si>
  <si>
    <t>Towards circular economy: Sustainable soil additives from natural waste fibres to improve water retention and soil fertility</t>
  </si>
  <si>
    <t>10.1016/j.scitotenv.2022.157169</t>
  </si>
  <si>
    <t>Araujo, J. C.; Santos, H. A. S.; Ribeiro, E. S. C.; Trindade, A. C. C.; Sousa, M. A.; Nunes, M. P. M.; Lima, A. C. S.; Daher, L. C. C.; Silva, A. G. M.</t>
  </si>
  <si>
    <t>Use of in vivo video image analysis as a substitute for manual biometric measurements on the prediction of qualitative and quantitative carcass characteristics of hair sheep lambs</t>
  </si>
  <si>
    <t>10.1016/j.smallrumres.2022.106779</t>
  </si>
  <si>
    <t>Ganci, Mariaconcetta; Biondi, Luisa; Parlato, Monica C. M.; Porto, Simona M. C.</t>
  </si>
  <si>
    <t>Methodology for the Localization of Wool Collecting Centers: The Case Study of Sicily</t>
  </si>
  <si>
    <t>10.3390/su141610378</t>
  </si>
  <si>
    <t>Cortesi, Adeline; Dijoux, Laure; Yannou-Le Bris, Gwenola; Penicaud, Caroline</t>
  </si>
  <si>
    <t>Explaining the Differences between the Environmental Impacts of 44 French Artisanal Cheeses</t>
  </si>
  <si>
    <t>10.3390/su14159484</t>
  </si>
  <si>
    <t>Cunningham, Patrick R.; Miller, Sabbie A.</t>
  </si>
  <si>
    <t>A material flow analysis of carpet in the United States: Where should the carpet go?</t>
  </si>
  <si>
    <t>10.1016/j.jclepro.2022.133243</t>
  </si>
  <si>
    <t>Ossai, Innocent Chukwunonso; Hamid, Fauziah Shahul; Hassan, Auwalu</t>
  </si>
  <si>
    <t>Valorisation of keratinous wastes: A sustainable approach towards a circular economy</t>
  </si>
  <si>
    <t>10.1016/j.wasman.2022.07.021</t>
  </si>
  <si>
    <t>Xu, Zhongrong</t>
  </si>
  <si>
    <t>RETRACTED: Application of a Nano-Enhanced Fertilizer in the Development of Agricultural Low-Carbon Economy in the Yangtze River Economic Belt (Retracted Article)</t>
  </si>
  <si>
    <t>10.1155/2022/7732057</t>
  </si>
  <si>
    <t>Muelas, Raquel; Romero, Gema; Ramon Diaz, Jose; Monllor, Paula; Fernandez-Lopez, Juana; Viuda-Martos, Manuel; Cano-Lamadrid, Marina; Sendra, Esther</t>
  </si>
  <si>
    <t>Quality and Functional Parameters of Fermented Milk Obtained from Goat Milk Fed with Broccoli and Artichoke Plant By-Products</t>
  </si>
  <si>
    <t>10.3390/foods11172601</t>
  </si>
  <si>
    <t>Furferi, Rocco; Volpe, Yary; Mantellassi, Franco</t>
  </si>
  <si>
    <t>Circular Economy Guidelines for the Textile Industry</t>
  </si>
  <si>
    <t>10.3390/su141711111</t>
  </si>
  <si>
    <t>Parlato, Monica C. M.; Porto, Simona M. C.; Valenti, Francesca</t>
  </si>
  <si>
    <t>Assessment of sheep wool waste as new resource for green building elements</t>
  </si>
  <si>
    <t>10.1016/j.buildenv.2022.109596</t>
  </si>
  <si>
    <t>Song, Dongsheng; Kadier, Abudukeremu; Peralta-Hernandez, Juan M.; Xie, Haiyan; Hao, Bin; Ma, Peng-Cheng</t>
  </si>
  <si>
    <t>Separation of oil-water emulsions by a novel packed bed electrocoagulation (EC) process using anode from recycled aluminum beverage cans</t>
  </si>
  <si>
    <t>10.1016/j.jclepro.2022.134693</t>
  </si>
  <si>
    <t>Voinitchi, Constantin; Gaidau, Carmen; Tudorie, Fanica Capatana; Niculescu, Mihaela; Stanca, Maria; Alexe, Cosmin-Andrei</t>
  </si>
  <si>
    <t>Collagen and Keratin Hydrolysates to Delay the Setting of Gypsum Plaster</t>
  </si>
  <si>
    <t>10.3390/ma15248817</t>
  </si>
  <si>
    <t>Saccani, Nicola; Bressanelli, Gianmarco; Visintin, Filippo</t>
  </si>
  <si>
    <t>Circular supply chain orchestration to overcome Circular Economy challenges: An empirical investigation in the textile and fashion industries</t>
  </si>
  <si>
    <t>10.1016/j.spc.2022.11.020</t>
  </si>
  <si>
    <t>Bionda, Arianna; Lopreiato, Vincenzo; Crepaldi, Paola; Chiofalo, Vincenzo; Fazio, Esterina; Oteri, Marianna; Amato, Annalisa; Liotta, Luigi</t>
  </si>
  <si>
    <t>Diet supplemented with olive cake as a model of circular economy: Metabolic and endocrine responses of beef cattle</t>
  </si>
  <si>
    <t>10.3389/fsufs.2022.1077363</t>
  </si>
  <si>
    <t>Zukowska, Grazyna; Myszura-Dymek, Magdalena; Roszkowski, Szymon; Bik-Malodzinska, Marta</t>
  </si>
  <si>
    <t>Effect of Coal Mining Waste and Its Mixtures with Sewage Sludge and Mineral Wool on Selected Properties of Degraded Anthropogenic Soil</t>
  </si>
  <si>
    <t>10.12911/22998993/170949</t>
  </si>
  <si>
    <t>Parlato, Monica C. M.; Rivera-Gomez, Carlos; Porto, Simona M. C.</t>
  </si>
  <si>
    <t>Reuse of livestock waste for the reinforcement of rammed-earth materials: investigation on mechanical performances</t>
  </si>
  <si>
    <t>10.4081/jae.2023.1434</t>
  </si>
  <si>
    <t>Garcia-Gudino, Javier; Angon, Elena; Blanco-Penedo, Isabel; Garcia-Launay, Florence; Perea, Jose</t>
  </si>
  <si>
    <t>Targeting Environmental and Technical Parameters through Eco-Efficiency Criteria for Iberian Pig Farms in the dehesa Ecosystem</t>
  </si>
  <si>
    <t>10.3390/agriculture13010083</t>
  </si>
  <si>
    <t>Zoure, Abraham Nathan; Genovese, Paolo Vincenzo</t>
  </si>
  <si>
    <t>Comparative Study of the Impact of Bio-Sourced and Recycled Insulation Materials on Energy Efficiency in Office Buildings in Burkina Faso</t>
  </si>
  <si>
    <t>10.3390/su15021466</t>
  </si>
  <si>
    <t>de Sousa, Marco Antonio Paula; Esteves, Sergio Novita; Daher, Luciara Celi Chaves; Gallo, Sarita Bonagurio; Pereira, Veronica Schinaider do Amaral; da Fonseca, Jeferson Ferreira; Silva, Andre Guimaraes Maciel e; Brandao, Felipe Zandonadi; Oliveira, Maria Emilia Franco; Barreto, Andrea do Nascimento; Vergani, Gabriel Brun; Garcia, Alexandre Rossetto</t>
  </si>
  <si>
    <t>Overnutrition of Ewe in Late Gestation and the Impact on Placental Efficiency and Lamb's Performance</t>
  </si>
  <si>
    <t>10.3390/ani13010103</t>
  </si>
  <si>
    <t>Zaragoza-Benzal, Alicia; Ferrandez, Daniel; Santos, Paulo; Moron, Carlos</t>
  </si>
  <si>
    <t>Recovery of End-of-Life Tyres and Mineral Wool Waste: A Case Study with Gypsum Composite Materials Applying Circular Economy Criteria</t>
  </si>
  <si>
    <t>10.3390/ma16010243</t>
  </si>
  <si>
    <t>Molik, Edyta; Szatkowski, Piotr; Flis, Zuzanna; Suchorowiec, Katarzyna; Szczepanik, Ewa; Niemiec, Marcin; Komorowska, Monika; Matusevicius, Paulius</t>
  </si>
  <si>
    <t>TRADITION AND INNOVATIVE IN THE PROTECTION OF THE NATURAL ENVIRONMENT OF MOUNTAIN REGIONS</t>
  </si>
  <si>
    <t>10.15576/ASP.FC/2023.22.3.09</t>
  </si>
  <si>
    <t>Polesca, Cariny; Passos, Helena; Neves, Bruno M.; Coutinho, Joao A. P.; Freire, Mara G.</t>
  </si>
  <si>
    <t>Valorization of chicken feathers using aqueous solutions of ionic liquids</t>
  </si>
  <si>
    <t>10.1039/d2gc04477c</t>
  </si>
  <si>
    <t>Cozzarini, Luca; De Lorenzi, Lorenzo; Barago, Nicolo; Sbaizero, Orfeo; Bevilacqua, Paolo</t>
  </si>
  <si>
    <t>Expanded Glass for Thermal and Acoustic Insulation from Recycled Post-Consumer Glass and Textile Industry Process Waste</t>
  </si>
  <si>
    <t>10.3390/ma16041721</t>
  </si>
  <si>
    <t>Landim, Aline Vieira; da Silva, Luiza de Nazare Carneiro; Costa, Helio Henrique Araujo; de Sousa, Luiz Carlos Oliveira; Silveira, Robson Mateus Freitas; Vasconcelos Filho, Paulo de Tasso; Costa, Adailton Camelo; Vieira e Silva, Fredson</t>
  </si>
  <si>
    <t>Effects of by-product from biscuit industry on performance and carcass traits of fattening Morada Nova lambs</t>
  </si>
  <si>
    <t>10.1007/s11250-022-03424-z</t>
  </si>
  <si>
    <t>Pardo, Guillermo; Casas, Raquel; del Prado, Agustin; Manzano, Pablo</t>
  </si>
  <si>
    <t>Carbon footprint of transhumant sheep farms: accounting for natural baseline emissions in Mediterranean systems</t>
  </si>
  <si>
    <t>10.1007/s11367-023-02135-3</t>
  </si>
  <si>
    <t>Anselmi, Serena; Provenza, Francesca; Bentivoglio, Tecla; Picerno, Giuseppe; Cavallo, Andrea; Renzi, Monia</t>
  </si>
  <si>
    <t>Marine Biodegradability and Ecotoxicity of MWool® Recycled Wool Fibers: A Circular-Economy-Based Material</t>
  </si>
  <si>
    <t>10.3390/oceans4010009</t>
  </si>
  <si>
    <t>Cesiulis, Henrikas; Tsyntsaru, Natalia</t>
  </si>
  <si>
    <t>Eco-Friendly Electrowinning for Metals Recovery from Waste Electrical and Electronic Equipment (WEEE)</t>
  </si>
  <si>
    <t>10.3390/coatings13030574</t>
  </si>
  <si>
    <t>Pena-Delgado, Victoria; Carvajal-Serna, Melissa; Fondevila, Manuel; Martin-Cabrejas, Maria A.; Aguilera, Yolanda; Alvarez-Rivera, Gerardo; Abecia, Jose A.; Casao, Adriana; Perez-Pe, Rosaura</t>
  </si>
  <si>
    <t>Improvement of the Seminal Characteristics in Rams Using Agri-Food By-Products Rich in Phytomelatonin</t>
  </si>
  <si>
    <t>10.3390/ani13050905</t>
  </si>
  <si>
    <t>Cheng, Juanjuan; Wang, Qian; Yu, Jin</t>
  </si>
  <si>
    <t>Life cycle assessment of potential environmental burden and human capital loss caused by apple production system in China</t>
  </si>
  <si>
    <t>10.1007/s11356-023-26371-0</t>
  </si>
  <si>
    <t>Cozzarini, Luca; Marsich, Lucia; Ferluga, Alessio</t>
  </si>
  <si>
    <t>Innovative Thermal and Acoustic Insulation Foams from Recycled Fiberglass Waste</t>
  </si>
  <si>
    <t>10.1002/admt.202201953</t>
  </si>
  <si>
    <t>Poolsawad, Nongnuch; Chom-in, Tassaneewan; Samneangngam, Jantima; Suksatit, Prakaytham; Songma, Khaowpradabdin; Thamnawat, Saowalak; Kanoksirirath, Somrath; Mungcharoen, Thumrongrut</t>
  </si>
  <si>
    <t>Material circularity indicator for accelerating low-carbon circular economy in Thailand's building and construction sector</t>
  </si>
  <si>
    <t>10.1002/ep.14105</t>
  </si>
  <si>
    <t>Komkova, Anastasija; Habert, Guillaume</t>
  </si>
  <si>
    <t>Optimal supply chain networks for waste materials used in alkali-activated concrete fostering circular economy</t>
  </si>
  <si>
    <t>10.1016/j.resconrec.2023.106949</t>
  </si>
  <si>
    <t>Marczak, Daria; Lejcus, Krzysztof; Lejcus, Iwona; Misiewicz, Jakub</t>
  </si>
  <si>
    <t>Sustainable Innovation: Turning Waste into Soil Additives</t>
  </si>
  <si>
    <t>10.3390/ma16072900</t>
  </si>
  <si>
    <t>Javier, Rojas Herrera Carlos; Karin, Rodriguez Neira; Pablo, Cardenas-Ramirez Juan</t>
  </si>
  <si>
    <t>Valorization of Wheat Crop Waste in Araucania, Chile: Development of Prototype of Thermal Insulation Material for Blowing Technique and Geographical Analysis</t>
  </si>
  <si>
    <t>10.3390/buildings13051152</t>
  </si>
  <si>
    <t>Broadbent, Peter J.; Carr, Chris M.; Lewis, David M.; Rigout, Muriel L.; Siewers, Ernst J.; Kaveh, Narjes Shojai</t>
  </si>
  <si>
    <t>Supercritical carbon dioxide (SC-CO2) dyeing of cellulose acetate: An opportunity for a greener circular textile economy</t>
  </si>
  <si>
    <t>10.1111/cote.12690</t>
  </si>
  <si>
    <t>Neri, Manuela; Cuerva, Eva; Levi, Elisa; Pujadas, Pablo; Muller, Edgardo; Guardo, Alfredo</t>
  </si>
  <si>
    <t>Thermal, acoustic, and fire performance characterization of textile face mask waste for use as low-cost building insulation material</t>
  </si>
  <si>
    <t>10.1016/j.dibe.2023.100164</t>
  </si>
  <si>
    <t>Le Feon, Samuel; Papadakis, Andreas; Yannou-Le Bris, Gwenola; Auberger, Julie; Chatzitheodorou, Dimitrios; Aubin, Joel; Penicaud, Caroline</t>
  </si>
  <si>
    <t>Life cycle inventory and life cycle impact assessment datasets of PDO Feta production in Stymfalia region, Greece</t>
  </si>
  <si>
    <t>10.1016/j.dib.2023.109207</t>
  </si>
  <si>
    <t>Loureiro, Carlos D. A.; Silva, Hugo M. R. D.; Oliveira, Joel R. M.; Costa, Nuno L. S.; Palha, Carlos A. O.</t>
  </si>
  <si>
    <t>The Effect of Microwave Radiation on the Self-Healing Performance of Asphalt Mixtures with Steel Slag Aggregates and Steel Fibers</t>
  </si>
  <si>
    <t>10.3390/ma16103712</t>
  </si>
  <si>
    <t>Hossain, Md. Aowlad; Sultana, Razia; Moktadir, Md. Abdul; Hossain, Md. Amjad</t>
  </si>
  <si>
    <t>A novel bio-adsorbent development from tannery solid waste derived biodegradable keratin for the removal of hazardous chromium: A cleaner and circular economy approach</t>
  </si>
  <si>
    <t>10.1016/j.jclepro.2023.137471</t>
  </si>
  <si>
    <t>Liu, Xing-Guo; Shen, Hong-ye; Gu, Zhao-jun; Cheng, Guofeng; Wang, Jie; Zhu, Hao</t>
  </si>
  <si>
    <t>The environmental impact and development direction of grass carp, Ctenopharyngodon idella, aquaculture</t>
  </si>
  <si>
    <t>10.1111/jwas.12990</t>
  </si>
  <si>
    <t>Maldonado-Alameda, A.; Alfocea-Roig, A.; Huete-Hernandez, S.; Giro-Paloma, J.; Chimenos, J. M.; Formosa, J.</t>
  </si>
  <si>
    <t>Magnesium phosphate cement incorporating sheep wool fibre for thermal insulation applications</t>
  </si>
  <si>
    <t>10.1016/j.jobe.2023.107043</t>
  </si>
  <si>
    <t>Fu, Haoran; Chen, Hong; Ma, Qingxu; Chen, Bo; Wang, Feiyang; Wu, Lianghuan</t>
  </si>
  <si>
    <t>Planting and mowing cover crops as livestock feed to synergistically optimize soil properties, economic profit, and environmental burden on pear orchards in the Yangtze River Basin</t>
  </si>
  <si>
    <t>10.1002/jsfa.12763</t>
  </si>
  <si>
    <t>Ferrandez-Vega, Daniel; Diaz-Velilla, Jorge-Pablo; Zaragoza-Benzal, Alicia; Zuniga-Vicente, Jose-Angel</t>
  </si>
  <si>
    <t>Use of composite plaster material for the development of sustainable prefabricated: study of its manufacturing process, properties and supply chain</t>
  </si>
  <si>
    <t>10.6036/10823</t>
  </si>
  <si>
    <t>Linhares, Teresa; Carneiro, Vitor H. H.; de Amorim, Maria T. Pessoa T.; Duraes, Luisa</t>
  </si>
  <si>
    <t>A Comparative Thermoacoustic Insulation Study of Silica Aerogels Reinforced with Reclaimed Textile Fibres: Cotton, Polyester and Wool</t>
  </si>
  <si>
    <t>10.3390/gels9070548</t>
  </si>
  <si>
    <t>Maia, Margarida R. G.; Monteiro, Andre; Valente, Ines M.; Sousa, Carla; Miranda, Carla; Castro, Carlos; Cortez, Paulo P.; Cabrita, Ana R. J.; Trindade, Henrique; Fonseca, Antonio J. M.</t>
  </si>
  <si>
    <t>Upcycling post-harvest biomass residues from native European Lupinus species: from straws and pod shells production to nutritive value and alkaloids content for ruminant animals</t>
  </si>
  <si>
    <t>10.3389/fnut.2023.1195015</t>
  </si>
  <si>
    <t>Petcu, Cristian; Hegyi, Andreea; Stoian, Vlad; Dragomir, Claudiu Sorin; Ciobanu, Adrian Alexandru; Lazarescu, Adrian-Victor; Florean, Carmen</t>
  </si>
  <si>
    <t>Research on Thermal Insulation Performance and Impact on Indoor Air Quality of Cellulose-Based Thermal Insulation Materials</t>
  </si>
  <si>
    <t>10.3390/ma16155458</t>
  </si>
  <si>
    <t>Machado-Ramos, Maria G.; Meza-Herrera, Cesar A.; De Santiago-Miramontes, Angeles; Mellado, Miguel; Veliz-Deras, Francisco G.; Arellano-Rodriguez, Fernando; Contreras-Villarreal, Viridiana; Arevalo, Jose R.; Carrillo-Moreno, Dalia I.; Flores-Salas, Jessica M.</t>
  </si>
  <si>
    <t>A Circular Economy Approach to Integrate Divergent Ruminant Production Systems: Using Dairy Cow Feed Leftovers to Enhance the Out-of-Season Reproductive Performance in Goats</t>
  </si>
  <si>
    <t>10.3390/ani13152431</t>
  </si>
  <si>
    <t>Bosco, Antonio; Ciuca, Lavinia; Maurelli, Maria Paola; Vitiello, Paola; Cringoli, Giuseppe; Prada, Joaquin M.; Rinaldi, Laura</t>
  </si>
  <si>
    <t>Comparison of Mini-FLOTAC, Flukefinder and sedimentation techniques for detection and quantification of Fasciola hepatica and Calicophoron daubneyi eggs using spiked and naturally infected bovine faecal samples</t>
  </si>
  <si>
    <t>10.1186/s13071-023-05890-2</t>
  </si>
  <si>
    <t>Rigueto, Cesar Vinicius Toniciolli; Rosseto, Marieli; Alessandretti, Ingridy; Krein, Daniela Dal Castel; Emer, Cassandro Davi; Loss, Raquel Aparecida; Dettmer, Aline; Pizzutti, Ionara Regina</t>
  </si>
  <si>
    <t>Extraction and improvement of protein functionality using steam explosion pretreatment: advances, challenges, and perspectives</t>
  </si>
  <si>
    <t>10.1007/s13197-023-05817-w</t>
  </si>
  <si>
    <t>Biyada, Saloua; Merzouki, Mohammed; Urbonavicius, Jaunius</t>
  </si>
  <si>
    <t>New Resources for Sustainable Thermal Insulation Using Textile and Agricultural Waste in a New Circular Economy Approach: An Overview</t>
  </si>
  <si>
    <t>10.3390/pr11092683</t>
  </si>
  <si>
    <t>Cerrato, Michele; Iasi, Allegra; Di Bennardo, Federica; Pergola, Maria</t>
  </si>
  <si>
    <t>Evaluation of the Economic and Environmental Sustainability of Livestock Farms in Inland Areas</t>
  </si>
  <si>
    <t>10.3390/agriculture13091708</t>
  </si>
  <si>
    <t>Cifuni, Giulia Francesca; Claps, Salvatore; Morone, Giuseppe; Sepe, Lucia; Caparra, Pasquale; Benincasa, Cinzia; Pellegrino, Massimiliano; Perri, Enzo</t>
  </si>
  <si>
    <t>Valorization of Olive Mill Byproducts: Recovery of Biophenol Compounds and Application in Animal Feed</t>
  </si>
  <si>
    <t>10.3390/plants12173062</t>
  </si>
  <si>
    <t>Tedesco, Silvia; Montacchini, Elena; Lacirignola, Angela</t>
  </si>
  <si>
    <t>Supply Chains in Transition for the Development of Building Components: Three Educational Experiences in a Circular Economy Perspective</t>
  </si>
  <si>
    <t>10.3390/su152014992</t>
  </si>
  <si>
    <t>Sanchez-Quintero, Angela; Fernandes, Susana C. M.; Beigbeder, Jean-Baptiste</t>
  </si>
  <si>
    <t>Overview of microalgae and cyanobacteria-based biostimulants produced from wastewater and CO2 streams towards sustainable agriculture: A review</t>
  </si>
  <si>
    <t>10.1016/j.micres.2023.127505</t>
  </si>
  <si>
    <t>Afonso, Tiago Barros; Bonifacio-Lopes, Teresa; Costa, Eduardo Manuel; Pintado, Manuela Estevez; Rogale, Dubravko; Rogale, Snjezana First</t>
  </si>
  <si>
    <t>Phenolic Compounds from By-Products for Functional Textiles</t>
  </si>
  <si>
    <t>10.3390/ma16227248</t>
  </si>
  <si>
    <t>Castillo, Cristina; Muino, Rodrigo; Benedito, Jose Luis; Hernandez, Joaquin</t>
  </si>
  <si>
    <t>The introduction of insect meal as a supplement in ruminant rations: a strategy to be adopted in the short term in the face of raw material scarcity. A review</t>
  </si>
  <si>
    <t>10.12706/itea.2023.021</t>
  </si>
  <si>
    <t>Cozzarini, Luca; De Lorenzi, Lorenzo; Fortuna, Lorenzo; Bevilacqua, Paolo</t>
  </si>
  <si>
    <t>Recycling of glass waste and spent alkaline batteries cathodes into insulation materials</t>
  </si>
  <si>
    <t>10.1016/j.susmat.2023.e00767</t>
  </si>
  <si>
    <t>Alvarez-Rodriguez, Javier; Ryschawy, Julie; Grillot, Myriam; Martin, Guillaume</t>
  </si>
  <si>
    <t>Circularity and livestock diversity: Pathways to sustainability in intensive pig farming regions</t>
  </si>
  <si>
    <t>10.1016/j.agsy.2023.103809</t>
  </si>
  <si>
    <t>Serra, J. P.; Barbosa, J. C.; Silva, M. M.; Goncalves, R.; Uranga, J.; Costa, C. M.; Guerrero, P.; de la Caba, K.; Lanceros-Mendez, S.</t>
  </si>
  <si>
    <t>Wool/soy protein isolate membranes as separators toward more sustainable lithium-ion batteries</t>
  </si>
  <si>
    <t>10.1016/j.est.2023.109748</t>
  </si>
  <si>
    <t>Sautier, Marion; Chiron, Pierre</t>
  </si>
  <si>
    <t>Challenges and opportunities for reducing anthelmintic use in ruminant livestock systems: Insights from a sheep farmer survey in France</t>
  </si>
  <si>
    <t>10.1016/j.prevetmed.2023.106078</t>
  </si>
  <si>
    <t>Du, Peipei; Zhang, Yuzhu; Long, Yue; Xing, Lei</t>
  </si>
  <si>
    <t>Investigation of Preparation of Slag Wool from Melting-Separated Red Mud</t>
  </si>
  <si>
    <t>10.3390/cryst13121645</t>
  </si>
  <si>
    <t>Hollas, Camila Ester; do Amaral, Karina Guedes Cubas; Lange, Marcela Valles; Higarashi, Martha Mayumi; Steinmetz, Ricardo Luis Radis; Mariani, Leidiane Ferronato; Nakano, Vanice; Sanches-Pereira, Alessandro; Jannuzzi, Gilberto de Martino; Kunz, Airton</t>
  </si>
  <si>
    <t>Livestock waste management for energy recovery in Brazil: a life cycle assessment approach</t>
  </si>
  <si>
    <t>10.1007/s11356-023-31452-1</t>
  </si>
  <si>
    <t>Aldawsari, Abdullah M.; Hassan, Hassan M. A.; Alsohaimi, Ibrahim Hotan; Algamdi, Mohammad S.</t>
  </si>
  <si>
    <t>Tailoring ultrafiltration membranes with chemically modified human hair waste for improved permeability and antifouling performance</t>
  </si>
  <si>
    <t>10.1016/j.scp.2023.101417</t>
  </si>
  <si>
    <t>Argalis, Pauls P.; Sinka, Maris; Andzs, Martins; Korjakins, Aleksandrs; Bajare, Diana</t>
  </si>
  <si>
    <t>Development of New Bio-Based Building Materials by Utilising Manufacturing Waste</t>
  </si>
  <si>
    <t>10.2478/rtuect-2024-0006</t>
  </si>
  <si>
    <t>Mena, Yolanda; Morales-Jerrett, Eduardo; Soler-Montiel, Marta; Perez-Neira, David; Mancilla-Leyton, Juan Manuel</t>
  </si>
  <si>
    <t>Energetic and Monetary Analysis of Efficiency in Family-Owned Dairy Goat Production Systems in Andalusia (Southern Spain)</t>
  </si>
  <si>
    <t>10.3390/ani14010104</t>
  </si>
  <si>
    <t>Natesan, Venkatesan; Nasr, Ahmed Ibrahim; Fathima, Nishter Nishad</t>
  </si>
  <si>
    <t>Shape-stabilized porous activated carbon/n-eicosane as a potential material for smart leather fabrication</t>
  </si>
  <si>
    <t>10.1016/j.diamond.2024.110827</t>
  </si>
  <si>
    <t>Oliveira, Marco A.; Antonio, Julieta</t>
  </si>
  <si>
    <t>Animal-based waste for building acoustic applications: A review</t>
  </si>
  <si>
    <t>10.1016/j.jobe.2023.108430</t>
  </si>
  <si>
    <t>Zhang, Xiaoshuan; Jiang, Dongsheng; Li, Jun; Zhao, Qinan; Zhang, Mengjie</t>
  </si>
  <si>
    <t>Carbon emission oriented life cycle assessment and optimization strategy for meat supply chain</t>
  </si>
  <si>
    <t>10.1016/j.jclepro.2024.140727</t>
  </si>
  <si>
    <t>Trejo, Helen X.; Trejo, Nidia K.; Lewis, Tasha L.</t>
  </si>
  <si>
    <t>Sustaining Natural Dye Plants with Post-Consumer Textile Waste</t>
  </si>
  <si>
    <t>10.1177/24723444241230120</t>
  </si>
  <si>
    <t>Wang, Lulu; Liu, Xinchao; Xin, Xiaoping; Wu, Susie; Legesse, Tsegaye Gemechu; Zhang, Yaoqi; Liu, Yun; Zhao, Zhiyuan; Cao, Kexin; Zhu, Xiaoyu; Shao, Changliang</t>
  </si>
  <si>
    <t>The greenhouse gas emissions from meat sheep production contribute double of household consumption in a Eurasian meadow steppe</t>
  </si>
  <si>
    <t>10.1016/j.scitotenv.2024.171014</t>
  </si>
  <si>
    <t>McNicol, Louise C.; Perkins, Lynda S.; Gibbons, James; Scollan, Nigel D.; Nugent, Anne P.; Thomas, Eleri M.; Swancott, Elizabeth L.; McRoberts, Colin; White, Alison; Chambers, Simon; Farmer, Linda; Williams, A. Prysor</t>
  </si>
  <si>
    <t>The nutritional value of meat should be considered when comparing the carbon footprint of lambs produced on different finishing diets</t>
  </si>
  <si>
    <t>10.3389/fsufs.2024.1321288</t>
  </si>
  <si>
    <t>Dal Pra, Aldo; Ugolini, Francesca; Negri, Martino; Bortolu, Sara; Duce, Pierpaolo; Macci, Cristina; Lombardo, Andrea; Benedetti, Martina; Brajon, Giovanni; Guazzini, Lucia; Casini, Stefano; Spagnul, Sara; Camilli, Francesca</t>
  </si>
  <si>
    <t>Wool Agro-Waste Biomass and Spruce Sawdust: Pellets as an Organic Soil Amendment</t>
  </si>
  <si>
    <t>10.3390/su16062228</t>
  </si>
  <si>
    <t>Ning, Jing; Zhang, Chunmei; Hu, Mingjun; Sun, Tiancheng</t>
  </si>
  <si>
    <t>Accounting for Greenhouse Gas Emissions in the Agricultural System of China Based on the Life Cycle Assessment Method</t>
  </si>
  <si>
    <t>10.3390/su16062594</t>
  </si>
  <si>
    <t>GIA TROVATO</t>
  </si>
  <si>
    <t>https://www.scopus.com/inward/record.uri?eid=2-s2.0-85186592918&amp;doi=10.3389%2ffsufs.2024.1321288&amp;partnerID=40&amp;md5=19049df424ed312d977b075ad07092bf</t>
  </si>
  <si>
    <t>https://www.scopus.com/inward/record.uri?eid=2-s2.0-85166020398&amp;doi=10.3389%2ffnut.2023.1195015&amp;partnerID=40&amp;md5=4724d0fb00d8c6d0d67276a1397fd759</t>
  </si>
  <si>
    <t>Composting of recovered rock wool from hydroponics for the production of soil amendment</t>
  </si>
  <si>
    <t>10.1007/s11356-024-33041-2</t>
  </si>
  <si>
    <t>https://www.scopus.com/inward/record.uri?eid=2-s2.0-85189507800&amp;doi=10.1007%2fs11356-024-33041-2&amp;partnerID=40&amp;md5=a74704182ba9cf1ffd0a59444fa6ffe8</t>
  </si>
  <si>
    <t>https://www.scopus.com/inward/record.uri?eid=2-s2.0-85188993374&amp;doi=10.3390%2fsu16062594&amp;partnerID=40&amp;md5=ab55abcc644fe2d36b13f9c0087458e7</t>
  </si>
  <si>
    <t>https://www.scopus.com/inward/record.uri?eid=2-s2.0-85183683264&amp;doi=10.1371%2fjournal.pone.0292066&amp;partnerID=40&amp;md5=1f5f5bc6ee6e0277eabdc1b8666cff71</t>
  </si>
  <si>
    <t>https://www.scopus.com/inward/record.uri?eid=2-s2.0-85151244869&amp;doi=10.1016%2fj.resconrec.2023.106949&amp;partnerID=40&amp;md5=b26f952efdd9845bb2dc5f2d11546b12</t>
  </si>
  <si>
    <t>Life cycle assessment of alternatives for industrial textile recycling</t>
  </si>
  <si>
    <t>10.1016/j.scitotenv.2024.172161</t>
  </si>
  <si>
    <t>https://www.scopus.com/inward/record.uri?eid=2-s2.0-85189755111&amp;doi=10.1016%2fj.scitotenv.2024.172161&amp;partnerID=40&amp;md5=16bed1f1a513c20d5df1e3ad015c3052</t>
  </si>
  <si>
    <t>https://www.scopus.com/inward/record.uri?eid=2-s2.0-85177193743&amp;doi=10.1016%2fj.est.2023.109748&amp;partnerID=40&amp;md5=e701dacbd1f771982d3f31de5d4405ff</t>
  </si>
  <si>
    <t>https://www.scopus.com/inward/record.uri?eid=2-s2.0-85182955424&amp;doi=10.1007%2fs11356-023-31452-1&amp;partnerID=40&amp;md5=b7c3f6d58700398116bd317790d23bfb</t>
  </si>
  <si>
    <t>Identifying the potential for circularity of industrial textile waste generated within Swiss companies</t>
  </si>
  <si>
    <t>10.1016/j.resconrec.2021.106132</t>
  </si>
  <si>
    <t>https://www.scopus.com/inward/record.uri?eid=2-s2.0-85126885827&amp;doi=10.1016%2fj.resconrec.2021.106132&amp;partnerID=40&amp;md5=e217d789eef4fb4fbde950daa1cfeb34</t>
  </si>
  <si>
    <t>Research progress of supervision and inspection system for recycling waste textiles; [废旧纺织品循环经济的监督检验体系研究进展]</t>
  </si>
  <si>
    <t>10.13475/j.fzxb.20211111408</t>
  </si>
  <si>
    <t>https://www.scopus.com/inward/record.uri?eid=2-s2.0-85160529729&amp;doi=10.13475%2fj.fzxb.20211111408&amp;partnerID=40&amp;md5=c76f6d1213da38b0c1fe2867f6bf6f23</t>
  </si>
  <si>
    <t>Performance study of an innovative concept of hybrid constructed wetland-extensive green roof with growing media amended with recycled materials</t>
  </si>
  <si>
    <t>10.1016/j.jenvman.2022.117151</t>
  </si>
  <si>
    <t>https://www.scopus.com/inward/record.uri?eid=2-s2.0-85146137174&amp;doi=10.1016%2fj.jenvman.2022.117151&amp;partnerID=40&amp;md5=7809f0c8812de53f7308c08b58dc52f9</t>
  </si>
  <si>
    <t>https://www.scopus.com/inward/record.uri?eid=2-s2.0-85148006132&amp;doi=10.1007%2fs11367-023-02135-3&amp;partnerID=40&amp;md5=277add779839cae7bb935c971957d324</t>
  </si>
  <si>
    <t>Study of the energy recovery of slaughterhouse waste. The case of Tenerife</t>
  </si>
  <si>
    <t>10.24084/repqj20.371</t>
  </si>
  <si>
    <t>https://www.scopus.com/inward/record.uri?eid=2-s2.0-85136219872&amp;doi=10.24084%2frepqj20.371&amp;partnerID=40&amp;md5=af0e37cf8e86348da3fd1f60c59150b8</t>
  </si>
  <si>
    <t>https://www.scopus.com/inward/record.uri?eid=2-s2.0-85127106881&amp;doi=10.1016%2fj.scitotenv.2022.154812&amp;partnerID=40&amp;md5=908c81eb582bac035c9e8c58f704aaee</t>
  </si>
  <si>
    <t>https://www.scopus.com/inward/record.uri?eid=2-s2.0-85117158202&amp;doi=10.1002%2fjctb.6923&amp;partnerID=40&amp;md5=4b84a8fc795ac7f4e1cc775d83214273</t>
  </si>
  <si>
    <t>https://www.scopus.com/inward/record.uri?eid=2-s2.0-85137710146&amp;doi=10.3390%2fsu141610378&amp;partnerID=40&amp;md5=3d4ae4cae1767efddae8fdbcae20ac08</t>
  </si>
  <si>
    <t>ANALYSIS OF CONSUMERS’ PREFERENCES FOR LOCAL CHEESE IN KOSOVO APPLYING CONJOINT CHOICE ANALYSIS</t>
  </si>
  <si>
    <t>https://www.scopus.com/inward/record.uri?eid=2-s2.0-85150018028&amp;partnerID=40&amp;md5=b2d4878ea66712c6f16874e32f8d2427</t>
  </si>
  <si>
    <t>https://www.scopus.com/inward/record.uri?eid=2-s2.0-85127339065&amp;doi=10.1016%2fj.jclepro.2022.131518&amp;partnerID=40&amp;md5=501f441c598a8273b75984e9897e924f</t>
  </si>
  <si>
    <t>https://www.scopus.com/inward/record.uri?eid=2-s2.0-85145666088&amp;doi=10.3390%2fen16010113&amp;partnerID=40&amp;md5=b877b390fb031ad54301f9acab910345</t>
  </si>
  <si>
    <t>https://www.scopus.com/inward/record.uri?eid=2-s2.0-85166295143&amp;doi=10.3390%2fgels9070548&amp;partnerID=40&amp;md5=b721d96025beac094338334d71f0570e</t>
  </si>
  <si>
    <t>https://www.scopus.com/inward/record.uri?eid=2-s2.0-85150309258&amp;doi=10.1007%2fs11356-023-26371-0&amp;partnerID=40&amp;md5=cb331fbb3a95191c1ff308e264ed5499</t>
  </si>
  <si>
    <t>https://www.scopus.com/inward/record.uri?eid=2-s2.0-85137247155&amp;doi=10.3390%2fsu14159484&amp;partnerID=40&amp;md5=10fbcdaa5a612299f8d1c04cab20e008</t>
  </si>
  <si>
    <t>https://www.scopus.com/inward/record.uri?eid=2-s2.0-85181665870&amp;doi=10.1016%2fj.envres.2023.117716&amp;partnerID=40&amp;md5=13f91c61d2435c57f1e815e9a29830e1</t>
  </si>
  <si>
    <t>Sustainable Husbandry?—A Comparative LCA of Three Lamb Breeding Systems in Turkey</t>
  </si>
  <si>
    <t>10.1007/s43615-023-00249-2</t>
  </si>
  <si>
    <t>https://www.scopus.com/inward/record.uri?eid=2-s2.0-85171290438&amp;doi=10.1007%2fs43615-023-00249-2&amp;partnerID=40&amp;md5=9fcd64c81f88ad444ff23d4a3786b05a</t>
  </si>
  <si>
    <t>https://www.scopus.com/inward/record.uri?eid=2-s2.0-85135802591&amp;doi=10.1016%2fj.wasman.2022.07.021&amp;partnerID=40&amp;md5=3b42e086d2a1bed6fe8db28588cfa801</t>
  </si>
  <si>
    <t>Alkali hydrolysis of wool fibres using microwave irradiation as a recycling approach for handling wool-waste</t>
  </si>
  <si>
    <t>10.1016/j.polymdegradstab.2024.110744</t>
  </si>
  <si>
    <t>https://www.scopus.com/inward/record.uri?eid=2-s2.0-85188686955&amp;doi=10.1016%2fj.polymdegradstab.2024.110744&amp;partnerID=40&amp;md5=e6353676f738159e896e296da965c67b</t>
  </si>
  <si>
    <t>Use of composite plaster material for the development of sustainable prefabricated: study of its manufacturing process, properties and supply chain; [Utilización de material compuesto de escayola para la elaboración de productos prefabricados sostenibles: estudio de su proceso de fabricación, propiedades y cadena de suministro]</t>
  </si>
  <si>
    <t>https://www.scopus.com/inward/record.uri?eid=2-s2.0-85166923855&amp;doi=10.6036%2f10823&amp;partnerID=40&amp;md5=9a7ff243b123f48d3a27cc40201d5c5f</t>
  </si>
  <si>
    <t>Beyond cotton and polyester: An evaluation of emerging feedstocks and conversion methods for the future of fashion industry</t>
  </si>
  <si>
    <t>10.1016/j.jobab.2024.01.001</t>
  </si>
  <si>
    <t>https://www.scopus.com/inward/record.uri?eid=2-s2.0-85183451675&amp;doi=10.1016%2fj.jobab.2024.01.001&amp;partnerID=40&amp;md5=15398fff124d1628185527713ae6ef35</t>
  </si>
  <si>
    <t>https://www.scopus.com/inward/record.uri?eid=2-s2.0-85187897524&amp;doi=10.3389%2ffenvs.2024.1365162&amp;partnerID=40&amp;md5=7997c1454fd8d806b9667eb31f0c27ed</t>
  </si>
  <si>
    <t>https://www.scopus.com/inward/record.uri?eid=2-s2.0-85176425879&amp;doi=10.1016%2fj.susmat.2023.e00767&amp;partnerID=40&amp;md5=bf11ccdb68ef314778971a6c6cd5dcd6</t>
  </si>
  <si>
    <t>https://www.scopus.com/inward/record.uri?eid=2-s2.0-85159198108&amp;doi=10.1016%2fj.dib.2023.109207&amp;partnerID=40&amp;md5=ee236b18c6d739900607543130af65be</t>
  </si>
  <si>
    <t>Valorization of Wheat Crop Waste in Araucanía, Chile: Development of Prototype of Thermal Insulation Material for Blowing Technique and Geographical Analysis</t>
  </si>
  <si>
    <t>https://www.scopus.com/inward/record.uri?eid=2-s2.0-85160645900&amp;doi=10.3390%2fbuildings13051152&amp;partnerID=40&amp;md5=c88df06a1d82fc1b2b02090ab725cb30</t>
  </si>
  <si>
    <t>https://www.scopus.com/inward/record.uri?eid=2-s2.0-85168581564&amp;doi=10.1007%2fs13197-023-05817-w&amp;partnerID=40&amp;md5=f62b504ad27ed8d41e4aae01eb72d714</t>
  </si>
  <si>
    <t>https://www.scopus.com/inward/record.uri?eid=2-s2.0-85146649419&amp;doi=10.3390%2fsu15021466&amp;partnerID=40&amp;md5=49e476fd684ddf712e143921e5c58c94</t>
  </si>
  <si>
    <t>https://www.scopus.com/inward/record.uri?eid=2-s2.0-85180743973&amp;doi=10.15576%2fASP.FC%2f2023.22.3.09&amp;partnerID=40&amp;md5=2d81482109a869c525ee25e9dc81ee2f</t>
  </si>
  <si>
    <t>https://www.scopus.com/inward/record.uri?eid=2-s2.0-85185395607&amp;doi=10.1016%2fj.scitotenv.2024.171014&amp;partnerID=40&amp;md5=1a304e47da8711d59ea555bcedc84fb4</t>
  </si>
  <si>
    <t>https://www.scopus.com/inward/record.uri?eid=2-s2.0-85188989638&amp;doi=10.3390%2fsu16062228&amp;partnerID=40&amp;md5=446bb2d92f955d8e893990c1330f43da</t>
  </si>
  <si>
    <t>Physical and Mechanical Characterization of a Low-Quality Sheep Wool Fiber</t>
  </si>
  <si>
    <t>10.1007/978-3-031-30329-6_122</t>
  </si>
  <si>
    <t>https://www.scopus.com/inward/record.uri?eid=2-s2.0-85168775211&amp;doi=10.1007%2f978-3-031-30329-6_122&amp;partnerID=40&amp;md5=d6229b32a25296bc89534e4b8292db75</t>
  </si>
  <si>
    <t>https://www.scopus.com/inward/record.uri?eid=2-s2.0-85127749071&amp;doi=10.1016%2fj.smallrumres.2022.106676&amp;partnerID=40&amp;md5=ab9e34c039b03170eb653c6e8b6308da</t>
  </si>
  <si>
    <t>https://www.scopus.com/inward/record.uri?eid=2-s2.0-85177187941&amp;doi=10.1016%2fj.agsy.2023.103809&amp;partnerID=40&amp;md5=7a8729e64d35587d8201fb84a6259ebe</t>
  </si>
  <si>
    <t>https://www.scopus.com/inward/record.uri?eid=2-s2.0-85167931799&amp;doi=10.4081%2fjae.2023.1434&amp;partnerID=40&amp;md5=723bff23ab41d7e2fd2519c884001baa</t>
  </si>
  <si>
    <t>EFFECT OF BIOCARBON PRODUCED FROM VISCOSE YARN WASTE ON THERMAL COMFORT AND COMBUSTION BEHAVIOUR OF VISCOSE FABRICS; [VİSKON İPLİK ATIKLARINDAN ÜRETİLEN BİYOKARBONUN VİSKON KUMAŞLARDA TERMAL KONFOR ve YANMA DAVRANIŞINA ETKİSİ]</t>
  </si>
  <si>
    <t>10.7216/ teksmuh.1320573</t>
  </si>
  <si>
    <t>https://www.scopus.com/inward/record.uri?eid=2-s2.0-85179133146&amp;doi=10.7216%2f+teksmuh.1320573&amp;partnerID=40&amp;md5=e01ca6f23406db78b871ac3ee5a81c8a</t>
  </si>
  <si>
    <t>https://www.scopus.com/inward/record.uri?eid=2-s2.0-85165090817&amp;doi=10.3390%2foceans4010009&amp;partnerID=40&amp;md5=75e778637a540df52636c3dc186cd91c</t>
  </si>
  <si>
    <t>https://www.scopus.com/inward/record.uri?eid=2-s2.0-85145770049&amp;doi=10.3390%2fma16010243&amp;partnerID=40&amp;md5=31a2b9db60af694fec40ef6726f18614</t>
  </si>
  <si>
    <t>https://www.scopus.com/inward/record.uri?eid=2-s2.0-85170694367&amp;doi=10.12911%2f22998993%2f170949&amp;partnerID=40&amp;md5=d86f81ed44bb947297ab0cffddc53760</t>
  </si>
  <si>
    <t>https://www.scopus.com/inward/record.uri?eid=2-s2.0-85185408972&amp;doi=10.2478%2frtuect-2024-0006&amp;partnerID=40&amp;md5=358fcaaaec504ac0b2f5d401d41f6e57</t>
  </si>
  <si>
    <t>https://www.scopus.com/inward/record.uri?eid=2-s2.0-85140483453&amp;doi=10.1007%2fs11367-022-02105-1&amp;partnerID=40&amp;md5=3f873538af36fabbcc8a14172d79573d</t>
  </si>
  <si>
    <t>https://www.scopus.com/inward/record.uri?eid=2-s2.0-85130998236&amp;doi=10.3390%2fijms23115920&amp;partnerID=40&amp;md5=614ce86075764523d4fb9f37d039fdaa</t>
  </si>
  <si>
    <t>https://www.scopus.com/inward/record.uri?eid=2-s2.0-85183454620&amp;doi=10.1016%2fj.jclepro.2024.140727&amp;partnerID=40&amp;md5=a44e42c2ec9befebf438e24d2e4443a6</t>
  </si>
  <si>
    <t>https://www.scopus.com/inward/record.uri?eid=2-s2.0-85144813995&amp;doi=10.3390%2fma15248817&amp;partnerID=40&amp;md5=490099bb9c175b5c7e7b97c77e6577c0</t>
  </si>
  <si>
    <t>https://www.scopus.com/inward/record.uri?eid=2-s2.0-85162034808&amp;doi=10.1016%2fj.jobe.2023.107043&amp;partnerID=40&amp;md5=afbaf0ba971a1b5f27586279dbc25fa4</t>
  </si>
  <si>
    <t>https://www.scopus.com/inward/record.uri?eid=2-s2.0-85151446528&amp;doi=10.1002%2fep.14105&amp;partnerID=40&amp;md5=87cad7120535840235a191b4cde76c82</t>
  </si>
  <si>
    <t>https://www.scopus.com/inward/record.uri?eid=2-s2.0-85153940176&amp;doi=10.1016%2fj.dibe.2023.100164&amp;partnerID=40&amp;md5=31d304f223b9176caed5d48070f3697c</t>
  </si>
  <si>
    <t>https://www.scopus.com/inward/record.uri?eid=2-s2.0-85180211956&amp;doi=10.3390%2fcryst13121645&amp;partnerID=40&amp;md5=088836ff6751704e0307c56ff110a8ae</t>
  </si>
  <si>
    <t>Circularity of new composites from recycled high density polyethylene and leather waste for automotive bumpers. Testing performance and environmental impact</t>
  </si>
  <si>
    <t>10.1016/j.scitotenv.2024.170413</t>
  </si>
  <si>
    <t>https://www.scopus.com/inward/record.uri?eid=2-s2.0-85185552081&amp;doi=10.1016%2fj.scitotenv.2024.170413&amp;partnerID=40&amp;md5=a33a512f66fbba2e51ff3a399c8e1434</t>
  </si>
  <si>
    <t>https://www.scopus.com/inward/record.uri?eid=2-s2.0-85150803150&amp;doi=10.1002%2fadmt.202201953&amp;partnerID=40&amp;md5=a965050ced490645f7016a15a6488778</t>
  </si>
  <si>
    <t>https://www.scopus.com/inward/record.uri?eid=2-s2.0-85178161663&amp;doi=10.1016%2fj.prevetmed.2023.106078&amp;partnerID=40&amp;md5=55896b4d333d22f065b34b325cacacff</t>
  </si>
  <si>
    <t>https://www.scopus.com/inward/record.uri?eid=2-s2.0-85138200626&amp;doi=10.1016%2fj.buildenv.2022.109596&amp;partnerID=40&amp;md5=be686432fef1c7ecbea23fdf19914491</t>
  </si>
  <si>
    <t>https://www.scopus.com/inward/record.uri?eid=2-s2.0-85137849425&amp;doi=10.3390%2fsu141711111&amp;partnerID=40&amp;md5=8160bc152ff7081daac377ac75ab2b7e</t>
  </si>
  <si>
    <t>https://www.scopus.com/inward/record.uri?eid=2-s2.0-85143969466&amp;doi=10.1016%2fj.spc.2022.11.020&amp;partnerID=40&amp;md5=7142a21f84153c429eb9eb331b7289b3</t>
  </si>
  <si>
    <t>https://www.scopus.com/inward/record.uri?eid=2-s2.0-85140143412&amp;doi=10.1016%2fj.jclepro.2022.134693&amp;partnerID=40&amp;md5=98606d46021a5c7e1876128df4505648</t>
  </si>
  <si>
    <t>Circular Economic Modelling: Barriers and opportunities in turning circular within the construction sector</t>
  </si>
  <si>
    <t>10.1051/e3sconf/202234901009</t>
  </si>
  <si>
    <t>https://www.scopus.com/inward/record.uri?eid=2-s2.0-85146887265&amp;doi=10.1051%2fe3sconf%2f202234901009&amp;partnerID=40&amp;md5=8614882bd3ef4aa626458a161b5f753a</t>
  </si>
  <si>
    <t>https://www.scopus.com/inward/record.uri?eid=2-s2.0-85124011492&amp;doi=10.3390%2fagronomy12020388&amp;partnerID=40&amp;md5=62195fb75110e15fc34404e93d835043</t>
  </si>
  <si>
    <t>Composite eco-friendly sound absorbing materials made of recycled textilewaste and biopolymers</t>
  </si>
  <si>
    <t>https://www.scopus.com/inward/record.uri?eid=2-s2.0-85076681051&amp;doi=10.3390%2fma12234020&amp;partnerID=40&amp;md5=0476357910f15e9f87b658ead6100dba</t>
  </si>
  <si>
    <t>https://www.scopus.com/inward/record.uri?eid=2-s2.0-85075007191&amp;doi=10.1111%2fgcbb.12646&amp;partnerID=40&amp;md5=45592de5cbbd61d6922bc2017d8dc395</t>
  </si>
  <si>
    <t>Rethinking the (Wool) Economy</t>
  </si>
  <si>
    <t>10.1007/978-3-030-88300-3_6</t>
  </si>
  <si>
    <t>https://www.scopus.com/inward/record.uri?eid=2-s2.0-85148765722&amp;doi=10.1007%2f978-3-030-88300-3_6&amp;partnerID=40&amp;md5=9c9e5dc4233fd367b6f219ea1c0d3420</t>
  </si>
  <si>
    <t>https://www.scopus.com/inward/record.uri?eid=2-s2.0-85123593568&amp;doi=10.1016%2fj.conbuildmat.2022.126330&amp;partnerID=40&amp;md5=75d42136ce3d5624666fe1822aab902a</t>
  </si>
  <si>
    <t>https://www.scopus.com/inward/record.uri?eid=2-s2.0-85092500505&amp;doi=10.3389%2ffvets.2020.00651&amp;partnerID=40&amp;md5=6e533497193987d636cd09e63970d8fe</t>
  </si>
  <si>
    <t>https://www.scopus.com/inward/record.uri?eid=2-s2.0-85125386127&amp;doi=10.1080%2f19397038.2022.2042620&amp;partnerID=40&amp;md5=412c010e993677fb18fab9b03054a60b</t>
  </si>
  <si>
    <t>https://www.scopus.com/inward/record.uri?eid=2-s2.0-85082806592&amp;doi=10.1007%2fs12649-020-01007-3&amp;partnerID=40&amp;md5=a48fa17feb975db3765fc292cd99e30d</t>
  </si>
  <si>
    <t>https://www.scopus.com/inward/record.uri?eid=2-s2.0-85102538733&amp;doi=10.1016%2fj.jenvman.2021.112288&amp;partnerID=40&amp;md5=2e80c6cc81ba8aa6b177b648664f584e</t>
  </si>
  <si>
    <t>Application of a Nano-Enhanced Fertilizer in the Development of Agricultural Low-Carbon Economy in the Yangtze River Economic Belt</t>
  </si>
  <si>
    <t>https://www.scopus.com/inward/record.uri?eid=2-s2.0-85138148242&amp;doi=10.1155%2f2022%2f7732057&amp;partnerID=40&amp;md5=76f886e195072cedd31ff76faeb94905</t>
  </si>
  <si>
    <t>Biodiversity impact assessment of grazing sheep</t>
  </si>
  <si>
    <t>10.1007/978-3-030-50519-6_16</t>
  </si>
  <si>
    <t>https://www.scopus.com/inward/record.uri?eid=2-s2.0-85091586846&amp;doi=10.1007%2f978-3-030-50519-6_16&amp;partnerID=40&amp;md5=aea19e9a2810cd56054bacbe2bc70c32</t>
  </si>
  <si>
    <t>https://www.scopus.com/inward/record.uri?eid=2-s2.0-85086639882&amp;doi=10.1016%2fj.conbuildmat.2020.119786&amp;partnerID=40&amp;md5=2e49dae44177290af2620776ec59977b</t>
  </si>
  <si>
    <t>Environmental sustainability assessment from planetary boundaries perspective – A case study of an organic sheep farm in Finland</t>
  </si>
  <si>
    <t>10.1016/j.scitotenv.2019.06.120</t>
  </si>
  <si>
    <t>https://www.scopus.com/inward/record.uri?eid=2-s2.0-85067199449&amp;doi=10.1016%2fj.scitotenv.2019.06.120&amp;partnerID=40&amp;md5=08ee71ec5753b6d372c6115fc4ccff3d</t>
  </si>
  <si>
    <t>10.4081/IJA.2021.1789</t>
  </si>
  <si>
    <t>https://www.scopus.com/inward/record.uri?eid=2-s2.0-85115708789&amp;doi=10.4081%2fIJA.2021.1789&amp;partnerID=40&amp;md5=781c5043242e808419fa79b5d1f4c15a</t>
  </si>
  <si>
    <t>Towards a circular supply chain for textiles: An overview of cases</t>
  </si>
  <si>
    <t>https://www.scopus.com/inward/record.uri?eid=2-s2.0-85108081564&amp;partnerID=40&amp;md5=baeeefe3aa5566868ce856a8b8395f5b</t>
  </si>
  <si>
    <t>https://www.scopus.com/inward/record.uri?eid=2-s2.0-85114837630&amp;doi=10.1016%2fj.dib.2021.107356&amp;partnerID=40&amp;md5=7bec894bffb8fdd8131cbdeb32b8477d</t>
  </si>
  <si>
    <t>Waste Management In The Context Of The Development Of Sustainable Thermal Insulation Products For The Construction Sector</t>
  </si>
  <si>
    <t>https://www.scopus.com/inward/record.uri?eid=2-s2.0-85102335222&amp;partnerID=40&amp;md5=369a9c5145aab171399bffd94b2faecc</t>
  </si>
  <si>
    <t>Implication of SDGs on LCA based sustainable design of milk powder's dairy production</t>
  </si>
  <si>
    <t>10.1016/j.trpro.2022.12.038</t>
  </si>
  <si>
    <t>https://www.scopus.com/inward/record.uri?eid=2-s2.0-85159042840&amp;doi=10.1016%2fj.trpro.2022.12.038&amp;partnerID=40&amp;md5=7ee0d25b417b2e2c64c008e389ffa3f6</t>
  </si>
  <si>
    <t>https://www.scopus.com/inward/record.uri?eid=2-s2.0-85068837264&amp;doi=10.1016%2fj.jclepro.2019.07.061&amp;partnerID=40&amp;md5=b89fceff05c59e15506a387eba6cca1f</t>
  </si>
  <si>
    <t>An integrated approach to convert lignocellulosic and wool residues into balanced fertilisers</t>
  </si>
  <si>
    <t>https://www.scopus.com/inward/record.uri?eid=2-s2.0-85102411119&amp;doi=10.3390%2fen14020497&amp;partnerID=40&amp;md5=6132917c6e25b38ad869912f483d6459</t>
  </si>
  <si>
    <t>https://www.scopus.com/inward/record.uri?eid=2-s2.0-85125189921&amp;doi=10.3390%2fma15051638&amp;partnerID=40&amp;md5=528bd2903a5afbdf26cf8622b9f0ad63</t>
  </si>
  <si>
    <t>https://www.scopus.com/inward/record.uri?eid=2-s2.0-85125142475&amp;doi=10.3390%2fbuildings12020220&amp;partnerID=40&amp;md5=23f226a63ce44d9c4ba6e2b79fd52718</t>
  </si>
  <si>
    <t>From clothing rations to fast fashion: Utilising regenerated protein fibres to alleviate pressures on mass production</t>
  </si>
  <si>
    <t>https://www.scopus.com/inward/record.uri?eid=2-s2.0-85115650655&amp;doi=10.3390%2fen14185654&amp;partnerID=40&amp;md5=72e8147608eb64eaaab5671f3650b28c</t>
  </si>
  <si>
    <t>https://www.scopus.com/inward/record.uri?eid=2-s2.0-85119885250&amp;doi=10.1080%2f1828051X.2021.2003726&amp;partnerID=40&amp;md5=81a81695f96f3aae8146f92256d13836</t>
  </si>
  <si>
    <t>https://www.scopus.com/inward/record.uri?eid=2-s2.0-85122979142&amp;doi=10.3390%2fsu14031077&amp;partnerID=40&amp;md5=2b8d3b721658f8e78462cc132bf8ca67</t>
  </si>
  <si>
    <t>PROTEIN COMPOSITES FROM COLLAGEN BY-PRODUCTS FOR SAFE USE IN CIRCULAR ECONOMY</t>
  </si>
  <si>
    <t>10.24264/icams-2022.IV.8</t>
  </si>
  <si>
    <t>https://www.scopus.com/inward/record.uri?eid=2-s2.0-85153521658&amp;doi=10.24264%2ficams-2022.IV.8&amp;partnerID=40&amp;md5=2f3a286538aedc44474c7cd1f30fa8d9</t>
  </si>
  <si>
    <t>Towards a more sustainable circular bioeconomy. Innovative approaches to rice residue valorization: The RiceRes case study</t>
  </si>
  <si>
    <t>10.1016/j.biteb.2020.100427</t>
  </si>
  <si>
    <t>https://www.scopus.com/inward/record.uri?eid=2-s2.0-85085916142&amp;doi=10.1016%2fj.biteb.2020.100427&amp;partnerID=40&amp;md5=8cb2617d8953de06e016d3b7c8c838b9</t>
  </si>
  <si>
    <t>https://www.scopus.com/inward/record.uri?eid=2-s2.0-85071885435&amp;doi=10.1016%2fj.jclepro.2019.118254&amp;partnerID=40&amp;md5=c74de6824dbd6e512c91659f1000b3ce</t>
  </si>
  <si>
    <t>Energy balances and greenhouse gas emissions of agriculture in the shihezi oasis of China</t>
  </si>
  <si>
    <t>10.3390/ATMOS11080781</t>
  </si>
  <si>
    <t>https://www.scopus.com/inward/record.uri?eid=2-s2.0-85089530630&amp;doi=10.3390%2fATMOS11080781&amp;partnerID=40&amp;md5=948bc23798c2d379d5551075fefe9fc2</t>
  </si>
  <si>
    <t>Ecological application of natural biomaterial on natural fibres</t>
  </si>
  <si>
    <t>10.1016/j.clema.2021.100038</t>
  </si>
  <si>
    <t>https://www.scopus.com/inward/record.uri?eid=2-s2.0-85131252194&amp;doi=10.1016%2fj.clema.2021.100038&amp;partnerID=40&amp;md5=b48726a00b547eaa9a57d9ec1e41e2cb</t>
  </si>
  <si>
    <t>https://www.scopus.com/inward/record.uri?eid=2-s2.0-85074214889&amp;doi=10.1016%2fj.wasman.2019.10.026&amp;partnerID=40&amp;md5=c5f15e50b8ad2d51c5d58ddb67424a5b</t>
  </si>
  <si>
    <t>Zero liquid discharge in soilless greenhouse horticulture: Solutions to save water and the environment while ensuring an optimal production</t>
  </si>
  <si>
    <t>10.17660/ActaHortic.2020.1273.18</t>
  </si>
  <si>
    <t>https://www.scopus.com/inward/record.uri?eid=2-s2.0-85082761309&amp;doi=10.17660%2fActaHortic.2020.1273.18&amp;partnerID=40&amp;md5=2c5d84137cc3defed00f22904e4868c0</t>
  </si>
  <si>
    <t>https://www.scopus.com/inward/record.uri?eid=2-s2.0-85129344461&amp;doi=10.3390%2fen15093008&amp;partnerID=40&amp;md5=58bbdbd6dac18a37c3736ca9f0d416a7</t>
  </si>
  <si>
    <t>https://www.scopus.com/inward/record.uri?eid=2-s2.0-85124069725&amp;doi=10.1016%2fj.smallrumres.2022.106637&amp;partnerID=40&amp;md5=87b7a262384f0edd8647b6cb2e26a0d1</t>
  </si>
  <si>
    <t>https://www.scopus.com/inward/record.uri?eid=2-s2.0-85097833953&amp;doi=10.3389%2ffsufs.2020.544984&amp;partnerID=40&amp;md5=c7fbbe8290f8af1aea3cc6e1b5039aa3</t>
  </si>
  <si>
    <t>Biomacromolecules and bio-sourced products as flame retardants for textiles: A novel approach toward sustainability</t>
  </si>
  <si>
    <t>10.1016/B978-0-323-85204-3.00017-8</t>
  </si>
  <si>
    <t>https://www.scopus.com/inward/record.uri?eid=2-s2.0-85128112641&amp;doi=10.1016%2fB978-0-323-85204-3.00017-8&amp;partnerID=40&amp;md5=59510c33558b362092bffb1a790ba3a6</t>
  </si>
  <si>
    <t>Complexes based on collagen and keratin for applications in agriculture</t>
  </si>
  <si>
    <t>10.24264/icams-2020.II.19</t>
  </si>
  <si>
    <t>https://www.scopus.com/inward/record.uri?eid=2-s2.0-85112163169&amp;doi=10.24264%2ficams-2020.II.19&amp;partnerID=40&amp;md5=26259e18a5e47215affb71cd17702800</t>
  </si>
  <si>
    <t>World markets for textile machinery: Yarn and fabric manufacture</t>
  </si>
  <si>
    <t>https://www.scopus.com/inward/record.uri?eid=2-s2.0-85118560223&amp;partnerID=40&amp;md5=64b74911fe123fdda6db4a317c087f35</t>
  </si>
  <si>
    <t>Profile of indorama ventures (Ivl): A polyester heavyweight turned environmental steward</t>
  </si>
  <si>
    <t>https://www.scopus.com/inward/record.uri?eid=2-s2.0-85108559236&amp;partnerID=40&amp;md5=17627294ca68e1ca67e3b4d52d798c22</t>
  </si>
  <si>
    <t>Tilia sp.’s pruning residues wood panels for thermal insulation</t>
  </si>
  <si>
    <t>10.1016/B978-0-12-819481-2.00007-6</t>
  </si>
  <si>
    <t>https://www.scopus.com/inward/record.uri?eid=2-s2.0-85133991891&amp;doi=10.1016%2fB978-0-12-819481-2.00007-6&amp;partnerID=40&amp;md5=31366a240369dbe78a95202c98e0f894</t>
  </si>
  <si>
    <t>Environmental Assessment of Greenhouse Gases Emission from Sheep Breeding in Vojvodina Region of Serbia</t>
  </si>
  <si>
    <t>https://www.scopus.com/inward/record.uri?eid=2-s2.0-85097437333&amp;doi=10.2478%2facve-2020-0036&amp;partnerID=40&amp;md5=09d825282aa919e75e7763d688de2671</t>
  </si>
  <si>
    <t>Optimization of Alkali-Activated Mineral Wool Mixture for Panel Production</t>
  </si>
  <si>
    <t>10.1007/978-3-030-76543-9_14</t>
  </si>
  <si>
    <t>https://www.scopus.com/inward/record.uri?eid=2-s2.0-85111810731&amp;doi=10.1007%2f978-3-030-76543-9_14&amp;partnerID=40&amp;md5=59f45db2f2c1a3524bbfb46d33e96e51</t>
  </si>
  <si>
    <t>A Fashion Future: Fibre Diet</t>
  </si>
  <si>
    <t>10.1007/978-3-030-88300-3_7</t>
  </si>
  <si>
    <t>https://www.scopus.com/inward/record.uri?eid=2-s2.0-85152833323&amp;doi=10.1007%2f978-3-030-88300-3_7&amp;partnerID=40&amp;md5=189e523359481cbdb93cadf86eebda1c</t>
  </si>
  <si>
    <t>Possibility routes for textile recycling technology</t>
  </si>
  <si>
    <t>10.3390/polym13213834</t>
  </si>
  <si>
    <t>https://www.scopus.com/inward/record.uri?eid=2-s2.0-85118756943&amp;doi=10.3390%2fpolym13213834&amp;partnerID=40&amp;md5=4242f796128a54a36d79d163199e4af5</t>
  </si>
  <si>
    <t>https://www.scopus.com/inward/record.uri?eid=2-s2.0-85114793588&amp;doi=10.1016%2fj.smallrumres.2021.106516&amp;partnerID=40&amp;md5=6e9606b9ada9885214d90e71e5993f88</t>
  </si>
  <si>
    <t>Lump: Textil âtervinning under det lânga 1800-talet</t>
  </si>
  <si>
    <t>https://www.scopus.com/inward/record.uri?eid=2-s2.0-85096451654&amp;partnerID=40&amp;md5=10facba1782012032b50d03aa07b3d77</t>
  </si>
  <si>
    <t>https://www.scopus.com/inward/record.uri?eid=2-s2.0-85109400190&amp;doi=10.1177%2f00219983211031656&amp;partnerID=40&amp;md5=ea48afb4e512e765d2db6ddb5208e558</t>
  </si>
  <si>
    <t>https://www.scopus.com/inward/record.uri?eid=2-s2.0-85106307449&amp;doi=10.1002%2fapp.51170&amp;partnerID=40&amp;md5=5e32cad58c2280f15e8918dea2ef62dd</t>
  </si>
  <si>
    <t>The potential for hydrolysed sheep wool as a sustainable source of fertiliser for irish agriculture</t>
  </si>
  <si>
    <t>https://www.scopus.com/inward/record.uri?eid=2-s2.0-85122001446&amp;doi=10.3390%2fsu14010365&amp;partnerID=40&amp;md5=6f4191666fd1a5d88fc787733760c15e</t>
  </si>
  <si>
    <t>Development of Natural Fibre-Reinforced Semi-Finished Products with Bio-Based Matrix for Eco-Friendly Composites</t>
  </si>
  <si>
    <t>10.3390/polym14040698</t>
  </si>
  <si>
    <t>https://www.scopus.com/inward/record.uri?eid=2-s2.0-85124704506&amp;doi=10.3390%2fpolym14040698&amp;partnerID=40&amp;md5=c84577cb674740713ddbfe18e6491225</t>
  </si>
  <si>
    <t>Natural fibres call for credibility in textile labelling</t>
  </si>
  <si>
    <t>https://www.scopus.com/inward/record.uri?eid=2-s2.0-85148664855&amp;partnerID=40&amp;md5=59e53f741173f04849d0139bbc9d3139</t>
  </si>
  <si>
    <t>10.11975/j.issn.1002-6819.2021.24.030</t>
  </si>
  <si>
    <t>https://www.scopus.com/inward/record.uri?eid=2-s2.0-85126108409&amp;doi=10.11975%2fj.issn.1002-6819.2021.24.030&amp;partnerID=40&amp;md5=e57bfe30facc7ea77fbc7cad4bfe3ad2</t>
  </si>
  <si>
    <t>Life-cycle assessment of dairy products-Case study of regional cheese produced in Portugal</t>
  </si>
  <si>
    <t>10.3390/PR8091182</t>
  </si>
  <si>
    <t>https://www.scopus.com/inward/record.uri?eid=2-s2.0-85092574770&amp;doi=10.3390%2fPR8091182&amp;partnerID=40&amp;md5=6d65708d1bc88e25e8eca60bd41416c6</t>
  </si>
  <si>
    <t>https://www.scopus.com/inward/record.uri?eid=2-s2.0-85114734373&amp;doi=10.1016%2fj.livsci.2021.104697&amp;partnerID=40&amp;md5=0e00486b14d331384ddeedeec65e2cbe</t>
  </si>
  <si>
    <t>Histological and lectin histochemical studies in the vomeronasal organ of the Korean black goat, Capra hircus coreanae</t>
  </si>
  <si>
    <t>10.1016/j.acthis.2021.151684</t>
  </si>
  <si>
    <t>https://www.scopus.com/inward/record.uri?eid=2-s2.0-85099795865&amp;doi=10.1016%2fj.acthis.2021.151684&amp;partnerID=40&amp;md5=1bf851d332ba7609ae8fb28bf1fecc04</t>
  </si>
  <si>
    <t>https://www.scopus.com/inward/record.uri?eid=2-s2.0-85102470835&amp;doi=10.5890%2fJEAM.2020.09.002&amp;partnerID=40&amp;md5=d6490ce0db0b7a273ef7e776a9ed7c1c</t>
  </si>
  <si>
    <t>https://www.scopus.com/inward/record.uri?eid=2-s2.0-85115964296&amp;doi=10.1039%2fd1nj03834f&amp;partnerID=40&amp;md5=a70b5964ea52be4f5b81ba4122ab49a4</t>
  </si>
  <si>
    <t>Virgin natural cork characterization as a sustainable material for use in acoustic solutions</t>
  </si>
  <si>
    <t>https://www.scopus.com/inward/record.uri?eid=2-s2.0-85105819728&amp;doi=10.3390%2fsu13094976&amp;partnerID=40&amp;md5=765898eb8f7c4e647e72de9988f33438</t>
  </si>
  <si>
    <t>Nonwoven textile waste added with PCM for building applications</t>
  </si>
  <si>
    <t>https://www.scopus.com/inward/record.uri?eid=2-s2.0-85100588981&amp;doi=10.3390%2fapp11031262&amp;partnerID=40&amp;md5=f48798db6c1b78a92fa82fb2ec135506</t>
  </si>
  <si>
    <t>Circular Economy in the Textile Industry: Evidence from the Prato District</t>
  </si>
  <si>
    <t>10.1007/978-3-030-90217-9_11</t>
  </si>
  <si>
    <t>https://www.scopus.com/inward/record.uri?eid=2-s2.0-85122680296&amp;doi=10.1007%2f978-3-030-90217-9_11&amp;partnerID=40&amp;md5=e555c2ca16b0bb427559e331f18d24d5</t>
  </si>
  <si>
    <t>Highly selective enzymatic recovery of building blocks fromwool-cotton-polyester textile waste blends</t>
  </si>
  <si>
    <t>https://www.scopus.com/inward/record.uri?eid=2-s2.0-85054513453&amp;doi=10.3390%2fpolym10101107&amp;partnerID=40&amp;md5=92b787da41120f8c04f4e16ed582fd38</t>
  </si>
  <si>
    <t>https://www.scopus.com/inward/record.uri?eid=2-s2.0-85083640590&amp;doi=10.1177%2f0038026119854273&amp;partnerID=40&amp;md5=f9bfa9bdd38b5ffa1457a51f2174311e</t>
  </si>
  <si>
    <t>Environmental hot-spots and improvement scenarios for Tuscan “Pecorino” cheese using Life Cycle Assessment</t>
  </si>
  <si>
    <t>10.1016/j.jclepro.2018.05.078</t>
  </si>
  <si>
    <t>https://www.scopus.com/inward/record.uri?eid=2-s2.0-85049346818&amp;doi=10.1016%2fj.jclepro.2018.05.078&amp;partnerID=40&amp;md5=d63d639a78cd4a7fdb70d0116ebebb4e</t>
  </si>
  <si>
    <t>https://www.scopus.com/inward/record.uri?eid=2-s2.0-84979658392&amp;doi=10.1016%2fj.agsy.2016.07.004&amp;partnerID=40&amp;md5=6e33a40bb68797b451d9db309f2ed9ef</t>
  </si>
  <si>
    <t>Building and characterizing regional and global emission inventories of toxic pollutants</t>
  </si>
  <si>
    <t>10.1021/es405798x</t>
  </si>
  <si>
    <t>https://www.scopus.com/inward/record.uri?eid=2-s2.0-84901044566&amp;doi=10.1021%2fes405798x&amp;partnerID=40&amp;md5=ab6a5655753f3235569cc7491f9d63fc</t>
  </si>
  <si>
    <t>Development of sound absorption materials made from recycled glass</t>
  </si>
  <si>
    <t>https://www.scopus.com/inward/record.uri?eid=2-s2.0-85084163514&amp;partnerID=40&amp;md5=37c42ba95f412a4e9442cdbb8cf16b3c</t>
  </si>
  <si>
    <t>Textile qualities of regenerated cellulose fibers from cotton waste pulp</t>
  </si>
  <si>
    <t>10.1177/0040517517723021</t>
  </si>
  <si>
    <t>https://www.scopus.com/inward/record.uri?eid=2-s2.0-85045077969&amp;doi=10.1177%2f0040517517723021&amp;partnerID=40&amp;md5=0f2ee528a265d30c1a228944b3194bf0</t>
  </si>
  <si>
    <t>Measuring GHG emissions across the agri-food sector value chain: The development of a bioeconomy input-output model</t>
  </si>
  <si>
    <t>10.18461/ijfsd.v10i1.04</t>
  </si>
  <si>
    <t>https://www.scopus.com/inward/record.uri?eid=2-s2.0-85063991053&amp;doi=10.18461%2fijfsd.v10i1.04&amp;partnerID=40&amp;md5=dbf0e38b8d2a5ced4f1b4619f84c4dbb</t>
  </si>
  <si>
    <t>Greenhouse gas balance of mountain dairy farms as affected by grassland carbon sequestration</t>
  </si>
  <si>
    <t>10.1016/j.jenvman.2017.03.052</t>
  </si>
  <si>
    <t>https://www.scopus.com/inward/record.uri?eid=2-s2.0-85016483504&amp;doi=10.1016%2fj.jenvman.2017.03.052&amp;partnerID=40&amp;md5=8f74e39ba5ede1497cc373a0a065ca3f</t>
  </si>
  <si>
    <t>Water footprint of beef cattle and sheep produced in New Zealand: Water scarcity and eutrophication impacts</t>
  </si>
  <si>
    <t>https://www.scopus.com/inward/record.uri?eid=2-s2.0-84901332948&amp;doi=10.1016%2fj.jclepro.2013.12.025&amp;partnerID=40&amp;md5=23c3b7e2c40ddf10aced4beb26224fcf</t>
  </si>
  <si>
    <t>https://www.scopus.com/inward/record.uri?eid=2-s2.0-85028356507&amp;doi=10.1016%2fj.jclepro.2017.07.115&amp;partnerID=40&amp;md5=b053597ce6484f7ba0e48f344180fc50</t>
  </si>
  <si>
    <t>Can UK livestock production be configured to maintain production while meeting targets to reduce emissions of greenhouse gases and ammonia?</t>
  </si>
  <si>
    <t>10.1016/j.jclepro.2014.06.085</t>
  </si>
  <si>
    <t>https://www.scopus.com/inward/record.uri?eid=2-s2.0-84908227918&amp;doi=10.1016%2fj.jclepro.2014.06.085&amp;partnerID=40&amp;md5=7d19954b1d1d8c54f846454129e9a5d0</t>
  </si>
  <si>
    <t>Can extensification compensate livestock greenhouse gas emissions? A study of the carbon footprint in Spanish agroforestry systems</t>
  </si>
  <si>
    <t>10.1016/j.jclepro.2018.07.279</t>
  </si>
  <si>
    <t>https://www.scopus.com/inward/record.uri?eid=2-s2.0-85050800099&amp;doi=10.1016%2fj.jclepro.2018.07.279&amp;partnerID=40&amp;md5=b020fbbecf714bc12510edc4fed4be8a</t>
  </si>
  <si>
    <t>Influence of boron supplementation on performance, immunity and antioxidant status of lambs fed diets with or without adequate level of calcium</t>
  </si>
  <si>
    <t>10.1371/journal.pone.0187203</t>
  </si>
  <si>
    <t>https://www.scopus.com/inward/record.uri?eid=2-s2.0-85034058936&amp;doi=10.1371%2fjournal.pone.0187203&amp;partnerID=40&amp;md5=b9aafcef4bc1740d03d99feb4fd17d5a</t>
  </si>
  <si>
    <t>Street trees’ management perspectives: Reuse of Tilia sp.’s pruning waste for insulation purposes</t>
  </si>
  <si>
    <t>https://www.scopus.com/inward/record.uri?eid=2-s2.0-85059079259&amp;doi=10.1016%2fj.ufug.2018.12.009&amp;partnerID=40&amp;md5=6781ebee27d42617b0f170e3592a7f1a</t>
  </si>
  <si>
    <t>https://www.scopus.com/inward/record.uri?eid=2-s2.0-85073658940&amp;doi=10.1021%2facssuschemeng.9b02415&amp;partnerID=40&amp;md5=6a8fda8030b3aabeb30a0792bdb31b82</t>
  </si>
  <si>
    <t>Sustainable denim yarn: Quality-cost analysis and analytic hierarchy process (AHP) optimization</t>
  </si>
  <si>
    <t>10.14504/ajr.5.4.3</t>
  </si>
  <si>
    <t>https://www.scopus.com/inward/record.uri?eid=2-s2.0-85054012233&amp;doi=10.14504%2fajr.5.4.3&amp;partnerID=40&amp;md5=0d963acff17189f614faad6a3441eead</t>
  </si>
  <si>
    <t>Carbon footprint of milk from sheep farming systems in Northern Spain including soil carbon sequestration in grasslands</t>
  </si>
  <si>
    <t>10.1016/j.jclepro.2015.05.043</t>
  </si>
  <si>
    <t>https://www.scopus.com/inward/record.uri?eid=2-s2.0-84931571309&amp;doi=10.1016%2fj.jclepro.2015.05.043&amp;partnerID=40&amp;md5=9529731a423b8d2d77a1b72900086701</t>
  </si>
  <si>
    <t>Patterns of Brucellosis Infection Symptoms in Azerbaijan: A Latent Class Cluster Analysis</t>
  </si>
  <si>
    <t>10.1155/2014/593873</t>
  </si>
  <si>
    <t>https://www.scopus.com/inward/record.uri?eid=2-s2.0-84975274964&amp;doi=10.1155%2f2014%2f593873&amp;partnerID=40&amp;md5=aefded8dac5c149f8776c5ede7d31953</t>
  </si>
  <si>
    <t>https://www.scopus.com/inward/record.uri?eid=2-s2.0-84907802941&amp;doi=10.1016%2fj.scitotenv.2014.09.020&amp;partnerID=40&amp;md5=21ed25a20cb7cd129235f6fadab1b869</t>
  </si>
  <si>
    <t>https://www.scopus.com/inward/record.uri?eid=2-s2.0-85039038814&amp;doi=10.1016%2fj.smallrumres.2017.12.002&amp;partnerID=40&amp;md5=4ff68f35d973691b94d7be1c1fa846b3</t>
  </si>
  <si>
    <t>https://www.scopus.com/inward/record.uri?eid=2-s2.0-85076611778&amp;doi=10.17660%2fActaHortic.2019.1266.45&amp;partnerID=40&amp;md5=b216416a466263efc40cb45477c39ec4</t>
  </si>
  <si>
    <t>https://www.scopus.com/inward/record.uri?eid=2-s2.0-85051852998&amp;doi=10.1002%2ffes3.143&amp;partnerID=40&amp;md5=d9c26a18f9ba4e07cb53aaf432f25fb3</t>
  </si>
  <si>
    <t>Carbon footprint of light leathers</t>
  </si>
  <si>
    <t>https://www.scopus.com/inward/record.uri?eid=2-s2.0-84983167686&amp;partnerID=40&amp;md5=4d5dbedfd7b8a2eed4b8a84dddfd6137</t>
  </si>
  <si>
    <t>Innovative natural yarn manufactured from waste</t>
  </si>
  <si>
    <t>https://www.scopus.com/inward/record.uri?eid=2-s2.0-85066111178&amp;doi=10.1007%2f978-3-030-16943-5_41&amp;partnerID=40&amp;md5=8e876cc3934181c40d434e4822b4087b</t>
  </si>
  <si>
    <t>Innovative Thermal Insulation Products for a Circular Economy</t>
  </si>
  <si>
    <t>10.1088/1755-1315/290/1/012037</t>
  </si>
  <si>
    <t>https://www.scopus.com/inward/record.uri?eid=2-s2.0-85068748994&amp;doi=10.1088%2f1755-1315%2f290%2f1%2f012037&amp;partnerID=40&amp;md5=44e177d5bf5911771731099b01e84ec6</t>
  </si>
  <si>
    <t>Biomass residues as a source of natural dyes for textile industries: The case study of cork powder</t>
  </si>
  <si>
    <t>https://www.scopus.com/inward/record.uri?eid=2-s2.0-85071065954&amp;partnerID=40&amp;md5=3759d0e507b1f5352c33ff7564049eb0</t>
  </si>
  <si>
    <t>https://www.scopus.com/inward/record.uri?eid=2-s2.0-84920413738&amp;doi=10.1071%2fAN14222&amp;partnerID=40&amp;md5=195a229b6198396e7713b8a5dd876a00</t>
  </si>
  <si>
    <t>Keratins from chicken feathers and sheep wool: Comparison of their molecular weight by gel electrophoresis; [Queratinas de plumaje de pollo y lana de oveja: Comparativa de sus masas moleculares mediante electroforesis en gel]</t>
  </si>
  <si>
    <t>10.21071/az.v68i263.4203</t>
  </si>
  <si>
    <t>https://www.scopus.com/inward/record.uri?eid=2-s2.0-85073342681&amp;doi=10.21071%2faz.v68i263.4203&amp;partnerID=40&amp;md5=f6c13dddb2a2e5b14ef285cbab54015e</t>
  </si>
  <si>
    <t>https://www.scopus.com/inward/record.uri?eid=2-s2.0-85046641610&amp;doi=10.1016%2fj.scitotenv.2018.04.315&amp;partnerID=40&amp;md5=f0635a84e80170b34af50c1e6f00e025</t>
  </si>
  <si>
    <t>Accounting for water use in australian red meat production</t>
  </si>
  <si>
    <t>https://www.scopus.com/inward/record.uri?eid=2-s2.0-78651381050&amp;doi=10.1007%2fs11367-010-0161-x&amp;partnerID=40&amp;md5=af89b22d19c8ce55c96e2fe5146207e4</t>
  </si>
  <si>
    <t>https://www.scopus.com/inward/record.uri?eid=2-s2.0-35348984924&amp;doi=10.1016%2fj.biombioe.2007.05.003&amp;partnerID=40&amp;md5=10866500b7c9ff56cfb4150a851774d6</t>
  </si>
  <si>
    <t>https://www.scopus.com/inward/record.uri?eid=2-s2.0-33846271103&amp;doi=10.1007%2fs11284-006-0191-9&amp;partnerID=40&amp;md5=f6877634318623400c216a7aead8e8e6</t>
  </si>
  <si>
    <t>https://www.scopus.com/inward/record.uri?eid=2-s2.0-84868655578&amp;doi=10.1016%2fj.jclepro.2012.09.032&amp;partnerID=40&amp;md5=b170bb47790837681a5481073712640b</t>
  </si>
  <si>
    <t>https://www.scopus.com/inward/record.uri?eid=2-s2.0-0032925703&amp;doi=10.1016%2fS0147-9571%2898%2900026-5&amp;partnerID=40&amp;md5=7b44b9e93ca99287e29ec29ab4f2600c</t>
  </si>
  <si>
    <t>Induction and separation of mouse helper T cells by lectins</t>
  </si>
  <si>
    <t>https://www.scopus.com/inward/record.uri?eid=2-s2.0-0018820834&amp;partnerID=40&amp;md5=191bc9d4af98bb24a79d406ed7db4091</t>
  </si>
  <si>
    <t>A breeze of change - Quantity Vs Quality</t>
  </si>
  <si>
    <t>https://www.scopus.com/inward/record.uri?eid=2-s2.0-0037282888&amp;partnerID=40&amp;md5=9ac63bfd60f8c8e050d3ae5b82277d11</t>
  </si>
  <si>
    <t>Design and development of recycled polyester/wool blended fabric</t>
  </si>
  <si>
    <t>https://www.scopus.com/inward/record.uri?eid=2-s2.0-77952677618&amp;partnerID=40&amp;md5=9644b61218e4534cec95455c310e50db</t>
  </si>
  <si>
    <t>https://www.scopus.com/inward/record.uri?eid=2-s2.0-84888826415&amp;doi=10.1016%2fj.agsy.2012.11.002&amp;partnerID=40&amp;md5=b3a907b15e7e8a3579c801172137612b</t>
  </si>
  <si>
    <t>https://www.scopus.com/inward/record.uri?eid=2-s2.0-79960629546&amp;doi=10.1007%2fs11367-011-0279-5&amp;partnerID=40&amp;md5=f236b24ed8aa6d0e004f6855a239e8a8</t>
  </si>
  <si>
    <t>retracted</t>
  </si>
  <si>
    <t>è in cinese</t>
  </si>
  <si>
    <t>è in polacco</t>
  </si>
  <si>
    <t>using Life Cycle Assessment in tenders to enhance the sustainable procurement of External Thermal Insulation Composite Systems</t>
  </si>
  <si>
    <t>scartato titolo</t>
  </si>
  <si>
    <t>irrintracciabile - conferenza</t>
  </si>
  <si>
    <t>cinese irrintracciabile</t>
  </si>
  <si>
    <t>introvabile, richiesto</t>
  </si>
  <si>
    <t>introvabile, richiesto, inutile</t>
  </si>
  <si>
    <t>inutile</t>
  </si>
  <si>
    <t>conferenza</t>
  </si>
  <si>
    <t>inutile, spagnolo</t>
  </si>
  <si>
    <t>scartato conference paper</t>
  </si>
  <si>
    <t>inaccessibile</t>
  </si>
  <si>
    <t>richiesto</t>
  </si>
  <si>
    <t>capitolo libro</t>
  </si>
  <si>
    <t>introvabile</t>
  </si>
  <si>
    <t>spagnolo inutile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</si>
</sst>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  <xf numFmtId="0" fontId="0" fillId="6" borderId="0" xfId="0" applyFill="1"/>
    <xf numFmtId="0" fontId="1" fillId="2" borderId="0" xfId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1" fillId="8" borderId="0" xfId="1" applyFill="1"/>
    <xf numFmtId="0" fontId="0" fillId="0" borderId="0" xfId="0" applyFill="1"/>
    <xf numFmtId="0" fontId="2" fillId="0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opus.com/inward/record.uri?eid=2-s2.0-84983167686&amp;partnerID=40&amp;md5=4d5dbedfd7b8a2eed4b8a84dddfd6137" TargetMode="External"/><Relationship Id="rId1" Type="http://schemas.openxmlformats.org/officeDocument/2006/relationships/hyperlink" Target="https://www.scopus.com/inward/record.uri?eid=2-s2.0-84941010457&amp;doi=10.1016%2fB978-0-08-100169-1.00010-1&amp;partnerID=40&amp;md5=f5ef508b9f4caef17ea2bd906a4eeb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"/>
  <sheetViews>
    <sheetView topLeftCell="A313" workbookViewId="0">
      <selection activeCell="A336" sqref="A336"/>
    </sheetView>
  </sheetViews>
  <sheetFormatPr defaultRowHeight="14.4" x14ac:dyDescent="0.3"/>
  <cols>
    <col min="1" max="1" width="9.21875" bestFit="1" customWidth="1"/>
    <col min="2" max="2" width="255.77734375" bestFit="1" customWidth="1"/>
    <col min="3" max="3" width="169.33203125" style="13" customWidth="1"/>
    <col min="4" max="4" width="5" customWidth="1"/>
    <col min="5" max="5" width="35.21875" customWidth="1"/>
    <col min="6" max="6" width="151.5546875" customWidth="1"/>
    <col min="7" max="7" width="9.21875" bestFit="1" customWidth="1"/>
  </cols>
  <sheetData>
    <row r="1" spans="1:8" x14ac:dyDescent="0.3">
      <c r="A1" t="s">
        <v>498</v>
      </c>
      <c r="B1" t="s">
        <v>0</v>
      </c>
      <c r="D1" t="s">
        <v>170</v>
      </c>
      <c r="E1" t="s">
        <v>171</v>
      </c>
      <c r="F1" t="s">
        <v>328</v>
      </c>
      <c r="G1" t="s">
        <v>499</v>
      </c>
      <c r="H1">
        <f>SUM(A:A)</f>
        <v>600</v>
      </c>
    </row>
    <row r="2" spans="1:8" x14ac:dyDescent="0.3">
      <c r="A2">
        <v>1</v>
      </c>
      <c r="B2" s="1" t="s">
        <v>1529</v>
      </c>
      <c r="D2">
        <v>1980</v>
      </c>
      <c r="F2" t="s">
        <v>1530</v>
      </c>
      <c r="G2">
        <f>IF(MATCH(B2,'scopus results'!B:B, 0), 1, 0)</f>
        <v>1</v>
      </c>
    </row>
    <row r="3" spans="1:8" x14ac:dyDescent="0.3">
      <c r="A3">
        <v>1</v>
      </c>
      <c r="B3" s="1" t="s">
        <v>46</v>
      </c>
      <c r="D3">
        <v>1998</v>
      </c>
      <c r="E3" t="s">
        <v>213</v>
      </c>
      <c r="F3" t="s">
        <v>374</v>
      </c>
    </row>
    <row r="4" spans="1:8" x14ac:dyDescent="0.3">
      <c r="A4">
        <v>1</v>
      </c>
      <c r="B4" s="1" t="s">
        <v>743</v>
      </c>
      <c r="D4">
        <v>1999</v>
      </c>
      <c r="E4" t="s">
        <v>744</v>
      </c>
      <c r="F4" t="s">
        <v>1528</v>
      </c>
      <c r="G4">
        <f>IF(MATCH(B4,'scopus results'!B:B, 0), 1, 0)</f>
        <v>1</v>
      </c>
    </row>
    <row r="5" spans="1:8" x14ac:dyDescent="0.3">
      <c r="A5">
        <v>0</v>
      </c>
      <c r="B5" s="11" t="s">
        <v>169</v>
      </c>
      <c r="C5" s="14" t="s">
        <v>1544</v>
      </c>
      <c r="D5">
        <v>2002</v>
      </c>
      <c r="F5" t="s">
        <v>497</v>
      </c>
    </row>
    <row r="6" spans="1:8" x14ac:dyDescent="0.3">
      <c r="A6">
        <v>1</v>
      </c>
      <c r="B6" s="1" t="s">
        <v>32</v>
      </c>
      <c r="D6">
        <v>2003</v>
      </c>
      <c r="F6" t="s">
        <v>360</v>
      </c>
    </row>
    <row r="7" spans="1:8" x14ac:dyDescent="0.3">
      <c r="B7" s="11" t="s">
        <v>1531</v>
      </c>
      <c r="C7" s="14" t="s">
        <v>1545</v>
      </c>
      <c r="D7">
        <v>2003</v>
      </c>
      <c r="F7" t="s">
        <v>1532</v>
      </c>
      <c r="G7">
        <f>IF(MATCH(B7,'scopus results'!B:B, 0), 1, 0)</f>
        <v>1</v>
      </c>
    </row>
    <row r="8" spans="1:8" x14ac:dyDescent="0.3">
      <c r="A8">
        <v>1</v>
      </c>
      <c r="B8" s="1" t="s">
        <v>2</v>
      </c>
      <c r="D8">
        <v>2004</v>
      </c>
      <c r="E8" t="s">
        <v>172</v>
      </c>
      <c r="F8" t="s">
        <v>330</v>
      </c>
    </row>
    <row r="9" spans="1:8" x14ac:dyDescent="0.3">
      <c r="A9">
        <v>1</v>
      </c>
      <c r="B9" s="1" t="s">
        <v>3</v>
      </c>
      <c r="D9">
        <v>2004</v>
      </c>
      <c r="E9" t="s">
        <v>173</v>
      </c>
      <c r="F9" t="s">
        <v>331</v>
      </c>
    </row>
    <row r="10" spans="1:8" x14ac:dyDescent="0.3">
      <c r="A10">
        <v>1</v>
      </c>
      <c r="B10" s="1" t="s">
        <v>4</v>
      </c>
      <c r="D10">
        <v>2004</v>
      </c>
      <c r="E10" t="s">
        <v>174</v>
      </c>
      <c r="F10" t="s">
        <v>332</v>
      </c>
    </row>
    <row r="11" spans="1:8" x14ac:dyDescent="0.3">
      <c r="A11">
        <v>1</v>
      </c>
      <c r="B11" s="1" t="s">
        <v>13</v>
      </c>
      <c r="D11">
        <v>2005</v>
      </c>
      <c r="E11" t="s">
        <v>182</v>
      </c>
      <c r="F11" t="s">
        <v>341</v>
      </c>
    </row>
    <row r="12" spans="1:8" x14ac:dyDescent="0.3">
      <c r="A12">
        <v>1</v>
      </c>
      <c r="B12" s="1" t="s">
        <v>86</v>
      </c>
      <c r="D12">
        <v>2005</v>
      </c>
      <c r="F12" t="s">
        <v>414</v>
      </c>
    </row>
    <row r="13" spans="1:8" x14ac:dyDescent="0.3">
      <c r="A13">
        <v>1</v>
      </c>
      <c r="B13" s="1" t="s">
        <v>78</v>
      </c>
      <c r="D13">
        <v>2006</v>
      </c>
      <c r="E13" t="s">
        <v>244</v>
      </c>
      <c r="F13" t="s">
        <v>406</v>
      </c>
    </row>
    <row r="14" spans="1:8" x14ac:dyDescent="0.3">
      <c r="A14">
        <v>1</v>
      </c>
      <c r="B14" s="1" t="s">
        <v>148</v>
      </c>
      <c r="D14">
        <v>2006</v>
      </c>
      <c r="F14" t="s">
        <v>476</v>
      </c>
    </row>
    <row r="15" spans="1:8" x14ac:dyDescent="0.3">
      <c r="A15">
        <v>0</v>
      </c>
      <c r="B15" s="11" t="s">
        <v>28</v>
      </c>
      <c r="C15" s="14" t="s">
        <v>1546</v>
      </c>
      <c r="D15">
        <v>2007</v>
      </c>
      <c r="F15" t="s">
        <v>356</v>
      </c>
    </row>
    <row r="16" spans="1:8" x14ac:dyDescent="0.3">
      <c r="A16">
        <v>0</v>
      </c>
      <c r="B16" s="11" t="s">
        <v>70</v>
      </c>
      <c r="C16" s="14" t="s">
        <v>1546</v>
      </c>
      <c r="D16">
        <v>2007</v>
      </c>
      <c r="F16" t="s">
        <v>398</v>
      </c>
    </row>
    <row r="17" spans="1:7" x14ac:dyDescent="0.3">
      <c r="A17">
        <v>0</v>
      </c>
      <c r="B17" s="11" t="s">
        <v>123</v>
      </c>
      <c r="C17" s="14" t="s">
        <v>1546</v>
      </c>
      <c r="D17">
        <v>2007</v>
      </c>
      <c r="F17" t="s">
        <v>451</v>
      </c>
    </row>
    <row r="18" spans="1:7" x14ac:dyDescent="0.3">
      <c r="A18">
        <v>0</v>
      </c>
      <c r="B18" s="11" t="s">
        <v>163</v>
      </c>
      <c r="C18" s="14" t="s">
        <v>1546</v>
      </c>
      <c r="D18">
        <v>2007</v>
      </c>
      <c r="F18" t="s">
        <v>491</v>
      </c>
    </row>
    <row r="19" spans="1:7" x14ac:dyDescent="0.3">
      <c r="A19">
        <v>1</v>
      </c>
      <c r="B19" s="1" t="s">
        <v>749</v>
      </c>
      <c r="D19">
        <v>2007</v>
      </c>
      <c r="E19" t="s">
        <v>750</v>
      </c>
      <c r="F19" t="s">
        <v>1525</v>
      </c>
      <c r="G19">
        <f>IF(MATCH(B19,'scopus results'!B:B, 0), 1, 0)</f>
        <v>1</v>
      </c>
    </row>
    <row r="20" spans="1:7" x14ac:dyDescent="0.3">
      <c r="A20">
        <v>1</v>
      </c>
      <c r="B20" s="1" t="s">
        <v>746</v>
      </c>
      <c r="D20">
        <v>2007</v>
      </c>
      <c r="E20" t="s">
        <v>747</v>
      </c>
      <c r="F20" t="s">
        <v>1526</v>
      </c>
      <c r="G20">
        <f>IF(MATCH(B20,'scopus results'!B:B, 0), 1, 0)</f>
        <v>1</v>
      </c>
    </row>
    <row r="21" spans="1:7" x14ac:dyDescent="0.3">
      <c r="A21">
        <v>1</v>
      </c>
      <c r="B21" s="1" t="s">
        <v>155</v>
      </c>
      <c r="D21">
        <v>2009</v>
      </c>
      <c r="E21" t="s">
        <v>317</v>
      </c>
      <c r="F21" t="s">
        <v>483</v>
      </c>
    </row>
    <row r="22" spans="1:7" x14ac:dyDescent="0.3">
      <c r="A22">
        <v>1</v>
      </c>
      <c r="B22" s="1" t="s">
        <v>81</v>
      </c>
      <c r="D22">
        <v>2010</v>
      </c>
      <c r="E22" t="s">
        <v>247</v>
      </c>
      <c r="F22" t="s">
        <v>409</v>
      </c>
    </row>
    <row r="23" spans="1:7" x14ac:dyDescent="0.3">
      <c r="B23" s="11" t="s">
        <v>1533</v>
      </c>
      <c r="C23" s="14" t="s">
        <v>1546</v>
      </c>
      <c r="D23">
        <v>2010</v>
      </c>
      <c r="F23" t="s">
        <v>1534</v>
      </c>
      <c r="G23">
        <f>IF(MATCH(B23,'scopus results'!B:B, 0), 1, 0)</f>
        <v>1</v>
      </c>
    </row>
    <row r="24" spans="1:7" x14ac:dyDescent="0.3">
      <c r="A24">
        <v>1</v>
      </c>
      <c r="B24" s="1" t="s">
        <v>1523</v>
      </c>
      <c r="D24">
        <v>2010</v>
      </c>
      <c r="E24" t="s">
        <v>755</v>
      </c>
      <c r="F24" t="s">
        <v>1524</v>
      </c>
      <c r="G24">
        <f>IF(MATCH(B24,'scopus results'!B:B, 0), 1, 0)</f>
        <v>1</v>
      </c>
    </row>
    <row r="25" spans="1:7" x14ac:dyDescent="0.3">
      <c r="A25">
        <v>1</v>
      </c>
      <c r="B25" s="1" t="s">
        <v>158</v>
      </c>
      <c r="C25" s="14" t="s">
        <v>1546</v>
      </c>
      <c r="D25">
        <v>2011</v>
      </c>
      <c r="F25" t="s">
        <v>486</v>
      </c>
    </row>
    <row r="26" spans="1:7" x14ac:dyDescent="0.3">
      <c r="A26">
        <v>0</v>
      </c>
      <c r="B26" s="11" t="s">
        <v>159</v>
      </c>
      <c r="D26">
        <v>2011</v>
      </c>
      <c r="F26" t="s">
        <v>487</v>
      </c>
    </row>
    <row r="27" spans="1:7" x14ac:dyDescent="0.3">
      <c r="A27">
        <v>1</v>
      </c>
      <c r="B27" s="1" t="s">
        <v>162</v>
      </c>
      <c r="D27">
        <v>2011</v>
      </c>
      <c r="E27" t="s">
        <v>322</v>
      </c>
      <c r="F27" t="s">
        <v>490</v>
      </c>
    </row>
    <row r="28" spans="1:7" x14ac:dyDescent="0.3">
      <c r="A28">
        <v>1</v>
      </c>
      <c r="B28" s="1" t="s">
        <v>760</v>
      </c>
      <c r="D28">
        <v>2011</v>
      </c>
      <c r="E28" t="s">
        <v>761</v>
      </c>
      <c r="F28" t="s">
        <v>1536</v>
      </c>
      <c r="G28">
        <f>IF(MATCH(B28,'scopus results'!B:B, 0), 1, 0)</f>
        <v>1</v>
      </c>
    </row>
    <row r="29" spans="1:7" x14ac:dyDescent="0.3">
      <c r="A29">
        <v>1</v>
      </c>
      <c r="B29" s="1" t="s">
        <v>106</v>
      </c>
      <c r="D29">
        <v>2012</v>
      </c>
      <c r="E29" t="s">
        <v>271</v>
      </c>
      <c r="F29" t="s">
        <v>434</v>
      </c>
    </row>
    <row r="30" spans="1:7" x14ac:dyDescent="0.3">
      <c r="A30">
        <v>1</v>
      </c>
      <c r="B30" s="1" t="s">
        <v>23</v>
      </c>
      <c r="D30">
        <v>2013</v>
      </c>
      <c r="E30" t="s">
        <v>192</v>
      </c>
      <c r="F30" t="s">
        <v>351</v>
      </c>
    </row>
    <row r="31" spans="1:7" x14ac:dyDescent="0.3">
      <c r="A31">
        <v>1</v>
      </c>
      <c r="B31" s="1" t="s">
        <v>83</v>
      </c>
      <c r="D31">
        <v>2013</v>
      </c>
      <c r="E31" t="s">
        <v>249</v>
      </c>
      <c r="F31" t="s">
        <v>411</v>
      </c>
    </row>
    <row r="32" spans="1:7" x14ac:dyDescent="0.3">
      <c r="A32">
        <v>1</v>
      </c>
      <c r="B32" s="1" t="s">
        <v>766</v>
      </c>
      <c r="D32">
        <v>2013</v>
      </c>
      <c r="E32" t="s">
        <v>767</v>
      </c>
      <c r="F32" t="s">
        <v>1535</v>
      </c>
      <c r="G32">
        <f>IF(MATCH(B32,'scopus results'!B:B, 0), 1, 0)</f>
        <v>1</v>
      </c>
    </row>
    <row r="33" spans="1:7" x14ac:dyDescent="0.3">
      <c r="A33">
        <v>1</v>
      </c>
      <c r="B33" s="1" t="s">
        <v>763</v>
      </c>
      <c r="D33">
        <v>2013</v>
      </c>
      <c r="E33" t="s">
        <v>764</v>
      </c>
      <c r="F33" t="s">
        <v>1527</v>
      </c>
      <c r="G33">
        <f>IF(MATCH(B33,'scopus results'!B:B, 0), 1, 0)</f>
        <v>1</v>
      </c>
    </row>
    <row r="34" spans="1:7" x14ac:dyDescent="0.3">
      <c r="A34">
        <v>0</v>
      </c>
      <c r="B34" s="11" t="s">
        <v>1</v>
      </c>
      <c r="C34" s="14" t="s">
        <v>1547</v>
      </c>
      <c r="D34">
        <v>2014</v>
      </c>
      <c r="F34" t="s">
        <v>329</v>
      </c>
    </row>
    <row r="35" spans="1:7" x14ac:dyDescent="0.3">
      <c r="A35">
        <v>0</v>
      </c>
      <c r="B35" s="1" t="s">
        <v>11</v>
      </c>
      <c r="D35">
        <v>2014</v>
      </c>
      <c r="E35" t="s">
        <v>180</v>
      </c>
      <c r="F35" t="s">
        <v>339</v>
      </c>
    </row>
    <row r="36" spans="1:7" x14ac:dyDescent="0.3">
      <c r="A36">
        <v>0</v>
      </c>
      <c r="B36" s="11" t="s">
        <v>31</v>
      </c>
      <c r="C36" s="14" t="s">
        <v>1548</v>
      </c>
      <c r="D36">
        <v>2014</v>
      </c>
      <c r="E36" t="s">
        <v>199</v>
      </c>
      <c r="F36" t="s">
        <v>359</v>
      </c>
    </row>
    <row r="37" spans="1:7" x14ac:dyDescent="0.3">
      <c r="A37">
        <v>1</v>
      </c>
      <c r="B37" s="1" t="s">
        <v>37</v>
      </c>
      <c r="D37">
        <v>2014</v>
      </c>
      <c r="E37" t="s">
        <v>204</v>
      </c>
      <c r="F37" t="s">
        <v>365</v>
      </c>
    </row>
    <row r="38" spans="1:7" x14ac:dyDescent="0.3">
      <c r="A38">
        <v>1</v>
      </c>
      <c r="B38" s="1" t="s">
        <v>55</v>
      </c>
      <c r="D38">
        <v>2014</v>
      </c>
      <c r="E38" t="s">
        <v>222</v>
      </c>
      <c r="F38" t="s">
        <v>383</v>
      </c>
    </row>
    <row r="39" spans="1:7" x14ac:dyDescent="0.3">
      <c r="A39">
        <v>1</v>
      </c>
      <c r="B39" s="1" t="s">
        <v>92</v>
      </c>
      <c r="D39">
        <v>2014</v>
      </c>
      <c r="E39" t="s">
        <v>257</v>
      </c>
      <c r="F39" t="s">
        <v>420</v>
      </c>
    </row>
    <row r="40" spans="1:7" x14ac:dyDescent="0.3">
      <c r="A40">
        <v>1</v>
      </c>
      <c r="B40" s="1" t="s">
        <v>103</v>
      </c>
      <c r="D40">
        <v>2014</v>
      </c>
      <c r="E40" t="s">
        <v>268</v>
      </c>
      <c r="F40" t="s">
        <v>431</v>
      </c>
    </row>
    <row r="41" spans="1:7" x14ac:dyDescent="0.3">
      <c r="A41">
        <v>1</v>
      </c>
      <c r="B41" s="1" t="s">
        <v>107</v>
      </c>
      <c r="D41">
        <v>2014</v>
      </c>
      <c r="E41" t="s">
        <v>272</v>
      </c>
      <c r="F41" t="s">
        <v>435</v>
      </c>
    </row>
    <row r="42" spans="1:7" x14ac:dyDescent="0.3">
      <c r="A42">
        <v>1</v>
      </c>
      <c r="B42" s="1" t="s">
        <v>110</v>
      </c>
      <c r="D42">
        <v>2014</v>
      </c>
      <c r="E42" t="s">
        <v>274</v>
      </c>
      <c r="F42" t="s">
        <v>438</v>
      </c>
    </row>
    <row r="43" spans="1:7" x14ac:dyDescent="0.3">
      <c r="A43">
        <v>0</v>
      </c>
      <c r="B43" s="11" t="s">
        <v>126</v>
      </c>
      <c r="C43" s="14" t="s">
        <v>1546</v>
      </c>
      <c r="D43">
        <v>2014</v>
      </c>
      <c r="E43" t="s">
        <v>289</v>
      </c>
      <c r="F43" t="s">
        <v>454</v>
      </c>
    </row>
    <row r="44" spans="1:7" x14ac:dyDescent="0.3">
      <c r="A44">
        <v>1</v>
      </c>
      <c r="B44" s="1" t="s">
        <v>136</v>
      </c>
      <c r="D44">
        <v>2014</v>
      </c>
      <c r="E44" t="s">
        <v>299</v>
      </c>
      <c r="F44" t="s">
        <v>464</v>
      </c>
    </row>
    <row r="45" spans="1:7" x14ac:dyDescent="0.3">
      <c r="A45">
        <v>1</v>
      </c>
      <c r="B45" s="1" t="s">
        <v>144</v>
      </c>
      <c r="D45">
        <v>2014</v>
      </c>
      <c r="E45" t="s">
        <v>307</v>
      </c>
      <c r="F45" t="s">
        <v>472</v>
      </c>
    </row>
    <row r="46" spans="1:7" x14ac:dyDescent="0.3">
      <c r="A46">
        <v>1</v>
      </c>
      <c r="B46" s="1" t="s">
        <v>1502</v>
      </c>
      <c r="D46">
        <v>2014</v>
      </c>
      <c r="E46" t="s">
        <v>1503</v>
      </c>
      <c r="F46" t="s">
        <v>1504</v>
      </c>
      <c r="G46">
        <f>IF(MATCH(B46,'scopus results'!B:B, 0), 1, 0)</f>
        <v>1</v>
      </c>
    </row>
    <row r="47" spans="1:7" x14ac:dyDescent="0.3">
      <c r="A47">
        <v>1</v>
      </c>
      <c r="B47" s="1" t="s">
        <v>1484</v>
      </c>
      <c r="D47">
        <v>2014</v>
      </c>
      <c r="E47" t="s">
        <v>1485</v>
      </c>
      <c r="F47" t="s">
        <v>1486</v>
      </c>
      <c r="G47">
        <f>IF(MATCH(B47,'scopus results'!B:B, 0), 1, 0)</f>
        <v>1</v>
      </c>
    </row>
    <row r="48" spans="1:7" x14ac:dyDescent="0.3">
      <c r="A48">
        <v>1</v>
      </c>
      <c r="B48" s="1" t="s">
        <v>1467</v>
      </c>
      <c r="D48">
        <v>2014</v>
      </c>
      <c r="E48" t="s">
        <v>1468</v>
      </c>
      <c r="F48" t="s">
        <v>1469</v>
      </c>
      <c r="G48">
        <f>IF(MATCH(B48,'scopus results'!B:B, 0), 1, 0)</f>
        <v>1</v>
      </c>
    </row>
    <row r="49" spans="1:7" x14ac:dyDescent="0.3">
      <c r="A49">
        <v>1</v>
      </c>
      <c r="B49" s="1" t="s">
        <v>1481</v>
      </c>
      <c r="D49">
        <v>2014</v>
      </c>
      <c r="E49" t="s">
        <v>770</v>
      </c>
      <c r="F49" t="s">
        <v>1482</v>
      </c>
      <c r="G49">
        <f>IF(MATCH(B49,'scopus results'!B:B, 0), 1, 0)</f>
        <v>1</v>
      </c>
    </row>
    <row r="50" spans="1:7" x14ac:dyDescent="0.3">
      <c r="A50">
        <v>1</v>
      </c>
      <c r="B50" s="1" t="s">
        <v>18</v>
      </c>
      <c r="D50">
        <v>2015</v>
      </c>
      <c r="E50" t="s">
        <v>187</v>
      </c>
      <c r="F50" t="s">
        <v>346</v>
      </c>
    </row>
    <row r="51" spans="1:7" x14ac:dyDescent="0.3">
      <c r="A51">
        <v>1</v>
      </c>
      <c r="B51" s="1" t="s">
        <v>60</v>
      </c>
      <c r="D51">
        <v>2015</v>
      </c>
      <c r="E51" t="s">
        <v>227</v>
      </c>
      <c r="F51" t="s">
        <v>388</v>
      </c>
    </row>
    <row r="52" spans="1:7" x14ac:dyDescent="0.3">
      <c r="A52">
        <v>1</v>
      </c>
      <c r="B52" s="1" t="s">
        <v>95</v>
      </c>
      <c r="D52">
        <v>2015</v>
      </c>
      <c r="E52" t="s">
        <v>260</v>
      </c>
      <c r="F52" s="6" t="s">
        <v>423</v>
      </c>
    </row>
    <row r="53" spans="1:7" x14ac:dyDescent="0.3">
      <c r="A53">
        <v>1</v>
      </c>
      <c r="B53" s="1" t="s">
        <v>102</v>
      </c>
      <c r="D53">
        <v>2015</v>
      </c>
      <c r="E53" t="s">
        <v>267</v>
      </c>
      <c r="F53" t="s">
        <v>430</v>
      </c>
    </row>
    <row r="54" spans="1:7" x14ac:dyDescent="0.3">
      <c r="A54">
        <v>1</v>
      </c>
      <c r="B54" s="1" t="s">
        <v>114</v>
      </c>
      <c r="D54">
        <v>2015</v>
      </c>
      <c r="E54" t="s">
        <v>278</v>
      </c>
      <c r="F54" t="s">
        <v>442</v>
      </c>
    </row>
    <row r="55" spans="1:7" x14ac:dyDescent="0.3">
      <c r="A55">
        <v>1</v>
      </c>
      <c r="B55" s="1" t="s">
        <v>128</v>
      </c>
      <c r="D55">
        <v>2015</v>
      </c>
      <c r="E55" t="s">
        <v>291</v>
      </c>
      <c r="F55" t="s">
        <v>456</v>
      </c>
    </row>
    <row r="56" spans="1:7" x14ac:dyDescent="0.3">
      <c r="A56">
        <v>1</v>
      </c>
      <c r="B56" s="1" t="s">
        <v>166</v>
      </c>
      <c r="D56">
        <v>2015</v>
      </c>
      <c r="E56" t="s">
        <v>325</v>
      </c>
      <c r="F56" t="s">
        <v>494</v>
      </c>
    </row>
    <row r="57" spans="1:7" x14ac:dyDescent="0.3">
      <c r="A57">
        <v>1</v>
      </c>
      <c r="B57" s="1" t="s">
        <v>772</v>
      </c>
      <c r="D57">
        <v>2015</v>
      </c>
      <c r="E57" t="s">
        <v>773</v>
      </c>
      <c r="F57" t="s">
        <v>1518</v>
      </c>
      <c r="G57">
        <f>IF(MATCH(B57,'scopus results'!B:B, 0), 1, 0)</f>
        <v>1</v>
      </c>
    </row>
    <row r="58" spans="1:7" x14ac:dyDescent="0.3">
      <c r="B58" s="11" t="s">
        <v>1509</v>
      </c>
      <c r="C58" s="14" t="s">
        <v>1549</v>
      </c>
      <c r="D58">
        <v>2015</v>
      </c>
      <c r="F58" s="6" t="s">
        <v>1510</v>
      </c>
      <c r="G58">
        <f>IF(MATCH(B58,'scopus results'!B:B, 0), 1, 0)</f>
        <v>1</v>
      </c>
    </row>
    <row r="59" spans="1:7" x14ac:dyDescent="0.3">
      <c r="A59">
        <v>1</v>
      </c>
      <c r="B59" s="1" t="s">
        <v>775</v>
      </c>
      <c r="D59">
        <v>2015</v>
      </c>
      <c r="E59" t="s">
        <v>776</v>
      </c>
      <c r="F59" t="s">
        <v>1505</v>
      </c>
      <c r="G59">
        <f>IF(MATCH(B59,'scopus results'!B:B, 0), 1, 0)</f>
        <v>1</v>
      </c>
    </row>
    <row r="60" spans="1:7" x14ac:dyDescent="0.3">
      <c r="A60">
        <v>1</v>
      </c>
      <c r="B60" s="1" t="s">
        <v>1499</v>
      </c>
      <c r="D60">
        <v>2015</v>
      </c>
      <c r="E60" t="s">
        <v>1500</v>
      </c>
      <c r="F60" t="s">
        <v>1501</v>
      </c>
      <c r="G60">
        <f>IF(MATCH(B60,'scopus results'!B:B, 0), 1, 0)</f>
        <v>1</v>
      </c>
    </row>
    <row r="61" spans="1:7" x14ac:dyDescent="0.3">
      <c r="A61">
        <v>1</v>
      </c>
      <c r="B61" s="1" t="s">
        <v>5</v>
      </c>
      <c r="D61">
        <v>2016</v>
      </c>
      <c r="E61" t="s">
        <v>175</v>
      </c>
      <c r="F61" t="s">
        <v>333</v>
      </c>
    </row>
    <row r="62" spans="1:7" x14ac:dyDescent="0.3">
      <c r="A62">
        <v>1</v>
      </c>
      <c r="B62" s="1" t="s">
        <v>14</v>
      </c>
      <c r="D62">
        <v>2016</v>
      </c>
      <c r="E62" t="s">
        <v>183</v>
      </c>
      <c r="F62" t="s">
        <v>342</v>
      </c>
    </row>
    <row r="63" spans="1:7" x14ac:dyDescent="0.3">
      <c r="A63">
        <v>1</v>
      </c>
      <c r="B63" s="1" t="s">
        <v>15</v>
      </c>
      <c r="D63">
        <v>2016</v>
      </c>
      <c r="E63" t="s">
        <v>184</v>
      </c>
      <c r="F63" t="s">
        <v>343</v>
      </c>
    </row>
    <row r="64" spans="1:7" x14ac:dyDescent="0.3">
      <c r="A64">
        <v>1</v>
      </c>
      <c r="B64" s="1" t="s">
        <v>35</v>
      </c>
      <c r="D64">
        <v>2016</v>
      </c>
      <c r="E64" t="s">
        <v>202</v>
      </c>
      <c r="F64" t="s">
        <v>363</v>
      </c>
    </row>
    <row r="65" spans="1:7" x14ac:dyDescent="0.3">
      <c r="A65">
        <v>1</v>
      </c>
      <c r="B65" s="1" t="s">
        <v>53</v>
      </c>
      <c r="D65">
        <v>2016</v>
      </c>
      <c r="E65" t="s">
        <v>220</v>
      </c>
      <c r="F65" t="s">
        <v>381</v>
      </c>
    </row>
    <row r="66" spans="1:7" x14ac:dyDescent="0.3">
      <c r="A66">
        <v>1</v>
      </c>
      <c r="B66" s="1" t="s">
        <v>59</v>
      </c>
      <c r="D66">
        <v>2016</v>
      </c>
      <c r="E66" t="s">
        <v>226</v>
      </c>
      <c r="F66" t="s">
        <v>387</v>
      </c>
    </row>
    <row r="67" spans="1:7" x14ac:dyDescent="0.3">
      <c r="A67">
        <v>1</v>
      </c>
      <c r="B67" s="1" t="s">
        <v>63</v>
      </c>
      <c r="D67">
        <v>2016</v>
      </c>
      <c r="E67" t="s">
        <v>230</v>
      </c>
      <c r="F67" t="s">
        <v>391</v>
      </c>
    </row>
    <row r="68" spans="1:7" x14ac:dyDescent="0.3">
      <c r="A68">
        <v>1</v>
      </c>
      <c r="B68" s="1" t="s">
        <v>67</v>
      </c>
      <c r="D68">
        <v>2016</v>
      </c>
      <c r="E68" t="s">
        <v>234</v>
      </c>
      <c r="F68" t="s">
        <v>395</v>
      </c>
    </row>
    <row r="69" spans="1:7" x14ac:dyDescent="0.3">
      <c r="A69">
        <v>1</v>
      </c>
      <c r="B69" s="1" t="s">
        <v>85</v>
      </c>
      <c r="D69">
        <v>2016</v>
      </c>
      <c r="E69" t="s">
        <v>251</v>
      </c>
      <c r="F69" t="s">
        <v>413</v>
      </c>
    </row>
    <row r="70" spans="1:7" x14ac:dyDescent="0.3">
      <c r="A70">
        <v>1</v>
      </c>
      <c r="B70" s="1" t="s">
        <v>117</v>
      </c>
      <c r="D70">
        <v>2016</v>
      </c>
      <c r="E70" t="s">
        <v>281</v>
      </c>
      <c r="F70" t="s">
        <v>445</v>
      </c>
    </row>
    <row r="71" spans="1:7" x14ac:dyDescent="0.3">
      <c r="A71">
        <v>1</v>
      </c>
      <c r="B71" s="1" t="s">
        <v>140</v>
      </c>
      <c r="D71">
        <v>2016</v>
      </c>
      <c r="E71" t="s">
        <v>303</v>
      </c>
      <c r="F71" t="s">
        <v>468</v>
      </c>
    </row>
    <row r="72" spans="1:7" x14ac:dyDescent="0.3">
      <c r="A72">
        <v>1</v>
      </c>
      <c r="B72" s="1" t="s">
        <v>141</v>
      </c>
      <c r="D72">
        <v>2016</v>
      </c>
      <c r="E72" t="s">
        <v>304</v>
      </c>
      <c r="F72" t="s">
        <v>469</v>
      </c>
    </row>
    <row r="73" spans="1:7" x14ac:dyDescent="0.3">
      <c r="A73">
        <v>1</v>
      </c>
      <c r="B73" s="1" t="s">
        <v>151</v>
      </c>
      <c r="D73">
        <v>2016</v>
      </c>
      <c r="E73" t="s">
        <v>313</v>
      </c>
      <c r="F73" t="s">
        <v>479</v>
      </c>
    </row>
    <row r="74" spans="1:7" x14ac:dyDescent="0.3">
      <c r="A74">
        <v>1</v>
      </c>
      <c r="B74" s="1" t="s">
        <v>168</v>
      </c>
      <c r="D74">
        <v>2016</v>
      </c>
      <c r="E74" t="s">
        <v>327</v>
      </c>
      <c r="F74" t="s">
        <v>496</v>
      </c>
    </row>
    <row r="75" spans="1:7" x14ac:dyDescent="0.3">
      <c r="A75">
        <v>1</v>
      </c>
      <c r="B75" s="1" t="s">
        <v>787</v>
      </c>
      <c r="D75">
        <v>2016</v>
      </c>
      <c r="E75" t="s">
        <v>788</v>
      </c>
      <c r="F75" t="s">
        <v>1466</v>
      </c>
      <c r="G75">
        <f>IF(MATCH(B75,'scopus results'!B:B, 0), 1, 0)</f>
        <v>1</v>
      </c>
    </row>
    <row r="76" spans="1:7" x14ac:dyDescent="0.3">
      <c r="A76">
        <v>1</v>
      </c>
      <c r="B76" s="1" t="s">
        <v>29</v>
      </c>
      <c r="D76">
        <v>2017</v>
      </c>
      <c r="E76" t="s">
        <v>197</v>
      </c>
      <c r="F76" t="s">
        <v>357</v>
      </c>
    </row>
    <row r="77" spans="1:7" x14ac:dyDescent="0.3">
      <c r="A77">
        <v>1</v>
      </c>
      <c r="B77" s="1" t="s">
        <v>49</v>
      </c>
      <c r="D77">
        <v>2017</v>
      </c>
      <c r="E77" t="s">
        <v>216</v>
      </c>
      <c r="F77" t="s">
        <v>377</v>
      </c>
    </row>
    <row r="78" spans="1:7" x14ac:dyDescent="0.3">
      <c r="A78">
        <v>1</v>
      </c>
      <c r="B78" s="1" t="s">
        <v>56</v>
      </c>
      <c r="D78">
        <v>2017</v>
      </c>
      <c r="E78" t="s">
        <v>223</v>
      </c>
      <c r="F78" t="s">
        <v>384</v>
      </c>
    </row>
    <row r="79" spans="1:7" x14ac:dyDescent="0.3">
      <c r="A79">
        <v>1</v>
      </c>
      <c r="B79" s="1" t="s">
        <v>58</v>
      </c>
      <c r="D79">
        <v>2017</v>
      </c>
      <c r="E79" t="s">
        <v>225</v>
      </c>
      <c r="F79" t="s">
        <v>386</v>
      </c>
    </row>
    <row r="80" spans="1:7" x14ac:dyDescent="0.3">
      <c r="A80">
        <v>1</v>
      </c>
      <c r="B80" s="1" t="s">
        <v>80</v>
      </c>
      <c r="D80">
        <v>2017</v>
      </c>
      <c r="E80" t="s">
        <v>246</v>
      </c>
      <c r="F80" t="s">
        <v>408</v>
      </c>
    </row>
    <row r="81" spans="1:7" x14ac:dyDescent="0.3">
      <c r="A81">
        <v>0</v>
      </c>
      <c r="B81" s="11" t="s">
        <v>90</v>
      </c>
      <c r="C81" s="14" t="s">
        <v>1546</v>
      </c>
      <c r="D81">
        <v>2017</v>
      </c>
      <c r="E81" t="s">
        <v>255</v>
      </c>
      <c r="F81" t="s">
        <v>418</v>
      </c>
    </row>
    <row r="82" spans="1:7" x14ac:dyDescent="0.3">
      <c r="A82">
        <v>1</v>
      </c>
      <c r="B82" s="1" t="s">
        <v>100</v>
      </c>
      <c r="D82">
        <v>2017</v>
      </c>
      <c r="E82" t="s">
        <v>265</v>
      </c>
      <c r="F82" t="s">
        <v>428</v>
      </c>
    </row>
    <row r="83" spans="1:7" x14ac:dyDescent="0.3">
      <c r="A83">
        <v>1</v>
      </c>
      <c r="B83" s="1" t="s">
        <v>112</v>
      </c>
      <c r="D83">
        <v>2017</v>
      </c>
      <c r="E83" t="s">
        <v>276</v>
      </c>
      <c r="F83" t="s">
        <v>440</v>
      </c>
    </row>
    <row r="84" spans="1:7" x14ac:dyDescent="0.3">
      <c r="A84">
        <v>1</v>
      </c>
      <c r="B84" s="1" t="s">
        <v>115</v>
      </c>
      <c r="D84">
        <v>2017</v>
      </c>
      <c r="E84" t="s">
        <v>279</v>
      </c>
      <c r="F84" t="s">
        <v>443</v>
      </c>
    </row>
    <row r="85" spans="1:7" x14ac:dyDescent="0.3">
      <c r="A85">
        <v>1</v>
      </c>
      <c r="B85" s="1" t="s">
        <v>119</v>
      </c>
      <c r="D85">
        <v>2017</v>
      </c>
      <c r="E85" t="s">
        <v>283</v>
      </c>
      <c r="F85" t="s">
        <v>447</v>
      </c>
    </row>
    <row r="86" spans="1:7" x14ac:dyDescent="0.3">
      <c r="A86">
        <v>1</v>
      </c>
      <c r="B86" s="1" t="s">
        <v>120</v>
      </c>
      <c r="D86">
        <v>2017</v>
      </c>
      <c r="E86" t="s">
        <v>284</v>
      </c>
      <c r="F86" t="s">
        <v>448</v>
      </c>
    </row>
    <row r="87" spans="1:7" x14ac:dyDescent="0.3">
      <c r="A87">
        <v>1</v>
      </c>
      <c r="B87" s="1" t="s">
        <v>139</v>
      </c>
      <c r="D87">
        <v>2017</v>
      </c>
      <c r="E87" t="s">
        <v>302</v>
      </c>
      <c r="F87" t="s">
        <v>467</v>
      </c>
    </row>
    <row r="88" spans="1:7" x14ac:dyDescent="0.3">
      <c r="A88">
        <v>1</v>
      </c>
      <c r="B88" s="1" t="s">
        <v>145</v>
      </c>
      <c r="D88">
        <v>2017</v>
      </c>
      <c r="E88" t="s">
        <v>308</v>
      </c>
      <c r="F88" t="s">
        <v>473</v>
      </c>
    </row>
    <row r="89" spans="1:7" x14ac:dyDescent="0.3">
      <c r="A89">
        <v>1</v>
      </c>
      <c r="B89" s="1" t="s">
        <v>147</v>
      </c>
      <c r="D89">
        <v>2017</v>
      </c>
      <c r="E89" t="s">
        <v>310</v>
      </c>
      <c r="F89" t="s">
        <v>475</v>
      </c>
    </row>
    <row r="90" spans="1:7" x14ac:dyDescent="0.3">
      <c r="A90">
        <v>1</v>
      </c>
      <c r="B90" s="1" t="s">
        <v>1490</v>
      </c>
      <c r="D90">
        <v>2017</v>
      </c>
      <c r="E90" t="s">
        <v>1491</v>
      </c>
      <c r="F90" t="s">
        <v>1492</v>
      </c>
      <c r="G90">
        <f>IF(MATCH(B90,'scopus results'!B:B, 0), 1, 0)</f>
        <v>1</v>
      </c>
    </row>
    <row r="91" spans="1:7" x14ac:dyDescent="0.3">
      <c r="A91">
        <v>1</v>
      </c>
      <c r="B91" s="1" t="s">
        <v>1478</v>
      </c>
      <c r="D91">
        <v>2017</v>
      </c>
      <c r="E91" t="s">
        <v>1479</v>
      </c>
      <c r="F91" t="s">
        <v>1480</v>
      </c>
      <c r="G91">
        <f>IF(MATCH(B91,'scopus results'!B:B, 0), 1, 0)</f>
        <v>1</v>
      </c>
    </row>
    <row r="92" spans="1:7" x14ac:dyDescent="0.3">
      <c r="A92">
        <v>1</v>
      </c>
      <c r="B92" s="1" t="s">
        <v>796</v>
      </c>
      <c r="D92">
        <v>2017</v>
      </c>
      <c r="E92" t="s">
        <v>797</v>
      </c>
      <c r="F92" t="s">
        <v>1483</v>
      </c>
      <c r="G92">
        <f>IF(MATCH(B92,'scopus results'!B:B, 0), 1, 0)</f>
        <v>1</v>
      </c>
    </row>
    <row r="93" spans="1:7" x14ac:dyDescent="0.3">
      <c r="A93">
        <v>1</v>
      </c>
      <c r="B93" s="1" t="s">
        <v>8</v>
      </c>
      <c r="D93">
        <v>2018</v>
      </c>
      <c r="E93" t="s">
        <v>178</v>
      </c>
      <c r="F93" t="s">
        <v>336</v>
      </c>
    </row>
    <row r="94" spans="1:7" x14ac:dyDescent="0.3">
      <c r="A94">
        <v>1</v>
      </c>
      <c r="B94" s="1" t="s">
        <v>9</v>
      </c>
      <c r="D94">
        <v>2018</v>
      </c>
      <c r="E94" t="s">
        <v>179</v>
      </c>
      <c r="F94" t="s">
        <v>337</v>
      </c>
    </row>
    <row r="95" spans="1:7" x14ac:dyDescent="0.3">
      <c r="A95">
        <v>1</v>
      </c>
      <c r="B95" s="1" t="s">
        <v>19</v>
      </c>
      <c r="D95">
        <v>2018</v>
      </c>
      <c r="E95" t="s">
        <v>188</v>
      </c>
      <c r="F95" t="s">
        <v>347</v>
      </c>
    </row>
    <row r="96" spans="1:7" x14ac:dyDescent="0.3">
      <c r="A96">
        <v>1</v>
      </c>
      <c r="B96" s="1" t="s">
        <v>24</v>
      </c>
      <c r="D96">
        <v>2018</v>
      </c>
      <c r="E96" t="s">
        <v>193</v>
      </c>
      <c r="F96" t="s">
        <v>352</v>
      </c>
    </row>
    <row r="97" spans="1:7" x14ac:dyDescent="0.3">
      <c r="A97">
        <v>1</v>
      </c>
      <c r="B97" s="1" t="s">
        <v>38</v>
      </c>
      <c r="D97">
        <v>2018</v>
      </c>
      <c r="E97" t="s">
        <v>205</v>
      </c>
      <c r="F97" t="s">
        <v>366</v>
      </c>
    </row>
    <row r="98" spans="1:7" x14ac:dyDescent="0.3">
      <c r="A98">
        <v>1</v>
      </c>
      <c r="B98" s="1" t="s">
        <v>42</v>
      </c>
      <c r="D98">
        <v>2018</v>
      </c>
      <c r="E98" t="s">
        <v>209</v>
      </c>
      <c r="F98" t="s">
        <v>370</v>
      </c>
    </row>
    <row r="99" spans="1:7" x14ac:dyDescent="0.3">
      <c r="A99">
        <v>0</v>
      </c>
      <c r="B99" s="11" t="s">
        <v>65</v>
      </c>
      <c r="C99" s="14" t="s">
        <v>1546</v>
      </c>
      <c r="D99">
        <v>2018</v>
      </c>
      <c r="E99" t="s">
        <v>232</v>
      </c>
      <c r="F99" t="s">
        <v>393</v>
      </c>
    </row>
    <row r="100" spans="1:7" x14ac:dyDescent="0.3">
      <c r="A100">
        <v>1</v>
      </c>
      <c r="B100" s="1" t="s">
        <v>113</v>
      </c>
      <c r="D100">
        <v>2018</v>
      </c>
      <c r="E100" t="s">
        <v>277</v>
      </c>
      <c r="F100" t="s">
        <v>441</v>
      </c>
    </row>
    <row r="101" spans="1:7" x14ac:dyDescent="0.3">
      <c r="A101">
        <v>1</v>
      </c>
      <c r="B101" s="1" t="s">
        <v>121</v>
      </c>
      <c r="D101">
        <v>2018</v>
      </c>
      <c r="E101" t="s">
        <v>285</v>
      </c>
      <c r="F101" t="s">
        <v>449</v>
      </c>
    </row>
    <row r="102" spans="1:7" x14ac:dyDescent="0.3">
      <c r="A102">
        <v>1</v>
      </c>
      <c r="B102" s="1" t="s">
        <v>143</v>
      </c>
      <c r="D102">
        <v>2018</v>
      </c>
      <c r="E102" t="s">
        <v>306</v>
      </c>
      <c r="F102" t="s">
        <v>471</v>
      </c>
    </row>
    <row r="103" spans="1:7" x14ac:dyDescent="0.3">
      <c r="A103">
        <v>1</v>
      </c>
      <c r="B103" s="1" t="s">
        <v>149</v>
      </c>
      <c r="D103">
        <v>2018</v>
      </c>
      <c r="E103" t="s">
        <v>311</v>
      </c>
      <c r="F103" t="s">
        <v>477</v>
      </c>
    </row>
    <row r="104" spans="1:7" x14ac:dyDescent="0.3">
      <c r="A104">
        <v>1</v>
      </c>
      <c r="B104" s="1" t="s">
        <v>160</v>
      </c>
      <c r="D104">
        <v>2018</v>
      </c>
      <c r="E104" t="s">
        <v>320</v>
      </c>
      <c r="F104" t="s">
        <v>488</v>
      </c>
    </row>
    <row r="105" spans="1:7" x14ac:dyDescent="0.3">
      <c r="A105">
        <v>1</v>
      </c>
      <c r="B105" s="7" t="s">
        <v>164</v>
      </c>
      <c r="C105" s="14" t="s">
        <v>1546</v>
      </c>
      <c r="D105">
        <v>2018</v>
      </c>
      <c r="E105" t="s">
        <v>323</v>
      </c>
      <c r="F105" t="s">
        <v>492</v>
      </c>
    </row>
    <row r="106" spans="1:7" x14ac:dyDescent="0.3">
      <c r="A106">
        <v>1</v>
      </c>
      <c r="B106" s="1" t="s">
        <v>810</v>
      </c>
      <c r="D106">
        <v>2018</v>
      </c>
      <c r="E106" t="s">
        <v>811</v>
      </c>
      <c r="F106" t="s">
        <v>1522</v>
      </c>
      <c r="G106">
        <f>IF(MATCH(B106,'scopus results'!B:B, 0), 1, 0)</f>
        <v>1</v>
      </c>
    </row>
    <row r="107" spans="1:7" x14ac:dyDescent="0.3">
      <c r="A107">
        <v>1</v>
      </c>
      <c r="B107" s="1" t="s">
        <v>807</v>
      </c>
      <c r="D107">
        <v>2018</v>
      </c>
      <c r="E107" t="s">
        <v>808</v>
      </c>
      <c r="F107" t="s">
        <v>1508</v>
      </c>
      <c r="G107">
        <f>IF(MATCH(B107,'scopus results'!B:B, 0), 1, 0)</f>
        <v>1</v>
      </c>
    </row>
    <row r="108" spans="1:7" x14ac:dyDescent="0.3">
      <c r="A108">
        <v>1</v>
      </c>
      <c r="B108" s="1" t="s">
        <v>804</v>
      </c>
      <c r="D108">
        <v>2018</v>
      </c>
      <c r="E108" t="s">
        <v>805</v>
      </c>
      <c r="F108" t="s">
        <v>1506</v>
      </c>
      <c r="G108">
        <f>IF(MATCH(B108,'scopus results'!B:B, 0), 1, 0)</f>
        <v>1</v>
      </c>
    </row>
    <row r="109" spans="1:7" x14ac:dyDescent="0.3">
      <c r="A109">
        <v>1</v>
      </c>
      <c r="B109" s="1" t="s">
        <v>1496</v>
      </c>
      <c r="D109">
        <v>2018</v>
      </c>
      <c r="E109" t="s">
        <v>1497</v>
      </c>
      <c r="F109" t="s">
        <v>1498</v>
      </c>
      <c r="G109">
        <f>IF(MATCH(B109,'scopus results'!B:B, 0), 1, 0)</f>
        <v>1</v>
      </c>
    </row>
    <row r="110" spans="1:7" x14ac:dyDescent="0.3">
      <c r="A110">
        <v>1</v>
      </c>
      <c r="B110" s="1" t="s">
        <v>1487</v>
      </c>
      <c r="D110">
        <v>2018</v>
      </c>
      <c r="E110" t="s">
        <v>1488</v>
      </c>
      <c r="F110" t="s">
        <v>1489</v>
      </c>
      <c r="G110">
        <f>IF(MATCH(B110,'scopus results'!B:B, 0), 1, 0)</f>
        <v>1</v>
      </c>
    </row>
    <row r="111" spans="1:7" x14ac:dyDescent="0.3">
      <c r="A111">
        <v>1</v>
      </c>
      <c r="B111" s="1" t="s">
        <v>1460</v>
      </c>
      <c r="D111">
        <v>2018</v>
      </c>
      <c r="E111" t="s">
        <v>814</v>
      </c>
      <c r="F111" t="s">
        <v>1461</v>
      </c>
      <c r="G111">
        <f>IF(MATCH(B111,'scopus results'!B:B, 0), 1, 0)</f>
        <v>1</v>
      </c>
    </row>
    <row r="112" spans="1:7" x14ac:dyDescent="0.3">
      <c r="A112">
        <v>1</v>
      </c>
      <c r="B112" s="1" t="s">
        <v>1463</v>
      </c>
      <c r="D112">
        <v>2018</v>
      </c>
      <c r="E112" t="s">
        <v>1464</v>
      </c>
      <c r="F112" t="s">
        <v>1465</v>
      </c>
      <c r="G112">
        <f>IF(MATCH(B112,'scopus results'!B:B, 0), 1, 0)</f>
        <v>1</v>
      </c>
    </row>
    <row r="113" spans="1:7" x14ac:dyDescent="0.3">
      <c r="A113">
        <v>1</v>
      </c>
      <c r="B113" s="1" t="s">
        <v>1472</v>
      </c>
      <c r="D113">
        <v>2018</v>
      </c>
      <c r="E113" t="s">
        <v>1473</v>
      </c>
      <c r="F113" t="s">
        <v>1474</v>
      </c>
      <c r="G113">
        <f>IF(MATCH(B113,'scopus results'!B:B, 0), 1, 0)</f>
        <v>1</v>
      </c>
    </row>
    <row r="114" spans="1:7" x14ac:dyDescent="0.3">
      <c r="A114">
        <v>1</v>
      </c>
      <c r="B114" s="1" t="s">
        <v>12</v>
      </c>
      <c r="D114">
        <v>2019</v>
      </c>
      <c r="E114" t="s">
        <v>181</v>
      </c>
      <c r="F114" t="s">
        <v>340</v>
      </c>
    </row>
    <row r="115" spans="1:7" x14ac:dyDescent="0.3">
      <c r="A115">
        <v>1</v>
      </c>
      <c r="B115" s="1" t="s">
        <v>26</v>
      </c>
      <c r="D115">
        <v>2019</v>
      </c>
      <c r="E115" t="s">
        <v>195</v>
      </c>
      <c r="F115" t="s">
        <v>354</v>
      </c>
    </row>
    <row r="116" spans="1:7" x14ac:dyDescent="0.3">
      <c r="A116">
        <v>1</v>
      </c>
      <c r="B116" s="1" t="s">
        <v>34</v>
      </c>
      <c r="D116">
        <v>2019</v>
      </c>
      <c r="E116" t="s">
        <v>201</v>
      </c>
      <c r="F116" t="s">
        <v>362</v>
      </c>
    </row>
    <row r="117" spans="1:7" x14ac:dyDescent="0.3">
      <c r="A117">
        <v>1</v>
      </c>
      <c r="B117" s="1" t="s">
        <v>41</v>
      </c>
      <c r="D117">
        <v>2019</v>
      </c>
      <c r="E117" t="s">
        <v>208</v>
      </c>
      <c r="F117" t="s">
        <v>369</v>
      </c>
    </row>
    <row r="118" spans="1:7" x14ac:dyDescent="0.3">
      <c r="A118">
        <v>1</v>
      </c>
      <c r="B118" s="1" t="s">
        <v>50</v>
      </c>
      <c r="D118">
        <v>2019</v>
      </c>
      <c r="E118" t="s">
        <v>217</v>
      </c>
      <c r="F118" t="s">
        <v>378</v>
      </c>
    </row>
    <row r="119" spans="1:7" x14ac:dyDescent="0.3">
      <c r="A119">
        <v>1</v>
      </c>
      <c r="B119" s="1" t="s">
        <v>66</v>
      </c>
      <c r="D119">
        <v>2019</v>
      </c>
      <c r="E119" t="s">
        <v>233</v>
      </c>
      <c r="F119" t="s">
        <v>394</v>
      </c>
    </row>
    <row r="120" spans="1:7" x14ac:dyDescent="0.3">
      <c r="A120">
        <v>1</v>
      </c>
      <c r="B120" s="1" t="s">
        <v>75</v>
      </c>
      <c r="D120">
        <v>2019</v>
      </c>
      <c r="E120" t="s">
        <v>241</v>
      </c>
      <c r="F120" t="s">
        <v>403</v>
      </c>
    </row>
    <row r="121" spans="1:7" x14ac:dyDescent="0.3">
      <c r="A121">
        <v>1</v>
      </c>
      <c r="B121" s="1" t="s">
        <v>87</v>
      </c>
      <c r="D121">
        <v>2019</v>
      </c>
      <c r="E121" t="s">
        <v>252</v>
      </c>
      <c r="F121" t="s">
        <v>415</v>
      </c>
    </row>
    <row r="122" spans="1:7" x14ac:dyDescent="0.3">
      <c r="A122">
        <v>1</v>
      </c>
      <c r="B122" s="1" t="s">
        <v>105</v>
      </c>
      <c r="D122">
        <v>2019</v>
      </c>
      <c r="E122" t="s">
        <v>270</v>
      </c>
      <c r="F122" t="s">
        <v>433</v>
      </c>
    </row>
    <row r="123" spans="1:7" x14ac:dyDescent="0.3">
      <c r="A123">
        <v>1</v>
      </c>
      <c r="B123" s="1" t="s">
        <v>127</v>
      </c>
      <c r="D123">
        <v>2019</v>
      </c>
      <c r="E123" t="s">
        <v>290</v>
      </c>
      <c r="F123" t="s">
        <v>455</v>
      </c>
    </row>
    <row r="124" spans="1:7" x14ac:dyDescent="0.3">
      <c r="A124">
        <v>1</v>
      </c>
      <c r="B124" s="1" t="s">
        <v>129</v>
      </c>
      <c r="D124">
        <v>2019</v>
      </c>
      <c r="E124" t="s">
        <v>292</v>
      </c>
      <c r="F124" t="s">
        <v>457</v>
      </c>
    </row>
    <row r="125" spans="1:7" x14ac:dyDescent="0.3">
      <c r="A125">
        <v>1</v>
      </c>
      <c r="B125" s="1" t="s">
        <v>133</v>
      </c>
      <c r="D125">
        <v>2019</v>
      </c>
      <c r="E125" t="s">
        <v>296</v>
      </c>
      <c r="F125" t="s">
        <v>461</v>
      </c>
    </row>
    <row r="126" spans="1:7" x14ac:dyDescent="0.3">
      <c r="A126">
        <v>1</v>
      </c>
      <c r="B126" s="1" t="s">
        <v>161</v>
      </c>
      <c r="D126">
        <v>2019</v>
      </c>
      <c r="E126" t="s">
        <v>321</v>
      </c>
      <c r="F126" t="s">
        <v>489</v>
      </c>
    </row>
    <row r="127" spans="1:7" x14ac:dyDescent="0.3">
      <c r="A127">
        <v>1</v>
      </c>
      <c r="B127" s="1" t="s">
        <v>1519</v>
      </c>
      <c r="D127">
        <v>2019</v>
      </c>
      <c r="E127" t="s">
        <v>1520</v>
      </c>
      <c r="F127" t="s">
        <v>1521</v>
      </c>
      <c r="G127">
        <f>IF(MATCH(B127,'scopus results'!B:B, 0), 1, 0)</f>
        <v>1</v>
      </c>
    </row>
    <row r="128" spans="1:7" x14ac:dyDescent="0.3">
      <c r="A128">
        <v>1</v>
      </c>
      <c r="B128" s="1" t="s">
        <v>1516</v>
      </c>
      <c r="D128">
        <v>2019</v>
      </c>
      <c r="F128" t="s">
        <v>1517</v>
      </c>
      <c r="G128">
        <f>IF(MATCH(B128,'scopus results'!B:B, 0), 1, 0)</f>
        <v>1</v>
      </c>
    </row>
    <row r="129" spans="1:7" x14ac:dyDescent="0.3">
      <c r="A129">
        <v>1</v>
      </c>
      <c r="B129" s="1" t="s">
        <v>1513</v>
      </c>
      <c r="D129">
        <v>2019</v>
      </c>
      <c r="E129" t="s">
        <v>1514</v>
      </c>
      <c r="F129" t="s">
        <v>1515</v>
      </c>
      <c r="G129">
        <f>IF(MATCH(B129,'scopus results'!B:B, 0), 1, 0)</f>
        <v>1</v>
      </c>
    </row>
    <row r="130" spans="1:7" x14ac:dyDescent="0.3">
      <c r="A130">
        <v>1</v>
      </c>
      <c r="B130" s="1" t="s">
        <v>1511</v>
      </c>
      <c r="D130">
        <v>2019</v>
      </c>
      <c r="E130" t="s">
        <v>817</v>
      </c>
      <c r="F130" t="s">
        <v>1512</v>
      </c>
      <c r="G130">
        <f>IF(MATCH(B130,'scopus results'!B:B, 0), 1, 0)</f>
        <v>1</v>
      </c>
    </row>
    <row r="131" spans="1:7" x14ac:dyDescent="0.3">
      <c r="B131" s="11" t="s">
        <v>827</v>
      </c>
      <c r="C131" s="14" t="s">
        <v>1546</v>
      </c>
      <c r="D131">
        <v>2019</v>
      </c>
      <c r="E131" t="s">
        <v>828</v>
      </c>
      <c r="F131" t="s">
        <v>1507</v>
      </c>
      <c r="G131">
        <f>IF(MATCH(B131,'scopus results'!B:B, 0), 1, 0)</f>
        <v>1</v>
      </c>
    </row>
    <row r="132" spans="1:7" x14ac:dyDescent="0.3">
      <c r="A132">
        <v>1</v>
      </c>
      <c r="B132" s="1" t="s">
        <v>841</v>
      </c>
      <c r="D132">
        <v>2019</v>
      </c>
      <c r="E132" t="s">
        <v>842</v>
      </c>
      <c r="F132" t="s">
        <v>1495</v>
      </c>
      <c r="G132">
        <f>IF(MATCH(B132,'scopus results'!B:B, 0), 1, 0)</f>
        <v>1</v>
      </c>
    </row>
    <row r="133" spans="1:7" x14ac:dyDescent="0.3">
      <c r="A133">
        <v>1</v>
      </c>
      <c r="B133" s="1" t="s">
        <v>1493</v>
      </c>
      <c r="D133">
        <v>2019</v>
      </c>
      <c r="E133" t="s">
        <v>831</v>
      </c>
      <c r="F133" t="s">
        <v>1494</v>
      </c>
      <c r="G133">
        <f>IF(MATCH(B133,'scopus results'!B:B, 0), 1, 0)</f>
        <v>1</v>
      </c>
    </row>
    <row r="134" spans="1:7" x14ac:dyDescent="0.3">
      <c r="A134">
        <v>1</v>
      </c>
      <c r="B134" s="1" t="s">
        <v>1347</v>
      </c>
      <c r="D134">
        <v>2019</v>
      </c>
      <c r="E134" t="s">
        <v>857</v>
      </c>
      <c r="F134" t="s">
        <v>1348</v>
      </c>
      <c r="G134">
        <f>IF(MATCH(B134,'scopus results'!B:B, 0), 1, 0)</f>
        <v>1</v>
      </c>
    </row>
    <row r="135" spans="1:7" x14ac:dyDescent="0.3">
      <c r="A135">
        <v>1</v>
      </c>
      <c r="B135" s="1" t="s">
        <v>1364</v>
      </c>
      <c r="D135">
        <v>2019</v>
      </c>
      <c r="E135" t="s">
        <v>1365</v>
      </c>
      <c r="F135" t="s">
        <v>1366</v>
      </c>
      <c r="G135">
        <f>IF(MATCH(B135,'scopus results'!B:B, 0), 1, 0)</f>
        <v>1</v>
      </c>
    </row>
    <row r="136" spans="1:7" x14ac:dyDescent="0.3">
      <c r="A136">
        <v>1</v>
      </c>
      <c r="B136" s="1" t="s">
        <v>850</v>
      </c>
      <c r="D136">
        <v>2019</v>
      </c>
      <c r="E136" t="s">
        <v>851</v>
      </c>
      <c r="F136" t="s">
        <v>1377</v>
      </c>
      <c r="G136">
        <f>IF(MATCH(B136,'scopus results'!B:B, 0), 1, 0)</f>
        <v>1</v>
      </c>
    </row>
    <row r="137" spans="1:7" x14ac:dyDescent="0.3">
      <c r="A137">
        <v>1</v>
      </c>
      <c r="B137" s="1" t="s">
        <v>859</v>
      </c>
      <c r="D137">
        <v>2019</v>
      </c>
      <c r="E137" t="s">
        <v>860</v>
      </c>
      <c r="F137" t="s">
        <v>1392</v>
      </c>
      <c r="G137">
        <f>IF(MATCH(B137,'scopus results'!B:B, 0), 1, 0)</f>
        <v>1</v>
      </c>
    </row>
    <row r="138" spans="1:7" x14ac:dyDescent="0.3">
      <c r="A138">
        <v>1</v>
      </c>
      <c r="B138" s="1" t="s">
        <v>836</v>
      </c>
      <c r="D138">
        <v>2019</v>
      </c>
      <c r="E138" t="s">
        <v>837</v>
      </c>
      <c r="F138" t="s">
        <v>1462</v>
      </c>
      <c r="G138">
        <f>IF(MATCH(B138,'scopus results'!B:B, 0), 1, 0)</f>
        <v>1</v>
      </c>
    </row>
    <row r="139" spans="1:7" x14ac:dyDescent="0.3">
      <c r="A139">
        <v>1</v>
      </c>
      <c r="B139" s="1" t="s">
        <v>1470</v>
      </c>
      <c r="D139">
        <v>2019</v>
      </c>
      <c r="F139" t="s">
        <v>1471</v>
      </c>
      <c r="G139">
        <f>IF(MATCH(B139,'scopus results'!B:B, 0), 1, 0)</f>
        <v>1</v>
      </c>
    </row>
    <row r="140" spans="1:7" x14ac:dyDescent="0.3">
      <c r="A140">
        <v>1</v>
      </c>
      <c r="B140" s="1" t="s">
        <v>1475</v>
      </c>
      <c r="D140">
        <v>2019</v>
      </c>
      <c r="E140" t="s">
        <v>1476</v>
      </c>
      <c r="F140" t="s">
        <v>1477</v>
      </c>
      <c r="G140">
        <f>IF(MATCH(B140,'scopus results'!B:B, 0), 1, 0)</f>
        <v>1</v>
      </c>
    </row>
    <row r="141" spans="1:7" x14ac:dyDescent="0.3">
      <c r="A141">
        <v>1</v>
      </c>
      <c r="B141" s="1" t="s">
        <v>7</v>
      </c>
      <c r="D141">
        <v>2020</v>
      </c>
      <c r="E141" t="s">
        <v>177</v>
      </c>
      <c r="F141" t="s">
        <v>335</v>
      </c>
    </row>
    <row r="142" spans="1:7" x14ac:dyDescent="0.3">
      <c r="A142">
        <v>1</v>
      </c>
      <c r="B142" s="1" t="s">
        <v>10</v>
      </c>
      <c r="D142">
        <v>2020</v>
      </c>
      <c r="F142" t="s">
        <v>338</v>
      </c>
    </row>
    <row r="143" spans="1:7" x14ac:dyDescent="0.3">
      <c r="A143">
        <v>1</v>
      </c>
      <c r="B143" s="1" t="s">
        <v>43</v>
      </c>
      <c r="D143">
        <v>2020</v>
      </c>
      <c r="E143" t="s">
        <v>210</v>
      </c>
      <c r="F143" t="s">
        <v>371</v>
      </c>
    </row>
    <row r="144" spans="1:7" x14ac:dyDescent="0.3">
      <c r="A144">
        <v>1</v>
      </c>
      <c r="B144" s="1" t="s">
        <v>44</v>
      </c>
      <c r="D144">
        <v>2020</v>
      </c>
      <c r="E144" t="s">
        <v>211</v>
      </c>
      <c r="F144" t="s">
        <v>372</v>
      </c>
    </row>
    <row r="145" spans="1:7" x14ac:dyDescent="0.3">
      <c r="A145">
        <v>1</v>
      </c>
      <c r="B145" s="1" t="s">
        <v>61</v>
      </c>
      <c r="D145">
        <v>2020</v>
      </c>
      <c r="E145" t="s">
        <v>228</v>
      </c>
      <c r="F145" t="s">
        <v>389</v>
      </c>
    </row>
    <row r="146" spans="1:7" x14ac:dyDescent="0.3">
      <c r="A146">
        <v>1</v>
      </c>
      <c r="B146" s="1" t="s">
        <v>62</v>
      </c>
      <c r="D146">
        <v>2020</v>
      </c>
      <c r="E146" t="s">
        <v>229</v>
      </c>
      <c r="F146" t="s">
        <v>390</v>
      </c>
    </row>
    <row r="147" spans="1:7" x14ac:dyDescent="0.3">
      <c r="A147">
        <v>1</v>
      </c>
      <c r="B147" s="1" t="s">
        <v>64</v>
      </c>
      <c r="D147">
        <v>2020</v>
      </c>
      <c r="E147" t="s">
        <v>231</v>
      </c>
      <c r="F147" t="s">
        <v>392</v>
      </c>
    </row>
    <row r="148" spans="1:7" x14ac:dyDescent="0.3">
      <c r="A148">
        <v>1</v>
      </c>
      <c r="B148" s="1" t="s">
        <v>68</v>
      </c>
      <c r="D148">
        <v>2020</v>
      </c>
      <c r="E148" t="s">
        <v>235</v>
      </c>
      <c r="F148" t="s">
        <v>396</v>
      </c>
    </row>
    <row r="149" spans="1:7" x14ac:dyDescent="0.3">
      <c r="A149">
        <v>1</v>
      </c>
      <c r="B149" s="1" t="s">
        <v>79</v>
      </c>
      <c r="D149">
        <v>2020</v>
      </c>
      <c r="E149" t="s">
        <v>245</v>
      </c>
      <c r="F149" t="s">
        <v>407</v>
      </c>
    </row>
    <row r="150" spans="1:7" x14ac:dyDescent="0.3">
      <c r="A150">
        <v>1</v>
      </c>
      <c r="B150" s="1" t="s">
        <v>84</v>
      </c>
      <c r="D150">
        <v>2020</v>
      </c>
      <c r="E150" t="s">
        <v>250</v>
      </c>
      <c r="F150" t="s">
        <v>412</v>
      </c>
    </row>
    <row r="151" spans="1:7" x14ac:dyDescent="0.3">
      <c r="A151">
        <v>1</v>
      </c>
      <c r="B151" s="1" t="s">
        <v>88</v>
      </c>
      <c r="D151">
        <v>2020</v>
      </c>
      <c r="E151" t="s">
        <v>253</v>
      </c>
      <c r="F151" t="s">
        <v>416</v>
      </c>
    </row>
    <row r="152" spans="1:7" x14ac:dyDescent="0.3">
      <c r="A152">
        <v>1</v>
      </c>
      <c r="B152" s="1" t="s">
        <v>89</v>
      </c>
      <c r="D152">
        <v>2020</v>
      </c>
      <c r="E152" t="s">
        <v>254</v>
      </c>
      <c r="F152" t="s">
        <v>417</v>
      </c>
    </row>
    <row r="153" spans="1:7" x14ac:dyDescent="0.3">
      <c r="A153">
        <v>1</v>
      </c>
      <c r="B153" s="1" t="s">
        <v>93</v>
      </c>
      <c r="D153">
        <v>2020</v>
      </c>
      <c r="E153" t="s">
        <v>258</v>
      </c>
      <c r="F153" t="s">
        <v>421</v>
      </c>
    </row>
    <row r="154" spans="1:7" x14ac:dyDescent="0.3">
      <c r="A154">
        <v>1</v>
      </c>
      <c r="B154" s="1" t="s">
        <v>104</v>
      </c>
      <c r="D154">
        <v>2020</v>
      </c>
      <c r="E154" t="s">
        <v>269</v>
      </c>
      <c r="F154" t="s">
        <v>432</v>
      </c>
    </row>
    <row r="155" spans="1:7" x14ac:dyDescent="0.3">
      <c r="A155">
        <v>1</v>
      </c>
      <c r="B155" s="1" t="s">
        <v>108</v>
      </c>
      <c r="D155">
        <v>2020</v>
      </c>
      <c r="E155" t="s">
        <v>273</v>
      </c>
      <c r="F155" t="s">
        <v>436</v>
      </c>
    </row>
    <row r="156" spans="1:7" x14ac:dyDescent="0.3">
      <c r="A156">
        <v>0</v>
      </c>
      <c r="B156" s="11" t="s">
        <v>109</v>
      </c>
      <c r="C156" s="14" t="s">
        <v>1550</v>
      </c>
      <c r="D156">
        <v>2020</v>
      </c>
      <c r="F156" t="s">
        <v>437</v>
      </c>
    </row>
    <row r="157" spans="1:7" x14ac:dyDescent="0.3">
      <c r="A157">
        <v>1</v>
      </c>
      <c r="B157" s="1" t="s">
        <v>118</v>
      </c>
      <c r="D157">
        <v>2020</v>
      </c>
      <c r="E157" t="s">
        <v>282</v>
      </c>
      <c r="F157" t="s">
        <v>446</v>
      </c>
    </row>
    <row r="158" spans="1:7" x14ac:dyDescent="0.3">
      <c r="A158">
        <v>1</v>
      </c>
      <c r="B158" s="1" t="s">
        <v>853</v>
      </c>
      <c r="D158">
        <v>2020</v>
      </c>
      <c r="E158" t="s">
        <v>854</v>
      </c>
      <c r="F158" t="s">
        <v>1349</v>
      </c>
      <c r="G158">
        <f>IF(MATCH(B158,'scopus results'!B:B, 0), 1, 0)</f>
        <v>1</v>
      </c>
    </row>
    <row r="159" spans="1:7" x14ac:dyDescent="0.3">
      <c r="A159">
        <v>1</v>
      </c>
      <c r="B159" s="1" t="s">
        <v>898</v>
      </c>
      <c r="D159">
        <v>2020</v>
      </c>
      <c r="E159" t="s">
        <v>899</v>
      </c>
      <c r="F159" t="s">
        <v>1354</v>
      </c>
      <c r="G159">
        <f>IF(MATCH(B159,'scopus results'!B:B, 0), 1, 0)</f>
        <v>1</v>
      </c>
    </row>
    <row r="160" spans="1:7" x14ac:dyDescent="0.3">
      <c r="A160">
        <v>1</v>
      </c>
      <c r="B160" s="1" t="s">
        <v>901</v>
      </c>
      <c r="D160">
        <v>2020</v>
      </c>
      <c r="E160" t="s">
        <v>902</v>
      </c>
      <c r="F160" t="s">
        <v>1363</v>
      </c>
      <c r="G160">
        <f>IF(MATCH(B160,'scopus results'!B:B, 0), 1, 0)</f>
        <v>1</v>
      </c>
    </row>
    <row r="161" spans="1:7" x14ac:dyDescent="0.3">
      <c r="A161">
        <v>1</v>
      </c>
      <c r="B161" s="1" t="s">
        <v>1369</v>
      </c>
      <c r="C161" s="14"/>
      <c r="D161">
        <v>2020</v>
      </c>
      <c r="F161" t="s">
        <v>1370</v>
      </c>
      <c r="G161">
        <f>IF(MATCH(B161,'scopus results'!B:B, 0), 1, 0)</f>
        <v>1</v>
      </c>
    </row>
    <row r="162" spans="1:7" x14ac:dyDescent="0.3">
      <c r="A162">
        <v>1</v>
      </c>
      <c r="B162" s="1" t="s">
        <v>1389</v>
      </c>
      <c r="D162">
        <v>2020</v>
      </c>
      <c r="E162" t="s">
        <v>1390</v>
      </c>
      <c r="F162" t="s">
        <v>1391</v>
      </c>
      <c r="G162">
        <f>IF(MATCH(B162,'scopus results'!B:B, 0), 1, 0)</f>
        <v>1</v>
      </c>
    </row>
    <row r="163" spans="1:7" x14ac:dyDescent="0.3">
      <c r="A163">
        <v>1</v>
      </c>
      <c r="B163" s="1" t="s">
        <v>1393</v>
      </c>
      <c r="D163">
        <v>2020</v>
      </c>
      <c r="E163" t="s">
        <v>1394</v>
      </c>
      <c r="F163" t="s">
        <v>1395</v>
      </c>
      <c r="G163">
        <f>IF(MATCH(B163,'scopus results'!B:B, 0), 1, 0)</f>
        <v>1</v>
      </c>
    </row>
    <row r="164" spans="1:7" x14ac:dyDescent="0.3">
      <c r="A164">
        <v>1</v>
      </c>
      <c r="B164" s="1" t="s">
        <v>874</v>
      </c>
      <c r="D164">
        <v>2020</v>
      </c>
      <c r="E164" t="s">
        <v>875</v>
      </c>
      <c r="F164" t="s">
        <v>1399</v>
      </c>
      <c r="G164">
        <f>IF(MATCH(B164,'scopus results'!B:B, 0), 1, 0)</f>
        <v>1</v>
      </c>
    </row>
    <row r="165" spans="1:7" x14ac:dyDescent="0.3">
      <c r="A165">
        <v>1</v>
      </c>
      <c r="B165" s="1" t="s">
        <v>1400</v>
      </c>
      <c r="D165">
        <v>2020</v>
      </c>
      <c r="E165" t="s">
        <v>1401</v>
      </c>
      <c r="F165" t="s">
        <v>1402</v>
      </c>
      <c r="G165">
        <f>IF(MATCH(B165,'scopus results'!B:B, 0), 1, 0)</f>
        <v>1</v>
      </c>
    </row>
    <row r="166" spans="1:7" x14ac:dyDescent="0.3">
      <c r="A166">
        <v>1</v>
      </c>
      <c r="B166" s="1" t="s">
        <v>910</v>
      </c>
      <c r="D166">
        <v>2020</v>
      </c>
      <c r="E166" t="s">
        <v>911</v>
      </c>
      <c r="F166" t="s">
        <v>1405</v>
      </c>
      <c r="G166">
        <f>IF(MATCH(B166,'scopus results'!B:B, 0), 1, 0)</f>
        <v>1</v>
      </c>
    </row>
    <row r="167" spans="1:7" x14ac:dyDescent="0.3">
      <c r="A167">
        <v>1</v>
      </c>
      <c r="B167" s="1" t="s">
        <v>1409</v>
      </c>
      <c r="D167">
        <v>2020</v>
      </c>
      <c r="E167" t="s">
        <v>1410</v>
      </c>
      <c r="F167" t="s">
        <v>1411</v>
      </c>
      <c r="G167">
        <f>IF(MATCH(B167,'scopus results'!B:B, 0), 1, 0)</f>
        <v>1</v>
      </c>
    </row>
    <row r="168" spans="1:7" x14ac:dyDescent="0.3">
      <c r="B168" s="11" t="s">
        <v>1412</v>
      </c>
      <c r="C168" s="14" t="s">
        <v>1551</v>
      </c>
      <c r="D168">
        <v>2020</v>
      </c>
      <c r="F168" t="s">
        <v>1413</v>
      </c>
      <c r="G168">
        <f>IF(MATCH(B168,'scopus results'!B:B, 0), 1, 0)</f>
        <v>1</v>
      </c>
    </row>
    <row r="169" spans="1:7" x14ac:dyDescent="0.3">
      <c r="A169">
        <v>1</v>
      </c>
      <c r="B169" s="1" t="s">
        <v>1416</v>
      </c>
      <c r="D169">
        <v>2020</v>
      </c>
      <c r="E169" t="s">
        <v>1417</v>
      </c>
      <c r="F169" t="s">
        <v>1418</v>
      </c>
      <c r="G169">
        <f>IF(MATCH(B169,'scopus results'!B:B, 0), 1, 0)</f>
        <v>1</v>
      </c>
    </row>
    <row r="170" spans="1:7" x14ac:dyDescent="0.3">
      <c r="A170">
        <v>1</v>
      </c>
      <c r="B170" s="1" t="s">
        <v>1431</v>
      </c>
      <c r="D170">
        <v>2020</v>
      </c>
      <c r="F170" t="s">
        <v>1432</v>
      </c>
      <c r="G170">
        <f>IF(MATCH(B170,'scopus results'!B:B, 0), 1, 0)</f>
        <v>1</v>
      </c>
    </row>
    <row r="171" spans="1:7" x14ac:dyDescent="0.3">
      <c r="A171">
        <v>1</v>
      </c>
      <c r="B171" s="1" t="s">
        <v>1444</v>
      </c>
      <c r="D171">
        <v>2020</v>
      </c>
      <c r="E171" t="s">
        <v>1445</v>
      </c>
      <c r="F171" t="s">
        <v>1446</v>
      </c>
      <c r="G171">
        <f>IF(MATCH(B171,'scopus results'!B:B, 0), 1, 0)</f>
        <v>1</v>
      </c>
    </row>
    <row r="172" spans="1:7" x14ac:dyDescent="0.3">
      <c r="B172" s="11" t="s">
        <v>895</v>
      </c>
      <c r="C172" s="13" t="s">
        <v>1551</v>
      </c>
      <c r="D172">
        <v>2020</v>
      </c>
      <c r="E172" t="s">
        <v>896</v>
      </c>
      <c r="F172" t="s">
        <v>1451</v>
      </c>
      <c r="G172">
        <f>IF(MATCH(B172,'scopus results'!B:B, 0), 1, 0)</f>
        <v>1</v>
      </c>
    </row>
    <row r="173" spans="1:7" x14ac:dyDescent="0.3">
      <c r="A173">
        <v>1</v>
      </c>
      <c r="B173" s="1" t="s">
        <v>25</v>
      </c>
      <c r="D173">
        <v>2021</v>
      </c>
      <c r="E173" t="s">
        <v>194</v>
      </c>
      <c r="F173" t="s">
        <v>353</v>
      </c>
    </row>
    <row r="174" spans="1:7" x14ac:dyDescent="0.3">
      <c r="A174">
        <v>1</v>
      </c>
      <c r="B174" s="1" t="s">
        <v>33</v>
      </c>
      <c r="D174">
        <v>2021</v>
      </c>
      <c r="E174" t="s">
        <v>200</v>
      </c>
      <c r="F174" t="s">
        <v>361</v>
      </c>
    </row>
    <row r="175" spans="1:7" x14ac:dyDescent="0.3">
      <c r="A175">
        <v>1</v>
      </c>
      <c r="B175" s="1" t="s">
        <v>36</v>
      </c>
      <c r="D175">
        <v>2021</v>
      </c>
      <c r="E175" t="s">
        <v>203</v>
      </c>
      <c r="F175" t="s">
        <v>364</v>
      </c>
    </row>
    <row r="176" spans="1:7" x14ac:dyDescent="0.3">
      <c r="A176">
        <v>1</v>
      </c>
      <c r="B176" s="1" t="s">
        <v>45</v>
      </c>
      <c r="D176">
        <v>2021</v>
      </c>
      <c r="E176" t="s">
        <v>212</v>
      </c>
      <c r="F176" t="s">
        <v>373</v>
      </c>
    </row>
    <row r="177" spans="1:7" x14ac:dyDescent="0.3">
      <c r="A177">
        <v>1</v>
      </c>
      <c r="B177" s="1" t="s">
        <v>57</v>
      </c>
      <c r="D177">
        <v>2021</v>
      </c>
      <c r="E177" t="s">
        <v>224</v>
      </c>
      <c r="F177" t="s">
        <v>385</v>
      </c>
    </row>
    <row r="178" spans="1:7" x14ac:dyDescent="0.3">
      <c r="A178">
        <v>1</v>
      </c>
      <c r="B178" s="1" t="s">
        <v>71</v>
      </c>
      <c r="D178">
        <v>2021</v>
      </c>
      <c r="E178" t="s">
        <v>237</v>
      </c>
      <c r="F178" t="s">
        <v>399</v>
      </c>
    </row>
    <row r="179" spans="1:7" x14ac:dyDescent="0.3">
      <c r="A179">
        <v>1</v>
      </c>
      <c r="B179" s="1" t="s">
        <v>74</v>
      </c>
      <c r="D179">
        <v>2021</v>
      </c>
      <c r="E179" t="s">
        <v>240</v>
      </c>
      <c r="F179" t="s">
        <v>402</v>
      </c>
    </row>
    <row r="180" spans="1:7" x14ac:dyDescent="0.3">
      <c r="A180">
        <v>1</v>
      </c>
      <c r="B180" s="1" t="s">
        <v>116</v>
      </c>
      <c r="D180">
        <v>2021</v>
      </c>
      <c r="E180" t="s">
        <v>280</v>
      </c>
      <c r="F180" t="s">
        <v>444</v>
      </c>
    </row>
    <row r="181" spans="1:7" x14ac:dyDescent="0.3">
      <c r="A181">
        <v>1</v>
      </c>
      <c r="B181" s="1" t="s">
        <v>134</v>
      </c>
      <c r="D181">
        <v>2021</v>
      </c>
      <c r="E181" t="s">
        <v>297</v>
      </c>
      <c r="F181" t="s">
        <v>462</v>
      </c>
    </row>
    <row r="182" spans="1:7" x14ac:dyDescent="0.3">
      <c r="A182">
        <v>1</v>
      </c>
      <c r="B182" s="1" t="s">
        <v>135</v>
      </c>
      <c r="D182">
        <v>2021</v>
      </c>
      <c r="E182" t="s">
        <v>298</v>
      </c>
      <c r="F182" t="s">
        <v>463</v>
      </c>
    </row>
    <row r="183" spans="1:7" x14ac:dyDescent="0.3">
      <c r="A183">
        <v>1</v>
      </c>
      <c r="B183" s="1" t="s">
        <v>142</v>
      </c>
      <c r="D183">
        <v>2021</v>
      </c>
      <c r="E183" t="s">
        <v>305</v>
      </c>
      <c r="F183" t="s">
        <v>470</v>
      </c>
    </row>
    <row r="184" spans="1:7" x14ac:dyDescent="0.3">
      <c r="A184">
        <v>0</v>
      </c>
      <c r="B184" s="11" t="s">
        <v>154</v>
      </c>
      <c r="C184" s="13" t="s">
        <v>1546</v>
      </c>
      <c r="D184">
        <v>2021</v>
      </c>
      <c r="E184" t="s">
        <v>316</v>
      </c>
      <c r="F184" t="s">
        <v>482</v>
      </c>
    </row>
    <row r="185" spans="1:7" x14ac:dyDescent="0.3">
      <c r="A185">
        <v>1</v>
      </c>
      <c r="B185" s="1" t="s">
        <v>880</v>
      </c>
      <c r="D185">
        <v>2021</v>
      </c>
      <c r="E185" t="s">
        <v>881</v>
      </c>
      <c r="F185" t="s">
        <v>1356</v>
      </c>
      <c r="G185">
        <f>IF(MATCH(B185,'scopus results'!B:B, 0), 1, 0)</f>
        <v>1</v>
      </c>
    </row>
    <row r="186" spans="1:7" x14ac:dyDescent="0.3">
      <c r="A186">
        <v>1</v>
      </c>
      <c r="B186" s="1" t="s">
        <v>936</v>
      </c>
      <c r="D186">
        <v>2021</v>
      </c>
      <c r="E186" t="s">
        <v>937</v>
      </c>
      <c r="F186" t="s">
        <v>1357</v>
      </c>
      <c r="G186">
        <f>IF(MATCH(B186,'scopus results'!B:B, 0), 1, 0)</f>
        <v>1</v>
      </c>
    </row>
    <row r="187" spans="1:7" x14ac:dyDescent="0.3">
      <c r="B187" s="11" t="s">
        <v>1360</v>
      </c>
      <c r="C187" s="13" t="s">
        <v>1552</v>
      </c>
      <c r="D187">
        <v>2021</v>
      </c>
      <c r="E187" t="s">
        <v>1361</v>
      </c>
      <c r="F187" t="s">
        <v>1362</v>
      </c>
      <c r="G187">
        <f>IF(MATCH(B187,'scopus results'!B:B, 0), 1, 0)</f>
        <v>1</v>
      </c>
    </row>
    <row r="188" spans="1:7" x14ac:dyDescent="0.3">
      <c r="A188">
        <v>1</v>
      </c>
      <c r="B188" s="1" t="s">
        <v>916</v>
      </c>
      <c r="D188">
        <v>2021</v>
      </c>
      <c r="E188" t="s">
        <v>1367</v>
      </c>
      <c r="F188" t="s">
        <v>1368</v>
      </c>
      <c r="G188">
        <f>IF(MATCH(B188,'scopus results'!B:B, 0), 1, 0)</f>
        <v>1</v>
      </c>
    </row>
    <row r="189" spans="1:7" x14ac:dyDescent="0.3">
      <c r="A189">
        <v>1</v>
      </c>
      <c r="B189" s="1" t="s">
        <v>966</v>
      </c>
      <c r="D189">
        <v>2021</v>
      </c>
      <c r="E189" t="s">
        <v>967</v>
      </c>
      <c r="F189" t="s">
        <v>1371</v>
      </c>
      <c r="G189">
        <f>IF(MATCH(B189,'scopus results'!B:B, 0), 1, 0)</f>
        <v>1</v>
      </c>
    </row>
    <row r="190" spans="1:7" x14ac:dyDescent="0.3">
      <c r="A190">
        <v>1</v>
      </c>
      <c r="B190" s="1" t="s">
        <v>1372</v>
      </c>
      <c r="D190">
        <v>2021</v>
      </c>
      <c r="F190" t="s">
        <v>1373</v>
      </c>
      <c r="G190">
        <f>IF(MATCH(B190,'scopus results'!B:B, 0), 1, 0)</f>
        <v>1</v>
      </c>
    </row>
    <row r="191" spans="1:7" x14ac:dyDescent="0.3">
      <c r="A191">
        <v>1</v>
      </c>
      <c r="B191" s="1" t="s">
        <v>1378</v>
      </c>
      <c r="D191">
        <v>2021</v>
      </c>
      <c r="E191" t="s">
        <v>922</v>
      </c>
      <c r="F191" t="s">
        <v>1379</v>
      </c>
      <c r="G191">
        <f>IF(MATCH(B191,'scopus results'!B:B, 0), 1, 0)</f>
        <v>1</v>
      </c>
    </row>
    <row r="192" spans="1:7" x14ac:dyDescent="0.3">
      <c r="A192">
        <v>1</v>
      </c>
      <c r="B192" s="1" t="s">
        <v>1382</v>
      </c>
      <c r="D192">
        <v>2021</v>
      </c>
      <c r="E192" t="s">
        <v>958</v>
      </c>
      <c r="F192" t="s">
        <v>1383</v>
      </c>
      <c r="G192">
        <f>IF(MATCH(B192,'scopus results'!B:B, 0), 1, 0)</f>
        <v>1</v>
      </c>
    </row>
    <row r="193" spans="1:7" x14ac:dyDescent="0.3">
      <c r="A193">
        <v>1</v>
      </c>
      <c r="B193" s="1" t="s">
        <v>913</v>
      </c>
      <c r="D193">
        <v>2021</v>
      </c>
      <c r="E193" t="s">
        <v>914</v>
      </c>
      <c r="F193" t="s">
        <v>1384</v>
      </c>
      <c r="G193">
        <f>IF(MATCH(B193,'scopus results'!B:B, 0), 1, 0)</f>
        <v>1</v>
      </c>
    </row>
    <row r="194" spans="1:7" x14ac:dyDescent="0.3">
      <c r="A194">
        <v>1</v>
      </c>
      <c r="B194" s="1" t="s">
        <v>1406</v>
      </c>
      <c r="D194">
        <v>2021</v>
      </c>
      <c r="E194" t="s">
        <v>1407</v>
      </c>
      <c r="F194" t="s">
        <v>1408</v>
      </c>
      <c r="G194">
        <f>IF(MATCH(B194,'scopus results'!B:B, 0), 1, 0)</f>
        <v>1</v>
      </c>
    </row>
    <row r="195" spans="1:7" x14ac:dyDescent="0.3">
      <c r="B195" s="11" t="s">
        <v>1414</v>
      </c>
      <c r="C195" s="13" t="s">
        <v>1546</v>
      </c>
      <c r="D195">
        <v>2021</v>
      </c>
      <c r="F195" t="s">
        <v>1415</v>
      </c>
      <c r="G195">
        <f>IF(MATCH(B195,'scopus results'!B:B, 0), 1, 0)</f>
        <v>1</v>
      </c>
    </row>
    <row r="196" spans="1:7" x14ac:dyDescent="0.3">
      <c r="A196">
        <v>1</v>
      </c>
      <c r="B196" s="1" t="s">
        <v>1419</v>
      </c>
      <c r="D196">
        <v>2021</v>
      </c>
      <c r="E196" t="s">
        <v>905</v>
      </c>
      <c r="F196" t="s">
        <v>1420</v>
      </c>
      <c r="G196">
        <f>IF(MATCH(B196,'scopus results'!B:B, 0), 1, 0)</f>
        <v>1</v>
      </c>
    </row>
    <row r="197" spans="1:7" x14ac:dyDescent="0.3">
      <c r="A197">
        <v>1</v>
      </c>
      <c r="B197" s="1" t="s">
        <v>1421</v>
      </c>
      <c r="D197">
        <v>2021</v>
      </c>
      <c r="E197" t="s">
        <v>1422</v>
      </c>
      <c r="F197" t="s">
        <v>1423</v>
      </c>
      <c r="G197">
        <f>IF(MATCH(B197,'scopus results'!B:B, 0), 1, 0)</f>
        <v>1</v>
      </c>
    </row>
    <row r="198" spans="1:7" x14ac:dyDescent="0.3">
      <c r="A198">
        <v>1</v>
      </c>
      <c r="B198" s="1" t="s">
        <v>1427</v>
      </c>
      <c r="D198">
        <v>2021</v>
      </c>
      <c r="E198" t="s">
        <v>1428</v>
      </c>
      <c r="F198" t="s">
        <v>1429</v>
      </c>
      <c r="G198">
        <f>IF(MATCH(B198,'scopus results'!B:B, 0), 1, 0)</f>
        <v>1</v>
      </c>
    </row>
    <row r="199" spans="1:7" x14ac:dyDescent="0.3">
      <c r="A199">
        <v>1</v>
      </c>
      <c r="B199" s="1" t="s">
        <v>969</v>
      </c>
      <c r="D199">
        <v>2021</v>
      </c>
      <c r="E199" t="s">
        <v>970</v>
      </c>
      <c r="F199" t="s">
        <v>1430</v>
      </c>
      <c r="G199">
        <f>IF(MATCH(B199,'scopus results'!B:B, 0), 1, 0)</f>
        <v>1</v>
      </c>
    </row>
    <row r="200" spans="1:7" x14ac:dyDescent="0.3">
      <c r="A200">
        <v>1</v>
      </c>
      <c r="B200" s="1" t="s">
        <v>948</v>
      </c>
      <c r="D200">
        <v>2021</v>
      </c>
      <c r="E200" t="s">
        <v>949</v>
      </c>
      <c r="F200" t="s">
        <v>1433</v>
      </c>
      <c r="G200">
        <f>IF(MATCH(B200,'scopus results'!B:B, 0), 1, 0)</f>
        <v>1</v>
      </c>
    </row>
    <row r="201" spans="1:7" x14ac:dyDescent="0.3">
      <c r="A201">
        <v>1</v>
      </c>
      <c r="B201" s="1" t="s">
        <v>945</v>
      </c>
      <c r="D201">
        <v>2021</v>
      </c>
      <c r="E201" t="s">
        <v>946</v>
      </c>
      <c r="F201" t="s">
        <v>1434</v>
      </c>
      <c r="G201">
        <f>IF(MATCH(B201,'scopus results'!B:B, 0), 1, 0)</f>
        <v>1</v>
      </c>
    </row>
    <row r="202" spans="1:7" x14ac:dyDescent="0.3">
      <c r="B202" s="11" t="s">
        <v>1440</v>
      </c>
      <c r="D202">
        <v>2021</v>
      </c>
      <c r="F202" t="s">
        <v>1441</v>
      </c>
      <c r="G202">
        <f>IF(MATCH(B202,'scopus results'!B:B, 0), 1, 0)</f>
        <v>1</v>
      </c>
    </row>
    <row r="203" spans="1:7" x14ac:dyDescent="0.3">
      <c r="A203">
        <v>1</v>
      </c>
      <c r="B203" s="1" t="s">
        <v>1540</v>
      </c>
      <c r="D203">
        <v>2021</v>
      </c>
      <c r="E203" s="1" t="s">
        <v>1442</v>
      </c>
      <c r="F203" t="s">
        <v>1443</v>
      </c>
      <c r="G203">
        <f>IF(MATCH(B203,'scopus results'!B:B, 0), 1, 0)</f>
        <v>1</v>
      </c>
    </row>
    <row r="204" spans="1:7" x14ac:dyDescent="0.3">
      <c r="A204">
        <v>1</v>
      </c>
      <c r="B204" s="1" t="s">
        <v>963</v>
      </c>
      <c r="D204">
        <v>2021</v>
      </c>
      <c r="E204" t="s">
        <v>964</v>
      </c>
      <c r="F204" t="s">
        <v>1447</v>
      </c>
      <c r="G204">
        <f>IF(MATCH(B204,'scopus results'!B:B, 0), 1, 0)</f>
        <v>1</v>
      </c>
    </row>
    <row r="205" spans="1:7" x14ac:dyDescent="0.3">
      <c r="A205">
        <v>1</v>
      </c>
      <c r="B205" s="1" t="s">
        <v>1448</v>
      </c>
      <c r="D205">
        <v>2021</v>
      </c>
      <c r="E205" t="s">
        <v>1449</v>
      </c>
      <c r="F205" t="s">
        <v>1450</v>
      </c>
      <c r="G205">
        <f>IF(MATCH(B205,'scopus results'!B:B, 0), 1, 0)</f>
        <v>1</v>
      </c>
    </row>
    <row r="206" spans="1:7" x14ac:dyDescent="0.3">
      <c r="B206" s="11" t="s">
        <v>954</v>
      </c>
      <c r="C206" s="13" t="s">
        <v>1546</v>
      </c>
      <c r="D206">
        <v>2021</v>
      </c>
      <c r="E206" t="s">
        <v>955</v>
      </c>
      <c r="F206" t="s">
        <v>1452</v>
      </c>
      <c r="G206">
        <f>IF(MATCH(B206,'scopus results'!B:B, 0), 1, 0)</f>
        <v>1</v>
      </c>
    </row>
    <row r="207" spans="1:7" x14ac:dyDescent="0.3">
      <c r="A207">
        <v>1</v>
      </c>
      <c r="B207" s="1" t="s">
        <v>1453</v>
      </c>
      <c r="D207">
        <v>2021</v>
      </c>
      <c r="E207" t="s">
        <v>940</v>
      </c>
      <c r="F207" t="s">
        <v>1454</v>
      </c>
      <c r="G207">
        <f>IF(MATCH(B207,'scopus results'!B:B, 0), 1, 0)</f>
        <v>1</v>
      </c>
    </row>
    <row r="208" spans="1:7" x14ac:dyDescent="0.3">
      <c r="A208">
        <v>1</v>
      </c>
      <c r="B208" s="1" t="s">
        <v>1455</v>
      </c>
      <c r="D208">
        <v>2021</v>
      </c>
      <c r="E208" t="s">
        <v>931</v>
      </c>
      <c r="F208" t="s">
        <v>1456</v>
      </c>
      <c r="G208">
        <f>IF(MATCH(B208,'scopus results'!B:B, 0), 1, 0)</f>
        <v>1</v>
      </c>
    </row>
    <row r="209" spans="1:7" x14ac:dyDescent="0.3">
      <c r="A209">
        <v>1</v>
      </c>
      <c r="B209" s="1" t="s">
        <v>27</v>
      </c>
      <c r="D209">
        <v>2022</v>
      </c>
      <c r="E209" t="s">
        <v>196</v>
      </c>
      <c r="F209" t="s">
        <v>355</v>
      </c>
    </row>
    <row r="210" spans="1:7" x14ac:dyDescent="0.3">
      <c r="A210">
        <v>1</v>
      </c>
      <c r="B210" s="1" t="s">
        <v>39</v>
      </c>
      <c r="D210">
        <v>2022</v>
      </c>
      <c r="E210" t="s">
        <v>206</v>
      </c>
      <c r="F210" t="s">
        <v>367</v>
      </c>
    </row>
    <row r="211" spans="1:7" x14ac:dyDescent="0.3">
      <c r="A211">
        <v>1</v>
      </c>
      <c r="B211" s="1" t="s">
        <v>40</v>
      </c>
      <c r="D211">
        <v>2022</v>
      </c>
      <c r="E211" t="s">
        <v>207</v>
      </c>
      <c r="F211" t="s">
        <v>368</v>
      </c>
    </row>
    <row r="212" spans="1:7" x14ac:dyDescent="0.3">
      <c r="A212">
        <v>1</v>
      </c>
      <c r="B212" s="1" t="s">
        <v>48</v>
      </c>
      <c r="D212">
        <v>2022</v>
      </c>
      <c r="E212" t="s">
        <v>215</v>
      </c>
      <c r="F212" t="s">
        <v>376</v>
      </c>
    </row>
    <row r="213" spans="1:7" x14ac:dyDescent="0.3">
      <c r="A213">
        <v>1</v>
      </c>
      <c r="B213" s="1" t="s">
        <v>69</v>
      </c>
      <c r="D213">
        <v>2022</v>
      </c>
      <c r="E213" t="s">
        <v>236</v>
      </c>
      <c r="F213" t="s">
        <v>397</v>
      </c>
    </row>
    <row r="214" spans="1:7" x14ac:dyDescent="0.3">
      <c r="A214">
        <v>1</v>
      </c>
      <c r="B214" s="1" t="s">
        <v>96</v>
      </c>
      <c r="D214">
        <v>2022</v>
      </c>
      <c r="E214" t="s">
        <v>261</v>
      </c>
      <c r="F214" t="s">
        <v>424</v>
      </c>
    </row>
    <row r="215" spans="1:7" x14ac:dyDescent="0.3">
      <c r="A215">
        <v>1</v>
      </c>
      <c r="B215" s="1" t="s">
        <v>98</v>
      </c>
      <c r="D215">
        <v>2022</v>
      </c>
      <c r="E215" t="s">
        <v>263</v>
      </c>
      <c r="F215" t="s">
        <v>426</v>
      </c>
    </row>
    <row r="216" spans="1:7" x14ac:dyDescent="0.3">
      <c r="A216" s="2">
        <v>1</v>
      </c>
      <c r="B216" s="1" t="s">
        <v>101</v>
      </c>
      <c r="D216">
        <v>2022</v>
      </c>
      <c r="E216" t="s">
        <v>266</v>
      </c>
      <c r="F216" t="s">
        <v>429</v>
      </c>
    </row>
    <row r="217" spans="1:7" x14ac:dyDescent="0.3">
      <c r="A217">
        <v>1</v>
      </c>
      <c r="B217" s="1" t="s">
        <v>122</v>
      </c>
      <c r="D217">
        <v>2022</v>
      </c>
      <c r="E217" t="s">
        <v>286</v>
      </c>
      <c r="F217" t="s">
        <v>450</v>
      </c>
    </row>
    <row r="218" spans="1:7" x14ac:dyDescent="0.3">
      <c r="A218">
        <v>1</v>
      </c>
      <c r="B218" s="1" t="s">
        <v>124</v>
      </c>
      <c r="D218">
        <v>2022</v>
      </c>
      <c r="E218" t="s">
        <v>287</v>
      </c>
      <c r="F218" t="s">
        <v>452</v>
      </c>
    </row>
    <row r="219" spans="1:7" x14ac:dyDescent="0.3">
      <c r="A219">
        <v>1</v>
      </c>
      <c r="B219" s="1" t="s">
        <v>125</v>
      </c>
      <c r="D219">
        <v>2022</v>
      </c>
      <c r="E219" t="s">
        <v>288</v>
      </c>
      <c r="F219" t="s">
        <v>453</v>
      </c>
    </row>
    <row r="220" spans="1:7" x14ac:dyDescent="0.3">
      <c r="A220">
        <v>1</v>
      </c>
      <c r="B220" s="1" t="s">
        <v>131</v>
      </c>
      <c r="D220">
        <v>2022</v>
      </c>
      <c r="E220" t="s">
        <v>294</v>
      </c>
      <c r="F220" t="s">
        <v>459</v>
      </c>
    </row>
    <row r="221" spans="1:7" x14ac:dyDescent="0.3">
      <c r="A221">
        <v>1</v>
      </c>
      <c r="B221" s="1" t="s">
        <v>138</v>
      </c>
      <c r="D221">
        <v>2022</v>
      </c>
      <c r="E221" t="s">
        <v>301</v>
      </c>
      <c r="F221" t="s">
        <v>466</v>
      </c>
    </row>
    <row r="222" spans="1:7" x14ac:dyDescent="0.3">
      <c r="A222">
        <v>1</v>
      </c>
      <c r="B222" s="1" t="s">
        <v>165</v>
      </c>
      <c r="D222">
        <v>2022</v>
      </c>
      <c r="E222" t="s">
        <v>324</v>
      </c>
      <c r="F222" t="s">
        <v>493</v>
      </c>
    </row>
    <row r="223" spans="1:7" x14ac:dyDescent="0.3">
      <c r="A223">
        <v>0</v>
      </c>
      <c r="B223" s="11" t="s">
        <v>167</v>
      </c>
      <c r="C223" s="13" t="s">
        <v>1553</v>
      </c>
      <c r="D223">
        <v>2022</v>
      </c>
      <c r="E223" t="s">
        <v>326</v>
      </c>
      <c r="F223" t="s">
        <v>495</v>
      </c>
    </row>
    <row r="224" spans="1:7" x14ac:dyDescent="0.3">
      <c r="A224">
        <v>1</v>
      </c>
      <c r="B224" s="1" t="s">
        <v>1267</v>
      </c>
      <c r="D224">
        <v>2022</v>
      </c>
      <c r="E224" t="s">
        <v>1268</v>
      </c>
      <c r="F224" t="s">
        <v>1269</v>
      </c>
      <c r="G224">
        <f>IF(MATCH(B224,'scopus results'!B:B, 0), 1, 0)</f>
        <v>1</v>
      </c>
    </row>
    <row r="225" spans="1:7" x14ac:dyDescent="0.3">
      <c r="A225">
        <v>1</v>
      </c>
      <c r="B225" s="1" t="s">
        <v>1277</v>
      </c>
      <c r="D225">
        <v>2022</v>
      </c>
      <c r="E225" t="s">
        <v>1278</v>
      </c>
      <c r="F225" t="s">
        <v>1279</v>
      </c>
      <c r="G225">
        <f>IF(MATCH(B225,'scopus results'!B:B, 0), 1, 0)</f>
        <v>1</v>
      </c>
    </row>
    <row r="226" spans="1:7" x14ac:dyDescent="0.3">
      <c r="A226">
        <v>1</v>
      </c>
      <c r="B226" s="1" t="s">
        <v>1011</v>
      </c>
      <c r="D226">
        <v>2022</v>
      </c>
      <c r="E226" t="s">
        <v>1012</v>
      </c>
      <c r="F226" t="s">
        <v>1280</v>
      </c>
      <c r="G226">
        <f>IF(MATCH(B226,'scopus results'!B:B, 0), 1, 0)</f>
        <v>1</v>
      </c>
    </row>
    <row r="227" spans="1:7" x14ac:dyDescent="0.3">
      <c r="A227">
        <v>1</v>
      </c>
      <c r="B227" s="1" t="s">
        <v>978</v>
      </c>
      <c r="D227">
        <v>2022</v>
      </c>
      <c r="E227" t="s">
        <v>979</v>
      </c>
      <c r="F227" t="s">
        <v>1281</v>
      </c>
      <c r="G227">
        <f>IF(MATCH(B227,'scopus results'!B:B, 0), 1, 0)</f>
        <v>1</v>
      </c>
    </row>
    <row r="228" spans="1:7" x14ac:dyDescent="0.3">
      <c r="A228">
        <v>1</v>
      </c>
      <c r="B228" s="1" t="s">
        <v>1041</v>
      </c>
      <c r="D228">
        <v>2022</v>
      </c>
      <c r="E228" t="s">
        <v>1042</v>
      </c>
      <c r="F228" t="s">
        <v>1282</v>
      </c>
      <c r="G228">
        <f>IF(MATCH(B228,'scopus results'!B:B, 0), 1, 0)</f>
        <v>1</v>
      </c>
    </row>
    <row r="229" spans="1:7" x14ac:dyDescent="0.3">
      <c r="A229">
        <v>1</v>
      </c>
      <c r="B229" s="1" t="s">
        <v>1014</v>
      </c>
      <c r="D229">
        <v>2022</v>
      </c>
      <c r="E229" t="s">
        <v>1015</v>
      </c>
      <c r="F229" t="s">
        <v>1285</v>
      </c>
      <c r="G229">
        <f>IF(MATCH(B229,'scopus results'!B:B, 0), 1, 0)</f>
        <v>1</v>
      </c>
    </row>
    <row r="230" spans="1:7" x14ac:dyDescent="0.3">
      <c r="A230">
        <v>1</v>
      </c>
      <c r="B230" s="1" t="s">
        <v>1044</v>
      </c>
      <c r="D230">
        <v>2022</v>
      </c>
      <c r="E230" t="s">
        <v>1045</v>
      </c>
      <c r="F230" t="s">
        <v>1289</v>
      </c>
      <c r="G230">
        <f>IF(MATCH(B230,'scopus results'!B:B, 0), 1, 0)</f>
        <v>1</v>
      </c>
    </row>
    <row r="231" spans="1:7" x14ac:dyDescent="0.3">
      <c r="A231">
        <v>1</v>
      </c>
      <c r="B231" s="1" t="s">
        <v>1050</v>
      </c>
      <c r="D231">
        <v>2022</v>
      </c>
      <c r="E231" t="s">
        <v>1051</v>
      </c>
      <c r="F231" t="s">
        <v>1294</v>
      </c>
      <c r="G231">
        <f>IF(MATCH(B231,'scopus results'!B:B, 0), 1, 0)</f>
        <v>1</v>
      </c>
    </row>
    <row r="232" spans="1:7" x14ac:dyDescent="0.3">
      <c r="A232">
        <v>1</v>
      </c>
      <c r="B232" s="1" t="s">
        <v>1017</v>
      </c>
      <c r="D232">
        <v>2022</v>
      </c>
      <c r="E232" t="s">
        <v>1018</v>
      </c>
      <c r="F232" t="s">
        <v>1316</v>
      </c>
      <c r="G232">
        <f>IF(MATCH(B232,'scopus results'!B:B, 0), 1, 0)</f>
        <v>1</v>
      </c>
    </row>
    <row r="233" spans="1:7" x14ac:dyDescent="0.3">
      <c r="A233">
        <v>1</v>
      </c>
      <c r="B233" s="1" t="s">
        <v>558</v>
      </c>
      <c r="D233">
        <v>2022</v>
      </c>
      <c r="E233" t="s">
        <v>708</v>
      </c>
      <c r="F233" t="s">
        <v>1326</v>
      </c>
      <c r="G233">
        <f>IF(MATCH(B233,'scopus results'!B:B, 0), 1, 0)</f>
        <v>1</v>
      </c>
    </row>
    <row r="234" spans="1:7" x14ac:dyDescent="0.3">
      <c r="A234">
        <v>1</v>
      </c>
      <c r="B234" s="1" t="s">
        <v>1026</v>
      </c>
      <c r="D234">
        <v>2022</v>
      </c>
      <c r="E234" t="s">
        <v>1027</v>
      </c>
      <c r="F234" t="s">
        <v>1327</v>
      </c>
      <c r="G234">
        <f>IF(MATCH(B234,'scopus results'!B:B, 0), 1, 0)</f>
        <v>1</v>
      </c>
    </row>
    <row r="235" spans="1:7" x14ac:dyDescent="0.3">
      <c r="A235">
        <v>1</v>
      </c>
      <c r="B235" s="1" t="s">
        <v>1068</v>
      </c>
      <c r="D235">
        <v>2022</v>
      </c>
      <c r="E235" t="s">
        <v>1069</v>
      </c>
      <c r="F235" t="s">
        <v>1329</v>
      </c>
      <c r="G235">
        <f>IF(MATCH(B235,'scopus results'!B:B, 0), 1, 0)</f>
        <v>1</v>
      </c>
    </row>
    <row r="236" spans="1:7" x14ac:dyDescent="0.3">
      <c r="A236">
        <v>1</v>
      </c>
      <c r="B236" s="1" t="s">
        <v>1062</v>
      </c>
      <c r="D236">
        <v>2022</v>
      </c>
      <c r="E236" t="s">
        <v>1063</v>
      </c>
      <c r="F236" t="s">
        <v>1339</v>
      </c>
      <c r="G236">
        <f>IF(MATCH(B236,'scopus results'!B:B, 0), 1, 0)</f>
        <v>1</v>
      </c>
    </row>
    <row r="237" spans="1:7" x14ac:dyDescent="0.3">
      <c r="A237">
        <v>1</v>
      </c>
      <c r="B237" s="1" t="s">
        <v>1059</v>
      </c>
      <c r="D237">
        <v>2022</v>
      </c>
      <c r="E237" t="s">
        <v>1060</v>
      </c>
      <c r="F237" t="s">
        <v>1340</v>
      </c>
      <c r="G237">
        <f>IF(MATCH(B237,'scopus results'!B:B, 0), 1, 0)</f>
        <v>1</v>
      </c>
    </row>
    <row r="238" spans="1:7" x14ac:dyDescent="0.3">
      <c r="A238">
        <v>1</v>
      </c>
      <c r="B238" s="1" t="s">
        <v>1065</v>
      </c>
      <c r="D238">
        <v>2022</v>
      </c>
      <c r="E238" t="s">
        <v>1066</v>
      </c>
      <c r="F238" t="s">
        <v>1342</v>
      </c>
      <c r="G238">
        <f>IF(MATCH(B238,'scopus results'!B:B, 0), 1, 0)</f>
        <v>1</v>
      </c>
    </row>
    <row r="239" spans="1:7" x14ac:dyDescent="0.3">
      <c r="A239">
        <v>1</v>
      </c>
      <c r="B239" s="1" t="s">
        <v>1343</v>
      </c>
      <c r="D239">
        <v>2022</v>
      </c>
      <c r="E239" t="s">
        <v>1344</v>
      </c>
      <c r="F239" t="s">
        <v>1345</v>
      </c>
      <c r="G239">
        <f>IF(MATCH(B239,'scopus results'!B:B, 0), 1, 0)</f>
        <v>1</v>
      </c>
    </row>
    <row r="240" spans="1:7" x14ac:dyDescent="0.3">
      <c r="A240">
        <v>1</v>
      </c>
      <c r="B240" s="1" t="s">
        <v>993</v>
      </c>
      <c r="D240">
        <v>2022</v>
      </c>
      <c r="E240" t="s">
        <v>994</v>
      </c>
      <c r="F240" t="s">
        <v>1346</v>
      </c>
      <c r="G240">
        <f>IF(MATCH(B240,'scopus results'!B:B, 0), 1, 0)</f>
        <v>1</v>
      </c>
    </row>
    <row r="241" spans="1:9" x14ac:dyDescent="0.3">
      <c r="A241">
        <v>1</v>
      </c>
      <c r="B241" s="1" t="s">
        <v>1350</v>
      </c>
      <c r="D241">
        <v>2022</v>
      </c>
      <c r="E241" t="s">
        <v>1351</v>
      </c>
      <c r="F241" t="s">
        <v>1352</v>
      </c>
      <c r="G241">
        <f>IF(MATCH(B241,'scopus results'!B:B, 0), 1, 0)</f>
        <v>1</v>
      </c>
    </row>
    <row r="242" spans="1:9" x14ac:dyDescent="0.3">
      <c r="A242">
        <v>1</v>
      </c>
      <c r="B242" s="1" t="s">
        <v>990</v>
      </c>
      <c r="D242">
        <v>2022</v>
      </c>
      <c r="E242" t="s">
        <v>991</v>
      </c>
      <c r="F242" t="s">
        <v>1353</v>
      </c>
      <c r="G242">
        <f>IF(MATCH(B242,'scopus results'!B:B, 0), 1, 0)</f>
        <v>1</v>
      </c>
    </row>
    <row r="243" spans="1:9" x14ac:dyDescent="0.3">
      <c r="A243">
        <v>1</v>
      </c>
      <c r="B243" s="1" t="s">
        <v>1005</v>
      </c>
      <c r="D243">
        <v>2022</v>
      </c>
      <c r="E243" t="s">
        <v>1006</v>
      </c>
      <c r="F243" t="s">
        <v>1355</v>
      </c>
      <c r="G243">
        <f>IF(MATCH(B243,'scopus results'!B:B, 0), 1, 0)</f>
        <v>1</v>
      </c>
      <c r="I243" t="s">
        <v>1537</v>
      </c>
    </row>
    <row r="244" spans="1:9" x14ac:dyDescent="0.3">
      <c r="A244">
        <v>1</v>
      </c>
      <c r="B244" s="5" t="s">
        <v>1358</v>
      </c>
      <c r="D244">
        <v>2022</v>
      </c>
      <c r="E244" t="s">
        <v>1054</v>
      </c>
      <c r="F244" t="s">
        <v>1359</v>
      </c>
      <c r="G244">
        <f>IF(MATCH(B244,'scopus results'!B:B, 0), 1, 0)</f>
        <v>1</v>
      </c>
    </row>
    <row r="245" spans="1:9" x14ac:dyDescent="0.3">
      <c r="A245">
        <v>1</v>
      </c>
      <c r="B245" s="1" t="s">
        <v>1374</v>
      </c>
      <c r="D245">
        <v>2022</v>
      </c>
      <c r="E245" t="s">
        <v>1375</v>
      </c>
      <c r="F245" t="s">
        <v>1376</v>
      </c>
      <c r="G245">
        <f>IF(MATCH(B245,'scopus results'!B:B, 0), 1, 0)</f>
        <v>1</v>
      </c>
    </row>
    <row r="246" spans="1:9" x14ac:dyDescent="0.3">
      <c r="A246">
        <v>1</v>
      </c>
      <c r="B246" s="1" t="s">
        <v>1008</v>
      </c>
      <c r="D246">
        <v>2022</v>
      </c>
      <c r="E246" t="s">
        <v>1009</v>
      </c>
      <c r="F246" t="s">
        <v>1380</v>
      </c>
      <c r="G246">
        <f>IF(MATCH(B246,'scopus results'!B:B, 0), 1, 0)</f>
        <v>1</v>
      </c>
    </row>
    <row r="247" spans="1:9" x14ac:dyDescent="0.3">
      <c r="A247">
        <v>1</v>
      </c>
      <c r="B247" s="1" t="s">
        <v>996</v>
      </c>
      <c r="D247">
        <v>2022</v>
      </c>
      <c r="E247" t="s">
        <v>997</v>
      </c>
      <c r="F247" t="s">
        <v>1381</v>
      </c>
      <c r="G247">
        <f>IF(MATCH(B247,'scopus results'!B:B, 0), 1, 0)</f>
        <v>1</v>
      </c>
    </row>
    <row r="248" spans="1:9" x14ac:dyDescent="0.3">
      <c r="A248">
        <v>1</v>
      </c>
      <c r="B248" s="1" t="s">
        <v>999</v>
      </c>
      <c r="D248">
        <v>2022</v>
      </c>
      <c r="E248" t="s">
        <v>1000</v>
      </c>
      <c r="F248" t="s">
        <v>1385</v>
      </c>
      <c r="G248">
        <f>IF(MATCH(B248,'scopus results'!B:B, 0), 1, 0)</f>
        <v>1</v>
      </c>
    </row>
    <row r="249" spans="1:9" x14ac:dyDescent="0.3">
      <c r="A249">
        <v>1</v>
      </c>
      <c r="B249" s="1" t="s">
        <v>1386</v>
      </c>
      <c r="D249">
        <v>2022</v>
      </c>
      <c r="E249" t="s">
        <v>1387</v>
      </c>
      <c r="F249" t="s">
        <v>1388</v>
      </c>
      <c r="G249">
        <f>IF(MATCH(B249,'scopus results'!B:B, 0), 1, 0)</f>
        <v>1</v>
      </c>
    </row>
    <row r="250" spans="1:9" x14ac:dyDescent="0.3">
      <c r="A250">
        <v>1</v>
      </c>
      <c r="B250" s="1" t="s">
        <v>1396</v>
      </c>
      <c r="D250">
        <v>2022</v>
      </c>
      <c r="E250" t="s">
        <v>1397</v>
      </c>
      <c r="F250" t="s">
        <v>1398</v>
      </c>
      <c r="G250">
        <f>IF(MATCH(B250,'scopus results'!B:B, 0), 1, 0)</f>
        <v>1</v>
      </c>
    </row>
    <row r="251" spans="1:9" x14ac:dyDescent="0.3">
      <c r="A251">
        <v>1</v>
      </c>
      <c r="B251" s="1" t="s">
        <v>1023</v>
      </c>
      <c r="D251">
        <v>2022</v>
      </c>
      <c r="E251" t="s">
        <v>1024</v>
      </c>
      <c r="F251" t="s">
        <v>1403</v>
      </c>
      <c r="G251">
        <f>IF(MATCH(B251,'scopus results'!B:B, 0), 1, 0)</f>
        <v>1</v>
      </c>
    </row>
    <row r="252" spans="1:9" x14ac:dyDescent="0.3">
      <c r="A252">
        <v>1</v>
      </c>
      <c r="B252" s="1" t="s">
        <v>1002</v>
      </c>
      <c r="D252">
        <v>2022</v>
      </c>
      <c r="E252" t="s">
        <v>1003</v>
      </c>
      <c r="F252" t="s">
        <v>1404</v>
      </c>
      <c r="G252">
        <f>IF(MATCH(B252,'scopus results'!B:B, 0), 1, 0)</f>
        <v>1</v>
      </c>
    </row>
    <row r="253" spans="1:9" x14ac:dyDescent="0.3">
      <c r="A253">
        <v>1</v>
      </c>
      <c r="B253" s="1" t="s">
        <v>1424</v>
      </c>
      <c r="D253">
        <v>2022</v>
      </c>
      <c r="E253" t="s">
        <v>1425</v>
      </c>
      <c r="F253" t="s">
        <v>1426</v>
      </c>
      <c r="G253">
        <f>IF(MATCH(B253,'scopus results'!B:B, 0), 1, 0)</f>
        <v>1</v>
      </c>
    </row>
    <row r="254" spans="1:9" x14ac:dyDescent="0.3">
      <c r="A254">
        <v>1</v>
      </c>
      <c r="B254" s="1" t="s">
        <v>1435</v>
      </c>
      <c r="D254">
        <v>2022</v>
      </c>
      <c r="E254" t="s">
        <v>988</v>
      </c>
      <c r="F254" t="s">
        <v>1436</v>
      </c>
      <c r="G254">
        <f>IF(MATCH(B254,'scopus results'!B:B, 0), 1, 0)</f>
        <v>1</v>
      </c>
    </row>
    <row r="255" spans="1:9" x14ac:dyDescent="0.3">
      <c r="A255">
        <v>1</v>
      </c>
      <c r="B255" s="1" t="s">
        <v>1437</v>
      </c>
      <c r="D255">
        <v>2022</v>
      </c>
      <c r="E255" t="s">
        <v>1438</v>
      </c>
      <c r="F255" t="s">
        <v>1439</v>
      </c>
      <c r="G255">
        <f>IF(MATCH(B255,'scopus results'!B:B, 0), 1, 0)</f>
        <v>1</v>
      </c>
    </row>
    <row r="256" spans="1:9" x14ac:dyDescent="0.3">
      <c r="B256" s="11" t="s">
        <v>1457</v>
      </c>
      <c r="C256" s="13" t="s">
        <v>1551</v>
      </c>
      <c r="D256">
        <v>2022</v>
      </c>
      <c r="E256" t="s">
        <v>1458</v>
      </c>
      <c r="F256" t="s">
        <v>1459</v>
      </c>
      <c r="G256">
        <f>IF(MATCH(B256,'scopus results'!B:B, 0), 1, 0)</f>
        <v>1</v>
      </c>
    </row>
    <row r="257" spans="1:6" x14ac:dyDescent="0.3">
      <c r="A257">
        <v>1</v>
      </c>
      <c r="B257" s="1" t="s">
        <v>17</v>
      </c>
      <c r="D257">
        <v>2023</v>
      </c>
      <c r="E257" t="s">
        <v>186</v>
      </c>
      <c r="F257" t="s">
        <v>345</v>
      </c>
    </row>
    <row r="258" spans="1:6" x14ac:dyDescent="0.3">
      <c r="A258">
        <v>1</v>
      </c>
      <c r="B258" s="1" t="s">
        <v>20</v>
      </c>
      <c r="D258">
        <v>2023</v>
      </c>
      <c r="E258" t="s">
        <v>189</v>
      </c>
      <c r="F258" t="s">
        <v>348</v>
      </c>
    </row>
    <row r="259" spans="1:6" x14ac:dyDescent="0.3">
      <c r="A259">
        <v>1</v>
      </c>
      <c r="B259" s="1" t="s">
        <v>21</v>
      </c>
      <c r="D259">
        <v>2023</v>
      </c>
      <c r="E259" t="s">
        <v>190</v>
      </c>
      <c r="F259" t="s">
        <v>349</v>
      </c>
    </row>
    <row r="260" spans="1:6" x14ac:dyDescent="0.3">
      <c r="A260">
        <v>0</v>
      </c>
      <c r="B260" s="11" t="s">
        <v>30</v>
      </c>
      <c r="C260" s="13" t="s">
        <v>1546</v>
      </c>
      <c r="D260">
        <v>2023</v>
      </c>
      <c r="E260" t="s">
        <v>198</v>
      </c>
      <c r="F260" t="s">
        <v>358</v>
      </c>
    </row>
    <row r="261" spans="1:6" x14ac:dyDescent="0.3">
      <c r="A261">
        <v>1</v>
      </c>
      <c r="B261" s="1" t="s">
        <v>47</v>
      </c>
      <c r="D261">
        <v>2023</v>
      </c>
      <c r="E261" t="s">
        <v>214</v>
      </c>
      <c r="F261" t="s">
        <v>375</v>
      </c>
    </row>
    <row r="262" spans="1:6" x14ac:dyDescent="0.3">
      <c r="A262">
        <v>1</v>
      </c>
      <c r="B262" s="1" t="s">
        <v>51</v>
      </c>
      <c r="D262">
        <v>2023</v>
      </c>
      <c r="E262" t="s">
        <v>218</v>
      </c>
      <c r="F262" t="s">
        <v>379</v>
      </c>
    </row>
    <row r="263" spans="1:6" x14ac:dyDescent="0.3">
      <c r="A263">
        <v>1</v>
      </c>
      <c r="B263" s="1" t="s">
        <v>52</v>
      </c>
      <c r="D263">
        <v>2023</v>
      </c>
      <c r="E263" t="s">
        <v>219</v>
      </c>
      <c r="F263" t="s">
        <v>380</v>
      </c>
    </row>
    <row r="264" spans="1:6" x14ac:dyDescent="0.3">
      <c r="A264">
        <v>1</v>
      </c>
      <c r="B264" s="1" t="s">
        <v>54</v>
      </c>
      <c r="D264">
        <v>2023</v>
      </c>
      <c r="E264" t="s">
        <v>221</v>
      </c>
      <c r="F264" t="s">
        <v>382</v>
      </c>
    </row>
    <row r="265" spans="1:6" x14ac:dyDescent="0.3">
      <c r="A265">
        <v>1</v>
      </c>
      <c r="B265" s="1" t="s">
        <v>73</v>
      </c>
      <c r="D265">
        <v>2023</v>
      </c>
      <c r="E265" t="s">
        <v>239</v>
      </c>
      <c r="F265" t="s">
        <v>401</v>
      </c>
    </row>
    <row r="266" spans="1:6" x14ac:dyDescent="0.3">
      <c r="A266">
        <v>1</v>
      </c>
      <c r="B266" s="1" t="s">
        <v>77</v>
      </c>
      <c r="D266">
        <v>2023</v>
      </c>
      <c r="E266" t="s">
        <v>243</v>
      </c>
      <c r="F266" t="s">
        <v>405</v>
      </c>
    </row>
    <row r="267" spans="1:6" x14ac:dyDescent="0.3">
      <c r="A267">
        <v>1</v>
      </c>
      <c r="B267" s="1" t="s">
        <v>91</v>
      </c>
      <c r="D267">
        <v>2023</v>
      </c>
      <c r="E267" t="s">
        <v>256</v>
      </c>
      <c r="F267" t="s">
        <v>419</v>
      </c>
    </row>
    <row r="268" spans="1:6" x14ac:dyDescent="0.3">
      <c r="A268">
        <v>1</v>
      </c>
      <c r="B268" s="1" t="s">
        <v>94</v>
      </c>
      <c r="D268">
        <v>2023</v>
      </c>
      <c r="E268" t="s">
        <v>259</v>
      </c>
      <c r="F268" t="s">
        <v>422</v>
      </c>
    </row>
    <row r="269" spans="1:6" x14ac:dyDescent="0.3">
      <c r="A269">
        <v>1</v>
      </c>
      <c r="B269" s="1" t="s">
        <v>97</v>
      </c>
      <c r="D269">
        <v>2023</v>
      </c>
      <c r="E269" t="s">
        <v>262</v>
      </c>
      <c r="F269" t="s">
        <v>425</v>
      </c>
    </row>
    <row r="270" spans="1:6" x14ac:dyDescent="0.3">
      <c r="A270">
        <v>1</v>
      </c>
      <c r="B270" s="1" t="s">
        <v>99</v>
      </c>
      <c r="D270">
        <v>2023</v>
      </c>
      <c r="E270" t="s">
        <v>264</v>
      </c>
      <c r="F270" t="s">
        <v>427</v>
      </c>
    </row>
    <row r="271" spans="1:6" x14ac:dyDescent="0.3">
      <c r="A271">
        <v>1</v>
      </c>
      <c r="B271" s="1" t="s">
        <v>130</v>
      </c>
      <c r="D271">
        <v>2023</v>
      </c>
      <c r="E271" t="s">
        <v>293</v>
      </c>
      <c r="F271" t="s">
        <v>458</v>
      </c>
    </row>
    <row r="272" spans="1:6" x14ac:dyDescent="0.3">
      <c r="A272">
        <v>0</v>
      </c>
      <c r="B272" s="11" t="s">
        <v>132</v>
      </c>
      <c r="C272" s="13" t="s">
        <v>1546</v>
      </c>
      <c r="D272">
        <v>2023</v>
      </c>
      <c r="E272" t="s">
        <v>295</v>
      </c>
      <c r="F272" t="s">
        <v>460</v>
      </c>
    </row>
    <row r="273" spans="1:8" x14ac:dyDescent="0.3">
      <c r="A273">
        <v>0</v>
      </c>
      <c r="B273" s="11" t="s">
        <v>137</v>
      </c>
      <c r="C273" s="13" t="s">
        <v>1551</v>
      </c>
      <c r="D273">
        <v>2023</v>
      </c>
      <c r="E273" t="s">
        <v>300</v>
      </c>
      <c r="F273" t="s">
        <v>465</v>
      </c>
    </row>
    <row r="274" spans="1:8" x14ac:dyDescent="0.3">
      <c r="A274">
        <v>1</v>
      </c>
      <c r="B274" s="1" t="s">
        <v>146</v>
      </c>
      <c r="D274">
        <v>2023</v>
      </c>
      <c r="E274" t="s">
        <v>309</v>
      </c>
      <c r="F274" t="s">
        <v>474</v>
      </c>
    </row>
    <row r="275" spans="1:8" x14ac:dyDescent="0.3">
      <c r="A275">
        <v>1</v>
      </c>
      <c r="B275" s="1" t="s">
        <v>150</v>
      </c>
      <c r="D275">
        <v>2023</v>
      </c>
      <c r="E275" t="s">
        <v>312</v>
      </c>
      <c r="F275" t="s">
        <v>478</v>
      </c>
    </row>
    <row r="276" spans="1:8" x14ac:dyDescent="0.3">
      <c r="A276">
        <v>1</v>
      </c>
      <c r="B276" s="1" t="s">
        <v>152</v>
      </c>
      <c r="D276">
        <v>2023</v>
      </c>
      <c r="E276" t="s">
        <v>314</v>
      </c>
      <c r="F276" t="s">
        <v>480</v>
      </c>
    </row>
    <row r="277" spans="1:8" x14ac:dyDescent="0.3">
      <c r="A277">
        <v>0</v>
      </c>
      <c r="B277" s="11" t="s">
        <v>153</v>
      </c>
      <c r="C277" s="13" t="s">
        <v>1546</v>
      </c>
      <c r="D277">
        <v>2023</v>
      </c>
      <c r="E277" t="s">
        <v>315</v>
      </c>
      <c r="F277" t="s">
        <v>481</v>
      </c>
    </row>
    <row r="278" spans="1:8" x14ac:dyDescent="0.3">
      <c r="A278">
        <v>1</v>
      </c>
      <c r="B278" s="1" t="s">
        <v>156</v>
      </c>
      <c r="D278">
        <v>2023</v>
      </c>
      <c r="E278" t="s">
        <v>318</v>
      </c>
      <c r="F278" t="s">
        <v>484</v>
      </c>
    </row>
    <row r="279" spans="1:8" x14ac:dyDescent="0.3">
      <c r="A279">
        <v>1</v>
      </c>
      <c r="B279" s="1" t="s">
        <v>157</v>
      </c>
      <c r="D279">
        <v>2023</v>
      </c>
      <c r="E279" t="s">
        <v>319</v>
      </c>
      <c r="F279" t="s">
        <v>485</v>
      </c>
    </row>
    <row r="280" spans="1:8" x14ac:dyDescent="0.3">
      <c r="A280">
        <v>1</v>
      </c>
      <c r="B280" s="1" t="s">
        <v>1167</v>
      </c>
      <c r="D280">
        <v>2023</v>
      </c>
      <c r="E280" t="s">
        <v>1168</v>
      </c>
      <c r="F280" t="s">
        <v>1255</v>
      </c>
      <c r="G280">
        <f>IF(MATCH(B280,'scopus results'!B:B, 0), 1, 0)</f>
        <v>1</v>
      </c>
    </row>
    <row r="281" spans="1:8" x14ac:dyDescent="0.3">
      <c r="A281">
        <v>1</v>
      </c>
      <c r="B281" s="1" t="s">
        <v>1128</v>
      </c>
      <c r="D281">
        <v>2023</v>
      </c>
      <c r="E281" t="s">
        <v>1129</v>
      </c>
      <c r="F281" t="s">
        <v>1261</v>
      </c>
      <c r="G281">
        <f>IF(MATCH(B281,'scopus results'!B:B, 0), 1, 0)</f>
        <v>1</v>
      </c>
    </row>
    <row r="282" spans="1:8" x14ac:dyDescent="0.3">
      <c r="A282">
        <v>1</v>
      </c>
      <c r="B282" s="1" t="s">
        <v>1270</v>
      </c>
      <c r="D282">
        <v>2023</v>
      </c>
      <c r="E282" t="s">
        <v>1271</v>
      </c>
      <c r="F282" t="s">
        <v>1272</v>
      </c>
      <c r="G282">
        <f>IF(MATCH(B282,'scopus results'!B:B, 0), 1, 0)</f>
        <v>1</v>
      </c>
      <c r="H282" t="s">
        <v>1538</v>
      </c>
    </row>
    <row r="283" spans="1:8" x14ac:dyDescent="0.3">
      <c r="A283">
        <v>1</v>
      </c>
      <c r="B283" s="1" t="s">
        <v>1273</v>
      </c>
      <c r="D283">
        <v>2023</v>
      </c>
      <c r="E283" t="s">
        <v>1274</v>
      </c>
      <c r="F283" t="s">
        <v>1275</v>
      </c>
      <c r="G283">
        <f>IF(MATCH(B283,'scopus results'!B:B, 0), 1, 0)</f>
        <v>1</v>
      </c>
    </row>
    <row r="284" spans="1:8" x14ac:dyDescent="0.3">
      <c r="A284">
        <v>1</v>
      </c>
      <c r="B284" s="1" t="s">
        <v>1107</v>
      </c>
      <c r="D284">
        <v>2023</v>
      </c>
      <c r="E284" t="s">
        <v>1108</v>
      </c>
      <c r="F284" t="s">
        <v>1276</v>
      </c>
      <c r="G284">
        <f>IF(MATCH(B284,'scopus results'!B:B, 0), 1, 0)</f>
        <v>1</v>
      </c>
    </row>
    <row r="285" spans="1:8" x14ac:dyDescent="0.3">
      <c r="A285">
        <v>1</v>
      </c>
      <c r="B285" s="1" t="s">
        <v>1283</v>
      </c>
      <c r="D285">
        <v>2023</v>
      </c>
      <c r="F285" t="s">
        <v>1284</v>
      </c>
      <c r="G285">
        <f>IF(MATCH(B285,'scopus results'!B:B, 0), 1, 0)</f>
        <v>1</v>
      </c>
    </row>
    <row r="286" spans="1:8" x14ac:dyDescent="0.3">
      <c r="A286">
        <v>1</v>
      </c>
      <c r="B286" s="1" t="s">
        <v>559</v>
      </c>
      <c r="D286">
        <v>2023</v>
      </c>
      <c r="E286" t="s">
        <v>712</v>
      </c>
      <c r="F286" t="s">
        <v>1286</v>
      </c>
      <c r="G286">
        <f>IF(MATCH(B286,'scopus results'!B:B, 0), 1, 0)</f>
        <v>1</v>
      </c>
    </row>
    <row r="287" spans="1:8" x14ac:dyDescent="0.3">
      <c r="A287">
        <v>1</v>
      </c>
      <c r="B287" s="1" t="s">
        <v>1164</v>
      </c>
      <c r="D287">
        <v>2023</v>
      </c>
      <c r="E287" t="s">
        <v>1165</v>
      </c>
      <c r="F287" t="s">
        <v>1287</v>
      </c>
      <c r="G287">
        <f>IF(MATCH(B287,'scopus results'!B:B, 0), 1, 0)</f>
        <v>1</v>
      </c>
    </row>
    <row r="288" spans="1:8" x14ac:dyDescent="0.3">
      <c r="A288">
        <v>1</v>
      </c>
      <c r="B288" s="1" t="s">
        <v>1119</v>
      </c>
      <c r="D288">
        <v>2023</v>
      </c>
      <c r="E288" t="s">
        <v>1120</v>
      </c>
      <c r="F288" t="s">
        <v>1288</v>
      </c>
      <c r="G288">
        <f>IF(MATCH(B288,'scopus results'!B:B, 0), 1, 0)</f>
        <v>1</v>
      </c>
    </row>
    <row r="289" spans="1:8" x14ac:dyDescent="0.3">
      <c r="A289">
        <v>1</v>
      </c>
      <c r="B289" s="1" t="s">
        <v>1291</v>
      </c>
      <c r="D289">
        <v>2023</v>
      </c>
      <c r="E289" t="s">
        <v>1292</v>
      </c>
      <c r="F289" t="s">
        <v>1293</v>
      </c>
      <c r="G289">
        <f>IF(MATCH(B289,'scopus results'!B:B, 0), 1, 0)</f>
        <v>1</v>
      </c>
    </row>
    <row r="290" spans="1:8" x14ac:dyDescent="0.3">
      <c r="B290" s="11" t="s">
        <v>1298</v>
      </c>
      <c r="C290" s="13" t="s">
        <v>1554</v>
      </c>
      <c r="D290">
        <v>2023</v>
      </c>
      <c r="E290" t="s">
        <v>1162</v>
      </c>
      <c r="F290" t="s">
        <v>1299</v>
      </c>
      <c r="G290" t="e">
        <f>IF(MATCH(B290,'scopus results'!B:B, 0), 1, 0)</f>
        <v>#VALUE!</v>
      </c>
    </row>
    <row r="291" spans="1:8" x14ac:dyDescent="0.3">
      <c r="A291">
        <v>1</v>
      </c>
      <c r="B291" s="1" t="s">
        <v>1203</v>
      </c>
      <c r="D291">
        <v>2023</v>
      </c>
      <c r="E291" t="s">
        <v>1204</v>
      </c>
      <c r="F291" t="s">
        <v>1304</v>
      </c>
      <c r="G291">
        <f>IF(MATCH(B291,'scopus results'!B:B, 0), 1, 0)</f>
        <v>1</v>
      </c>
    </row>
    <row r="292" spans="1:8" x14ac:dyDescent="0.3">
      <c r="A292">
        <v>1</v>
      </c>
      <c r="B292" s="1" t="s">
        <v>1143</v>
      </c>
      <c r="D292">
        <v>2023</v>
      </c>
      <c r="E292" t="s">
        <v>1144</v>
      </c>
      <c r="F292" t="s">
        <v>1305</v>
      </c>
      <c r="G292">
        <f>IF(MATCH(B292,'scopus results'!B:B, 0), 1, 0)</f>
        <v>1</v>
      </c>
    </row>
    <row r="293" spans="1:8" x14ac:dyDescent="0.3">
      <c r="A293">
        <v>1</v>
      </c>
      <c r="B293" s="1" t="s">
        <v>1306</v>
      </c>
      <c r="D293">
        <v>2023</v>
      </c>
      <c r="E293" t="s">
        <v>1135</v>
      </c>
      <c r="F293" t="s">
        <v>1307</v>
      </c>
      <c r="G293">
        <f>IF(MATCH(B293,'scopus results'!B:B, 0), 1, 0)</f>
        <v>1</v>
      </c>
    </row>
    <row r="294" spans="1:8" x14ac:dyDescent="0.3">
      <c r="A294">
        <v>1</v>
      </c>
      <c r="B294" s="1" t="s">
        <v>1179</v>
      </c>
      <c r="D294">
        <v>2023</v>
      </c>
      <c r="E294" t="s">
        <v>1180</v>
      </c>
      <c r="F294" t="s">
        <v>1308</v>
      </c>
      <c r="G294">
        <f>IF(MATCH(B294,'scopus results'!B:B, 0), 1, 0)</f>
        <v>1</v>
      </c>
    </row>
    <row r="295" spans="1:8" x14ac:dyDescent="0.3">
      <c r="A295">
        <v>1</v>
      </c>
      <c r="B295" s="1" t="s">
        <v>1086</v>
      </c>
      <c r="D295">
        <v>2023</v>
      </c>
      <c r="E295" t="s">
        <v>1087</v>
      </c>
      <c r="F295" t="s">
        <v>1309</v>
      </c>
      <c r="G295">
        <f>IF(MATCH(B295,'scopus results'!B:B, 0), 1, 0)</f>
        <v>1</v>
      </c>
    </row>
    <row r="296" spans="1:8" x14ac:dyDescent="0.3">
      <c r="A296">
        <v>1</v>
      </c>
      <c r="B296" s="1" t="s">
        <v>1095</v>
      </c>
      <c r="D296">
        <v>2023</v>
      </c>
      <c r="E296" t="s">
        <v>1096</v>
      </c>
      <c r="F296" t="s">
        <v>1310</v>
      </c>
      <c r="G296">
        <f>IF(MATCH(B296,'scopus results'!B:B, 0), 1, 0)</f>
        <v>1</v>
      </c>
      <c r="H296" t="s">
        <v>1539</v>
      </c>
    </row>
    <row r="297" spans="1:8" x14ac:dyDescent="0.3">
      <c r="A297">
        <v>0</v>
      </c>
      <c r="B297" s="11" t="s">
        <v>1313</v>
      </c>
      <c r="C297" s="13" t="s">
        <v>1546</v>
      </c>
      <c r="D297">
        <v>2023</v>
      </c>
      <c r="E297" t="s">
        <v>1314</v>
      </c>
      <c r="F297" t="s">
        <v>1315</v>
      </c>
      <c r="G297">
        <f>IF(MATCH(B297,'scopus results'!B:B, 0), 1, 0)</f>
        <v>1</v>
      </c>
    </row>
    <row r="298" spans="1:8" x14ac:dyDescent="0.3">
      <c r="A298">
        <v>1</v>
      </c>
      <c r="B298" s="1" t="s">
        <v>1080</v>
      </c>
      <c r="D298">
        <v>2023</v>
      </c>
      <c r="E298" t="s">
        <v>1081</v>
      </c>
      <c r="F298" t="s">
        <v>1318</v>
      </c>
      <c r="G298">
        <f>IF(MATCH(B298,'scopus results'!B:B, 0), 1, 0)</f>
        <v>1</v>
      </c>
    </row>
    <row r="299" spans="1:8" x14ac:dyDescent="0.3">
      <c r="A299">
        <v>1</v>
      </c>
      <c r="B299" s="1" t="s">
        <v>1319</v>
      </c>
      <c r="D299">
        <v>2023</v>
      </c>
      <c r="E299" t="s">
        <v>1320</v>
      </c>
      <c r="F299" t="s">
        <v>1321</v>
      </c>
      <c r="G299">
        <f>IF(MATCH(B299,'scopus results'!B:B, 0), 1, 0)</f>
        <v>1</v>
      </c>
    </row>
    <row r="300" spans="1:8" x14ac:dyDescent="0.3">
      <c r="A300">
        <v>1</v>
      </c>
      <c r="B300" s="1" t="s">
        <v>1110</v>
      </c>
      <c r="D300">
        <v>2023</v>
      </c>
      <c r="E300" t="s">
        <v>1111</v>
      </c>
      <c r="F300" t="s">
        <v>1322</v>
      </c>
      <c r="G300">
        <f>IF(MATCH(B300,'scopus results'!B:B, 0), 1, 0)</f>
        <v>1</v>
      </c>
    </row>
    <row r="301" spans="1:8" x14ac:dyDescent="0.3">
      <c r="A301">
        <v>1</v>
      </c>
      <c r="B301" s="1" t="s">
        <v>1092</v>
      </c>
      <c r="D301">
        <v>2023</v>
      </c>
      <c r="E301" t="s">
        <v>1093</v>
      </c>
      <c r="F301" t="s">
        <v>1323</v>
      </c>
      <c r="G301">
        <f>IF(MATCH(B301,'scopus results'!B:B, 0), 1, 0)</f>
        <v>1</v>
      </c>
    </row>
    <row r="302" spans="1:8" x14ac:dyDescent="0.3">
      <c r="A302">
        <v>1</v>
      </c>
      <c r="B302" s="1" t="s">
        <v>1077</v>
      </c>
      <c r="D302">
        <v>2023</v>
      </c>
      <c r="E302" t="s">
        <v>1078</v>
      </c>
      <c r="F302" t="s">
        <v>1324</v>
      </c>
      <c r="G302">
        <f>IF(MATCH(B302,'scopus results'!B:B, 0), 1, 0)</f>
        <v>1</v>
      </c>
    </row>
    <row r="303" spans="1:8" x14ac:dyDescent="0.3">
      <c r="A303">
        <v>1</v>
      </c>
      <c r="B303" s="1" t="s">
        <v>1155</v>
      </c>
      <c r="D303">
        <v>2023</v>
      </c>
      <c r="E303" t="s">
        <v>1156</v>
      </c>
      <c r="F303" t="s">
        <v>1330</v>
      </c>
      <c r="G303">
        <f>IF(MATCH(B303,'scopus results'!B:B, 0), 1, 0)</f>
        <v>1</v>
      </c>
    </row>
    <row r="304" spans="1:8" x14ac:dyDescent="0.3">
      <c r="A304">
        <v>1</v>
      </c>
      <c r="B304" s="1" t="s">
        <v>1125</v>
      </c>
      <c r="D304">
        <v>2023</v>
      </c>
      <c r="E304" t="s">
        <v>1126</v>
      </c>
      <c r="F304" t="s">
        <v>1331</v>
      </c>
      <c r="G304">
        <f>IF(MATCH(B304,'scopus results'!B:B, 0), 1, 0)</f>
        <v>1</v>
      </c>
    </row>
    <row r="305" spans="1:7" x14ac:dyDescent="0.3">
      <c r="A305">
        <v>1</v>
      </c>
      <c r="B305" s="1" t="s">
        <v>1140</v>
      </c>
      <c r="D305">
        <v>2023</v>
      </c>
      <c r="E305" t="s">
        <v>1141</v>
      </c>
      <c r="F305" t="s">
        <v>1332</v>
      </c>
      <c r="G305">
        <f>IF(MATCH(B305,'scopus results'!B:B, 0), 1, 0)</f>
        <v>1</v>
      </c>
    </row>
    <row r="306" spans="1:7" x14ac:dyDescent="0.3">
      <c r="A306">
        <v>1</v>
      </c>
      <c r="B306" s="1" t="s">
        <v>1215</v>
      </c>
      <c r="D306">
        <v>2023</v>
      </c>
      <c r="E306" t="s">
        <v>1216</v>
      </c>
      <c r="F306" t="s">
        <v>1333</v>
      </c>
      <c r="G306">
        <f>IF(MATCH(B306,'scopus results'!B:B, 0), 1, 0)</f>
        <v>1</v>
      </c>
    </row>
    <row r="307" spans="1:7" x14ac:dyDescent="0.3">
      <c r="A307">
        <v>1</v>
      </c>
      <c r="B307" s="1" t="s">
        <v>1122</v>
      </c>
      <c r="D307">
        <v>2023</v>
      </c>
      <c r="E307" t="s">
        <v>1123</v>
      </c>
      <c r="F307" t="s">
        <v>1337</v>
      </c>
      <c r="G307">
        <f>IF(MATCH(B307,'scopus results'!B:B, 0), 1, 0)</f>
        <v>1</v>
      </c>
    </row>
    <row r="308" spans="1:7" x14ac:dyDescent="0.3">
      <c r="A308">
        <v>1</v>
      </c>
      <c r="B308" s="1" t="s">
        <v>1212</v>
      </c>
      <c r="D308">
        <v>2023</v>
      </c>
      <c r="E308" t="s">
        <v>1213</v>
      </c>
      <c r="F308" t="s">
        <v>1338</v>
      </c>
      <c r="G308">
        <f>IF(MATCH(B308,'scopus results'!B:B, 0), 1, 0)</f>
        <v>1</v>
      </c>
    </row>
    <row r="309" spans="1:7" x14ac:dyDescent="0.3">
      <c r="A309">
        <v>1</v>
      </c>
      <c r="B309" s="1" t="s">
        <v>1071</v>
      </c>
      <c r="D309">
        <v>2023</v>
      </c>
      <c r="E309" t="s">
        <v>1072</v>
      </c>
      <c r="F309" t="s">
        <v>1341</v>
      </c>
      <c r="G309">
        <f>IF(MATCH(B309,'scopus results'!B:B, 0), 1, 0)</f>
        <v>1</v>
      </c>
    </row>
    <row r="310" spans="1:7" x14ac:dyDescent="0.3">
      <c r="A310">
        <v>1</v>
      </c>
      <c r="B310" s="1" t="s">
        <v>6</v>
      </c>
      <c r="D310">
        <v>2024</v>
      </c>
      <c r="E310" t="s">
        <v>176</v>
      </c>
      <c r="F310" t="s">
        <v>334</v>
      </c>
    </row>
    <row r="311" spans="1:7" x14ac:dyDescent="0.3">
      <c r="A311">
        <v>1</v>
      </c>
      <c r="B311" s="1" t="s">
        <v>16</v>
      </c>
      <c r="D311">
        <v>2024</v>
      </c>
      <c r="E311" t="s">
        <v>185</v>
      </c>
      <c r="F311" t="s">
        <v>344</v>
      </c>
    </row>
    <row r="312" spans="1:7" x14ac:dyDescent="0.3">
      <c r="A312">
        <v>1</v>
      </c>
      <c r="B312" s="1" t="s">
        <v>22</v>
      </c>
      <c r="D312">
        <v>2024</v>
      </c>
      <c r="E312" t="s">
        <v>191</v>
      </c>
      <c r="F312" t="s">
        <v>350</v>
      </c>
    </row>
    <row r="313" spans="1:7" x14ac:dyDescent="0.3">
      <c r="A313">
        <v>1</v>
      </c>
      <c r="B313" s="1" t="s">
        <v>72</v>
      </c>
      <c r="D313">
        <v>2024</v>
      </c>
      <c r="E313" t="s">
        <v>238</v>
      </c>
      <c r="F313" t="s">
        <v>400</v>
      </c>
    </row>
    <row r="314" spans="1:7" x14ac:dyDescent="0.3">
      <c r="A314">
        <v>1</v>
      </c>
      <c r="B314" s="1" t="s">
        <v>76</v>
      </c>
      <c r="D314">
        <v>2024</v>
      </c>
      <c r="E314" t="s">
        <v>242</v>
      </c>
      <c r="F314" t="s">
        <v>404</v>
      </c>
    </row>
    <row r="315" spans="1:7" x14ac:dyDescent="0.3">
      <c r="A315">
        <v>1</v>
      </c>
      <c r="B315" s="1" t="s">
        <v>82</v>
      </c>
      <c r="D315">
        <v>2024</v>
      </c>
      <c r="E315" t="s">
        <v>248</v>
      </c>
      <c r="F315" t="s">
        <v>410</v>
      </c>
    </row>
    <row r="316" spans="1:7" x14ac:dyDescent="0.3">
      <c r="A316">
        <v>1</v>
      </c>
      <c r="B316" s="1" t="s">
        <v>111</v>
      </c>
      <c r="D316">
        <v>2024</v>
      </c>
      <c r="E316" t="s">
        <v>275</v>
      </c>
      <c r="F316" t="s">
        <v>439</v>
      </c>
    </row>
    <row r="317" spans="1:7" x14ac:dyDescent="0.3">
      <c r="A317">
        <v>1</v>
      </c>
      <c r="B317" s="1" t="s">
        <v>1245</v>
      </c>
      <c r="D317">
        <v>2024</v>
      </c>
      <c r="E317" t="s">
        <v>1246</v>
      </c>
      <c r="F317" t="s">
        <v>1254</v>
      </c>
      <c r="G317">
        <f>IF(MATCH(B317,'scopus results'!B:B, 0), 1, 0)</f>
        <v>1</v>
      </c>
    </row>
    <row r="318" spans="1:7" x14ac:dyDescent="0.3">
      <c r="A318">
        <v>1</v>
      </c>
      <c r="B318" s="1" t="s">
        <v>1256</v>
      </c>
      <c r="D318">
        <v>2024</v>
      </c>
      <c r="E318" t="s">
        <v>1257</v>
      </c>
      <c r="F318" t="s">
        <v>1258</v>
      </c>
      <c r="G318">
        <f>IF(MATCH(B318,'scopus results'!B:B, 0), 1, 0)</f>
        <v>1</v>
      </c>
    </row>
    <row r="319" spans="1:7" x14ac:dyDescent="0.3">
      <c r="A319">
        <v>1</v>
      </c>
      <c r="B319" s="1" t="s">
        <v>1251</v>
      </c>
      <c r="D319">
        <v>2024</v>
      </c>
      <c r="E319" t="s">
        <v>1252</v>
      </c>
      <c r="F319" t="s">
        <v>1259</v>
      </c>
      <c r="G319">
        <f>IF(MATCH(B319,'scopus results'!B:B, 0), 1, 0)</f>
        <v>1</v>
      </c>
    </row>
    <row r="320" spans="1:7" x14ac:dyDescent="0.3">
      <c r="A320">
        <v>1</v>
      </c>
      <c r="B320" s="1" t="s">
        <v>564</v>
      </c>
      <c r="D320">
        <v>2024</v>
      </c>
      <c r="E320" t="s">
        <v>737</v>
      </c>
      <c r="F320" t="s">
        <v>1260</v>
      </c>
      <c r="G320">
        <f>IF(MATCH(B320,'scopus results'!B:B, 0), 1, 0)</f>
        <v>1</v>
      </c>
    </row>
    <row r="321" spans="1:7" x14ac:dyDescent="0.3">
      <c r="A321">
        <v>1</v>
      </c>
      <c r="B321" s="1" t="s">
        <v>1262</v>
      </c>
      <c r="D321">
        <v>2024</v>
      </c>
      <c r="E321" t="s">
        <v>1263</v>
      </c>
      <c r="F321" t="s">
        <v>1264</v>
      </c>
      <c r="G321">
        <f>IF(MATCH(B321,'scopus results'!B:B, 0), 1, 0)</f>
        <v>1</v>
      </c>
    </row>
    <row r="322" spans="1:7" x14ac:dyDescent="0.3">
      <c r="A322">
        <v>1</v>
      </c>
      <c r="B322" s="1" t="s">
        <v>1209</v>
      </c>
      <c r="D322">
        <v>2024</v>
      </c>
      <c r="E322" t="s">
        <v>1210</v>
      </c>
      <c r="F322" t="s">
        <v>1265</v>
      </c>
      <c r="G322">
        <f>IF(MATCH(B322,'scopus results'!B:B, 0), 1, 0)</f>
        <v>1</v>
      </c>
    </row>
    <row r="323" spans="1:7" x14ac:dyDescent="0.3">
      <c r="A323">
        <v>1</v>
      </c>
      <c r="B323" s="1" t="s">
        <v>1218</v>
      </c>
      <c r="D323">
        <v>2024</v>
      </c>
      <c r="E323" t="s">
        <v>1219</v>
      </c>
      <c r="F323" t="s">
        <v>1266</v>
      </c>
      <c r="G323">
        <f>IF(MATCH(B323,'scopus results'!B:B, 0), 1, 0)</f>
        <v>1</v>
      </c>
    </row>
    <row r="324" spans="1:7" x14ac:dyDescent="0.3">
      <c r="A324">
        <v>1</v>
      </c>
      <c r="B324" s="1" t="s">
        <v>563</v>
      </c>
      <c r="D324">
        <v>2024</v>
      </c>
      <c r="E324" t="s">
        <v>733</v>
      </c>
      <c r="F324" t="s">
        <v>1290</v>
      </c>
      <c r="G324">
        <f>IF(MATCH(B324,'scopus results'!B:B, 0), 1, 0)</f>
        <v>1</v>
      </c>
    </row>
    <row r="325" spans="1:7" x14ac:dyDescent="0.3">
      <c r="A325">
        <v>1</v>
      </c>
      <c r="B325" s="1" t="s">
        <v>1295</v>
      </c>
      <c r="D325">
        <v>2024</v>
      </c>
      <c r="E325" t="s">
        <v>1296</v>
      </c>
      <c r="F325" t="s">
        <v>1297</v>
      </c>
      <c r="G325">
        <f>IF(MATCH(B325,'scopus results'!B:B, 0), 1, 0)</f>
        <v>1</v>
      </c>
    </row>
    <row r="326" spans="1:7" x14ac:dyDescent="0.3">
      <c r="A326">
        <v>1</v>
      </c>
      <c r="B326" s="1" t="s">
        <v>1300</v>
      </c>
      <c r="D326">
        <v>2024</v>
      </c>
      <c r="E326" t="s">
        <v>1301</v>
      </c>
      <c r="F326" t="s">
        <v>1302</v>
      </c>
      <c r="G326">
        <f>IF(MATCH(B326,'scopus results'!B:B, 0), 1, 0)</f>
        <v>1</v>
      </c>
    </row>
    <row r="327" spans="1:7" x14ac:dyDescent="0.3">
      <c r="A327">
        <v>1</v>
      </c>
      <c r="B327" s="1" t="s">
        <v>566</v>
      </c>
      <c r="D327">
        <v>2024</v>
      </c>
      <c r="E327" t="s">
        <v>741</v>
      </c>
      <c r="F327" t="s">
        <v>1303</v>
      </c>
      <c r="G327">
        <f>IF(MATCH(B327,'scopus results'!B:B, 0), 1, 0)</f>
        <v>1</v>
      </c>
    </row>
    <row r="328" spans="1:7" x14ac:dyDescent="0.3">
      <c r="A328">
        <v>1</v>
      </c>
      <c r="B328" s="1" t="s">
        <v>1242</v>
      </c>
      <c r="D328">
        <v>2024</v>
      </c>
      <c r="E328" t="s">
        <v>1243</v>
      </c>
      <c r="F328" t="s">
        <v>1311</v>
      </c>
      <c r="G328">
        <f>IF(MATCH(B328,'scopus results'!B:B, 0), 1, 0)</f>
        <v>1</v>
      </c>
    </row>
    <row r="329" spans="1:7" x14ac:dyDescent="0.3">
      <c r="A329">
        <v>1</v>
      </c>
      <c r="B329" s="1" t="s">
        <v>1248</v>
      </c>
      <c r="D329">
        <v>2024</v>
      </c>
      <c r="E329" t="s">
        <v>1249</v>
      </c>
      <c r="F329" t="s">
        <v>1312</v>
      </c>
      <c r="G329">
        <f>IF(MATCH(B329,'scopus results'!B:B, 0), 1, 0)</f>
        <v>1</v>
      </c>
    </row>
    <row r="330" spans="1:7" x14ac:dyDescent="0.3">
      <c r="A330">
        <v>1</v>
      </c>
      <c r="B330" s="1" t="s">
        <v>1206</v>
      </c>
      <c r="D330">
        <v>2024</v>
      </c>
      <c r="E330" t="s">
        <v>1207</v>
      </c>
      <c r="F330" t="s">
        <v>1317</v>
      </c>
      <c r="G330">
        <f>IF(MATCH(B330,'scopus results'!B:B, 0), 1, 0)</f>
        <v>1</v>
      </c>
    </row>
    <row r="331" spans="1:7" x14ac:dyDescent="0.3">
      <c r="A331">
        <v>1</v>
      </c>
      <c r="B331" s="1" t="s">
        <v>1224</v>
      </c>
      <c r="D331">
        <v>2024</v>
      </c>
      <c r="E331" t="s">
        <v>1225</v>
      </c>
      <c r="F331" t="s">
        <v>1325</v>
      </c>
      <c r="G331">
        <f>IF(MATCH(B331,'scopus results'!B:B, 0), 1, 0)</f>
        <v>1</v>
      </c>
    </row>
    <row r="332" spans="1:7" x14ac:dyDescent="0.3">
      <c r="A332">
        <v>1</v>
      </c>
      <c r="B332" s="1" t="s">
        <v>1236</v>
      </c>
      <c r="D332">
        <v>2024</v>
      </c>
      <c r="E332" t="s">
        <v>1237</v>
      </c>
      <c r="F332" t="s">
        <v>1328</v>
      </c>
      <c r="G332">
        <f>IF(MATCH(B332,'scopus results'!B:B, 0), 1, 0)</f>
        <v>1</v>
      </c>
    </row>
    <row r="333" spans="1:7" x14ac:dyDescent="0.3">
      <c r="A333">
        <v>1</v>
      </c>
      <c r="B333" s="1" t="s">
        <v>1334</v>
      </c>
      <c r="D333">
        <v>2024</v>
      </c>
      <c r="E333" t="s">
        <v>1335</v>
      </c>
      <c r="F333" t="s">
        <v>1336</v>
      </c>
      <c r="G333">
        <f>IF(MATCH(B333,'scopus results'!B:B, 0), 1, 0)</f>
        <v>1</v>
      </c>
    </row>
    <row r="336" spans="1:7" x14ac:dyDescent="0.3">
      <c r="A336">
        <f>SUM(A2:A333)</f>
        <v>300</v>
      </c>
    </row>
  </sheetData>
  <sortState xmlns:xlrd2="http://schemas.microsoft.com/office/spreadsheetml/2017/richdata2" ref="A2:H333">
    <sortCondition ref="D2:D333"/>
  </sortState>
  <hyperlinks>
    <hyperlink ref="F52" r:id="rId1" xr:uid="{70556A70-9981-49D4-8C2A-697D9DA96029}"/>
    <hyperlink ref="F58" r:id="rId2" xr:uid="{26D6442F-CBC1-432A-BB46-4A1BD62C45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FFB-D134-431C-9904-2677EE2B5C76}">
  <dimension ref="A1:J315"/>
  <sheetViews>
    <sheetView tabSelected="1" workbookViewId="0">
      <selection activeCell="I274" sqref="I274"/>
    </sheetView>
  </sheetViews>
  <sheetFormatPr defaultRowHeight="14.4" x14ac:dyDescent="0.3"/>
  <cols>
    <col min="2" max="2" width="74.88671875" customWidth="1"/>
    <col min="6" max="6" width="12.33203125" bestFit="1" customWidth="1"/>
    <col min="258" max="258" width="74.88671875" customWidth="1"/>
    <col min="514" max="514" width="74.88671875" customWidth="1"/>
    <col min="770" max="770" width="74.88671875" customWidth="1"/>
    <col min="1026" max="1026" width="74.88671875" customWidth="1"/>
    <col min="1282" max="1282" width="74.88671875" customWidth="1"/>
    <col min="1538" max="1538" width="74.88671875" customWidth="1"/>
    <col min="1794" max="1794" width="74.88671875" customWidth="1"/>
    <col min="2050" max="2050" width="74.88671875" customWidth="1"/>
    <col min="2306" max="2306" width="74.88671875" customWidth="1"/>
    <col min="2562" max="2562" width="74.88671875" customWidth="1"/>
    <col min="2818" max="2818" width="74.88671875" customWidth="1"/>
    <col min="3074" max="3074" width="74.88671875" customWidth="1"/>
    <col min="3330" max="3330" width="74.88671875" customWidth="1"/>
    <col min="3586" max="3586" width="74.88671875" customWidth="1"/>
    <col min="3842" max="3842" width="74.88671875" customWidth="1"/>
    <col min="4098" max="4098" width="74.88671875" customWidth="1"/>
    <col min="4354" max="4354" width="74.88671875" customWidth="1"/>
    <col min="4610" max="4610" width="74.88671875" customWidth="1"/>
    <col min="4866" max="4866" width="74.88671875" customWidth="1"/>
    <col min="5122" max="5122" width="74.88671875" customWidth="1"/>
    <col min="5378" max="5378" width="74.88671875" customWidth="1"/>
    <col min="5634" max="5634" width="74.88671875" customWidth="1"/>
    <col min="5890" max="5890" width="74.88671875" customWidth="1"/>
    <col min="6146" max="6146" width="74.88671875" customWidth="1"/>
    <col min="6402" max="6402" width="74.88671875" customWidth="1"/>
    <col min="6658" max="6658" width="74.88671875" customWidth="1"/>
    <col min="6914" max="6914" width="74.88671875" customWidth="1"/>
    <col min="7170" max="7170" width="74.88671875" customWidth="1"/>
    <col min="7426" max="7426" width="74.88671875" customWidth="1"/>
    <col min="7682" max="7682" width="74.88671875" customWidth="1"/>
    <col min="7938" max="7938" width="74.88671875" customWidth="1"/>
    <col min="8194" max="8194" width="74.88671875" customWidth="1"/>
    <col min="8450" max="8450" width="74.88671875" customWidth="1"/>
    <col min="8706" max="8706" width="74.88671875" customWidth="1"/>
    <col min="8962" max="8962" width="74.88671875" customWidth="1"/>
    <col min="9218" max="9218" width="74.88671875" customWidth="1"/>
    <col min="9474" max="9474" width="74.88671875" customWidth="1"/>
    <col min="9730" max="9730" width="74.88671875" customWidth="1"/>
    <col min="9986" max="9986" width="74.88671875" customWidth="1"/>
    <col min="10242" max="10242" width="74.88671875" customWidth="1"/>
    <col min="10498" max="10498" width="74.88671875" customWidth="1"/>
    <col min="10754" max="10754" width="74.88671875" customWidth="1"/>
    <col min="11010" max="11010" width="74.88671875" customWidth="1"/>
    <col min="11266" max="11266" width="74.88671875" customWidth="1"/>
    <col min="11522" max="11522" width="74.88671875" customWidth="1"/>
    <col min="11778" max="11778" width="74.88671875" customWidth="1"/>
    <col min="12034" max="12034" width="74.88671875" customWidth="1"/>
    <col min="12290" max="12290" width="74.88671875" customWidth="1"/>
    <col min="12546" max="12546" width="74.88671875" customWidth="1"/>
    <col min="12802" max="12802" width="74.88671875" customWidth="1"/>
    <col min="13058" max="13058" width="74.88671875" customWidth="1"/>
    <col min="13314" max="13314" width="74.88671875" customWidth="1"/>
    <col min="13570" max="13570" width="74.88671875" customWidth="1"/>
    <col min="13826" max="13826" width="74.88671875" customWidth="1"/>
    <col min="14082" max="14082" width="74.88671875" customWidth="1"/>
    <col min="14338" max="14338" width="74.88671875" customWidth="1"/>
    <col min="14594" max="14594" width="74.88671875" customWidth="1"/>
    <col min="14850" max="14850" width="74.88671875" customWidth="1"/>
    <col min="15106" max="15106" width="74.88671875" customWidth="1"/>
    <col min="15362" max="15362" width="74.88671875" customWidth="1"/>
    <col min="15618" max="15618" width="74.88671875" customWidth="1"/>
    <col min="15874" max="15874" width="74.88671875" customWidth="1"/>
    <col min="16130" max="16130" width="74.88671875" customWidth="1"/>
  </cols>
  <sheetData>
    <row r="1" spans="1:10" x14ac:dyDescent="0.3">
      <c r="A1" t="s">
        <v>567</v>
      </c>
      <c r="B1" t="s">
        <v>568</v>
      </c>
      <c r="C1" t="s">
        <v>569</v>
      </c>
      <c r="D1" t="s">
        <v>171</v>
      </c>
      <c r="E1" t="s">
        <v>570</v>
      </c>
      <c r="F1" t="s">
        <v>1253</v>
      </c>
    </row>
    <row r="2" spans="1:10" x14ac:dyDescent="0.3">
      <c r="A2" t="s">
        <v>571</v>
      </c>
      <c r="B2" s="9" t="s">
        <v>500</v>
      </c>
      <c r="C2" s="11">
        <v>1999</v>
      </c>
      <c r="D2" s="11" t="s">
        <v>572</v>
      </c>
      <c r="E2" s="11" t="s">
        <v>572</v>
      </c>
      <c r="F2" s="11" t="e">
        <f>IF(MATCH(B2,'scopus results'!B:B, 0), 1, 0)</f>
        <v>#N/A</v>
      </c>
      <c r="G2" s="11"/>
      <c r="H2">
        <v>1</v>
      </c>
      <c r="I2" s="10" t="s">
        <v>1541</v>
      </c>
    </row>
    <row r="3" spans="1:10" x14ac:dyDescent="0.3">
      <c r="A3" t="s">
        <v>742</v>
      </c>
      <c r="B3" s="3" t="s">
        <v>743</v>
      </c>
      <c r="C3" s="3">
        <v>1999</v>
      </c>
      <c r="D3" s="3" t="s">
        <v>744</v>
      </c>
      <c r="E3" s="3" t="str">
        <f>HYPERLINK("http://dx.doi.org/10.1016/S0147-9571(98)00026-5","http://dx.doi.org/10.1016/S0147-9571(98)00026-5")</f>
        <v>http://dx.doi.org/10.1016/S0147-9571(98)00026-5</v>
      </c>
      <c r="F3" s="3">
        <f>IF(MATCH(B3,'scopus results'!B:B, 0), 1, 0)</f>
        <v>1</v>
      </c>
      <c r="G3" s="3">
        <v>1</v>
      </c>
      <c r="I3">
        <f>COUNT(G3:G315)</f>
        <v>196</v>
      </c>
    </row>
    <row r="4" spans="1:10" x14ac:dyDescent="0.3">
      <c r="A4" t="s">
        <v>573</v>
      </c>
      <c r="B4" s="3" t="s">
        <v>32</v>
      </c>
      <c r="C4" s="3">
        <v>2003</v>
      </c>
      <c r="D4" s="3" t="s">
        <v>574</v>
      </c>
      <c r="E4" s="3" t="str">
        <f>HYPERLINK("http://dx.doi.org/10.1065/lca.2002.11.101","http://dx.doi.org/10.1065/lca.2002.11.101")</f>
        <v>http://dx.doi.org/10.1065/lca.2002.11.101</v>
      </c>
      <c r="F4" s="3">
        <f>IF(MATCH(B4,'scopus results'!B:B, 0), 1, 0)</f>
        <v>1</v>
      </c>
      <c r="G4" s="3">
        <v>1</v>
      </c>
    </row>
    <row r="5" spans="1:10" x14ac:dyDescent="0.3">
      <c r="A5" t="s">
        <v>575</v>
      </c>
      <c r="B5" s="1" t="s">
        <v>501</v>
      </c>
      <c r="C5" s="1">
        <v>2004</v>
      </c>
      <c r="D5" s="1" t="s">
        <v>173</v>
      </c>
      <c r="E5" s="1" t="str">
        <f>HYPERLINK("http://dx.doi.org/10.1007/BF02978536","http://dx.doi.org/10.1007/BF02978536")</f>
        <v>http://dx.doi.org/10.1007/BF02978536</v>
      </c>
      <c r="F5" s="1" t="e">
        <f>IF(MATCH(B5,'scopus results'!B:B, 0), 1, 0)</f>
        <v>#N/A</v>
      </c>
      <c r="G5" s="1" t="e">
        <v>#N/A</v>
      </c>
    </row>
    <row r="6" spans="1:10" x14ac:dyDescent="0.3">
      <c r="A6" t="s">
        <v>576</v>
      </c>
      <c r="B6" s="1" t="s">
        <v>502</v>
      </c>
      <c r="C6" s="1">
        <v>2004</v>
      </c>
      <c r="D6" s="1" t="s">
        <v>172</v>
      </c>
      <c r="E6" s="1" t="str">
        <f>HYPERLINK("http://dx.doi.org/10.1007/BF02978571","http://dx.doi.org/10.1007/BF02978571")</f>
        <v>http://dx.doi.org/10.1007/BF02978571</v>
      </c>
      <c r="F6" s="1" t="e">
        <f>IF(MATCH(B6,'scopus results'!B:B, 0), 1, 0)</f>
        <v>#N/A</v>
      </c>
      <c r="G6" s="1" t="e">
        <v>#N/A</v>
      </c>
    </row>
    <row r="7" spans="1:10" x14ac:dyDescent="0.3">
      <c r="A7" t="s">
        <v>577</v>
      </c>
      <c r="B7" s="3" t="s">
        <v>503</v>
      </c>
      <c r="C7" s="3">
        <v>2004</v>
      </c>
      <c r="D7" s="3" t="s">
        <v>174</v>
      </c>
      <c r="E7" s="3" t="str">
        <f>HYPERLINK("http://dx.doi.org/10.1007/BF02994191","http://dx.doi.org/10.1007/BF02994191")</f>
        <v>http://dx.doi.org/10.1007/BF02994191</v>
      </c>
      <c r="F7" s="3">
        <f>IF(MATCH(B7,'scopus results'!B:B, 0), 1, 0)</f>
        <v>1</v>
      </c>
      <c r="G7" s="3">
        <v>1</v>
      </c>
    </row>
    <row r="8" spans="1:10" x14ac:dyDescent="0.3">
      <c r="A8" t="s">
        <v>578</v>
      </c>
      <c r="B8" s="1" t="s">
        <v>504</v>
      </c>
      <c r="C8" s="1">
        <v>2005</v>
      </c>
      <c r="D8" s="1" t="s">
        <v>182</v>
      </c>
      <c r="E8" s="1" t="str">
        <f>HYPERLINK("http://dx.doi.org/10.1065/lca2004.10.186.2","http://dx.doi.org/10.1065/lca2004.10.186.2")</f>
        <v>http://dx.doi.org/10.1065/lca2004.10.186.2</v>
      </c>
      <c r="F8" s="1" t="e">
        <f>IF(MATCH(B8,'scopus results'!B:B, 0), 1, 0)</f>
        <v>#N/A</v>
      </c>
      <c r="G8" s="1" t="e">
        <v>#N/A</v>
      </c>
    </row>
    <row r="9" spans="1:10" x14ac:dyDescent="0.3">
      <c r="A9" t="s">
        <v>579</v>
      </c>
      <c r="B9" s="3" t="s">
        <v>78</v>
      </c>
      <c r="C9" s="3">
        <v>2006</v>
      </c>
      <c r="D9" s="3" t="s">
        <v>244</v>
      </c>
      <c r="E9" s="3" t="str">
        <f>HYPERLINK("http://dx.doi.org/10.1065/lca2005.08.221","http://dx.doi.org/10.1065/lca2005.08.221")</f>
        <v>http://dx.doi.org/10.1065/lca2005.08.221</v>
      </c>
      <c r="F9" s="3">
        <f>IF(MATCH(B9,'scopus results'!B:B, 0), 1, 0)</f>
        <v>1</v>
      </c>
      <c r="G9" s="3">
        <v>1</v>
      </c>
    </row>
    <row r="10" spans="1:10" x14ac:dyDescent="0.3">
      <c r="A10" t="s">
        <v>745</v>
      </c>
      <c r="B10" s="3" t="s">
        <v>746</v>
      </c>
      <c r="C10" s="3">
        <v>2007</v>
      </c>
      <c r="D10" s="3" t="s">
        <v>747</v>
      </c>
      <c r="E10" s="3" t="str">
        <f>HYPERLINK("http://dx.doi.org/10.1007/s11284-006-0191-9","http://dx.doi.org/10.1007/s11284-006-0191-9")</f>
        <v>http://dx.doi.org/10.1007/s11284-006-0191-9</v>
      </c>
      <c r="F10" s="3">
        <f>IF(MATCH(B10,'scopus results'!B:B, 0), 1, 0)</f>
        <v>1</v>
      </c>
      <c r="G10" s="3">
        <v>1</v>
      </c>
    </row>
    <row r="11" spans="1:10" x14ac:dyDescent="0.3">
      <c r="A11" t="s">
        <v>580</v>
      </c>
      <c r="B11" s="3" t="s">
        <v>505</v>
      </c>
      <c r="C11" s="3">
        <v>2007</v>
      </c>
      <c r="D11" s="3" t="s">
        <v>572</v>
      </c>
      <c r="E11" s="3" t="s">
        <v>572</v>
      </c>
      <c r="F11" s="3">
        <f>IF(MATCH(B11,'scopus results'!B:B, 0), 1, 0)</f>
        <v>1</v>
      </c>
      <c r="G11" s="3">
        <v>1</v>
      </c>
    </row>
    <row r="12" spans="1:10" x14ac:dyDescent="0.3">
      <c r="A12" t="s">
        <v>748</v>
      </c>
      <c r="B12" s="3" t="s">
        <v>749</v>
      </c>
      <c r="C12" s="3">
        <v>2007</v>
      </c>
      <c r="D12" s="3" t="s">
        <v>750</v>
      </c>
      <c r="E12" s="3" t="str">
        <f>HYPERLINK("http://dx.doi.org/10.1016/j.biombioe.2007.05.003","http://dx.doi.org/10.1016/j.biombioe.2007.05.003")</f>
        <v>http://dx.doi.org/10.1016/j.biombioe.2007.05.003</v>
      </c>
      <c r="F12" s="3">
        <f>IF(MATCH(B12,'scopus results'!B:B, 0), 1, 0)</f>
        <v>1</v>
      </c>
      <c r="G12" s="3">
        <v>1</v>
      </c>
      <c r="J12">
        <f>SUM(H:H)</f>
        <v>8</v>
      </c>
    </row>
    <row r="13" spans="1:10" x14ac:dyDescent="0.3">
      <c r="A13" t="s">
        <v>581</v>
      </c>
      <c r="B13" s="1" t="s">
        <v>506</v>
      </c>
      <c r="C13" s="1">
        <v>2008</v>
      </c>
      <c r="D13" s="1" t="s">
        <v>582</v>
      </c>
      <c r="E13" s="1" t="str">
        <f>HYPERLINK("http://dx.doi.org/10.1007/s11367-008-0012-1","http://dx.doi.org/10.1007/s11367-008-0012-1")</f>
        <v>http://dx.doi.org/10.1007/s11367-008-0012-1</v>
      </c>
      <c r="F13" s="1" t="e">
        <f>IF(MATCH(B13,'scopus results'!B:B, 0), 1, 0)</f>
        <v>#N/A</v>
      </c>
      <c r="G13" s="1" t="e">
        <v>#N/A</v>
      </c>
    </row>
    <row r="14" spans="1:10" x14ac:dyDescent="0.3">
      <c r="A14" t="s">
        <v>583</v>
      </c>
      <c r="B14" s="9" t="s">
        <v>507</v>
      </c>
      <c r="C14" s="11">
        <v>2010</v>
      </c>
      <c r="D14" s="11" t="s">
        <v>572</v>
      </c>
      <c r="E14" s="11" t="s">
        <v>572</v>
      </c>
      <c r="F14" s="11" t="e">
        <f>IF(MATCH(B14,'scopus results'!B:B, 0), 1, 0)</f>
        <v>#N/A</v>
      </c>
      <c r="G14" s="11" t="e">
        <v>#N/A</v>
      </c>
      <c r="H14">
        <v>1</v>
      </c>
      <c r="I14" s="10" t="s">
        <v>1542</v>
      </c>
    </row>
    <row r="15" spans="1:10" x14ac:dyDescent="0.3">
      <c r="A15" t="s">
        <v>584</v>
      </c>
      <c r="B15" s="9" t="s">
        <v>508</v>
      </c>
      <c r="C15" s="11">
        <v>2010</v>
      </c>
      <c r="D15" s="11" t="s">
        <v>572</v>
      </c>
      <c r="E15" s="11" t="s">
        <v>572</v>
      </c>
      <c r="F15" s="11" t="e">
        <f>IF(MATCH(B15,'scopus results'!B:B, 0), 1, 0)</f>
        <v>#N/A</v>
      </c>
      <c r="G15" s="11" t="e">
        <v>#N/A</v>
      </c>
      <c r="H15">
        <v>1</v>
      </c>
      <c r="I15" s="10" t="s">
        <v>1541</v>
      </c>
    </row>
    <row r="16" spans="1:10" x14ac:dyDescent="0.3">
      <c r="A16" t="s">
        <v>751</v>
      </c>
      <c r="B16" s="9" t="s">
        <v>752</v>
      </c>
      <c r="C16" s="11">
        <v>2010</v>
      </c>
      <c r="D16" s="11" t="s">
        <v>572</v>
      </c>
      <c r="E16" s="11" t="s">
        <v>572</v>
      </c>
      <c r="F16" s="11" t="e">
        <f>IF(MATCH(B16,'scopus results'!B:B, 0), 1, 0)</f>
        <v>#N/A</v>
      </c>
      <c r="G16" s="11" t="e">
        <v>#N/A</v>
      </c>
      <c r="H16">
        <v>1</v>
      </c>
      <c r="I16" s="10" t="s">
        <v>1543</v>
      </c>
    </row>
    <row r="17" spans="1:8" x14ac:dyDescent="0.3">
      <c r="A17" t="s">
        <v>753</v>
      </c>
      <c r="B17" s="3" t="s">
        <v>754</v>
      </c>
      <c r="C17" s="3">
        <v>2010</v>
      </c>
      <c r="D17" s="3" t="s">
        <v>755</v>
      </c>
      <c r="E17" s="3" t="str">
        <f>HYPERLINK("http://dx.doi.org/10.1007/s11367-010-0161-x","http://dx.doi.org/10.1007/s11367-010-0161-x")</f>
        <v>http://dx.doi.org/10.1007/s11367-010-0161-x</v>
      </c>
      <c r="F17" s="3">
        <f>IF(MATCH(B17,'scopus results'!B:B, 0), 1, 0)</f>
        <v>1</v>
      </c>
      <c r="G17" s="3">
        <v>1</v>
      </c>
    </row>
    <row r="18" spans="1:8" x14ac:dyDescent="0.3">
      <c r="A18" t="s">
        <v>585</v>
      </c>
      <c r="B18" s="1" t="s">
        <v>509</v>
      </c>
      <c r="C18" s="1">
        <v>2010</v>
      </c>
      <c r="D18" s="1" t="s">
        <v>247</v>
      </c>
      <c r="E18" s="1" t="str">
        <f>HYPERLINK("http://dx.doi.org/10.1016/j.jclepro.2010.05.003","http://dx.doi.org/10.1016/j.jclepro.2010.05.003")</f>
        <v>http://dx.doi.org/10.1016/j.jclepro.2010.05.003</v>
      </c>
      <c r="F18" s="1" t="e">
        <f>IF(MATCH(B18,'scopus results'!B:B, 0), 1, 0)</f>
        <v>#N/A</v>
      </c>
      <c r="G18" s="1" t="e">
        <v>#N/A</v>
      </c>
    </row>
    <row r="19" spans="1:8" x14ac:dyDescent="0.3">
      <c r="A19" t="s">
        <v>586</v>
      </c>
      <c r="B19" s="3" t="s">
        <v>510</v>
      </c>
      <c r="C19" s="3">
        <v>2011</v>
      </c>
      <c r="D19" s="3" t="s">
        <v>572</v>
      </c>
      <c r="E19" s="3" t="s">
        <v>572</v>
      </c>
      <c r="F19" s="3">
        <f>IF(MATCH(B19,'scopus results'!B:B, 0), 1, 0)</f>
        <v>1</v>
      </c>
      <c r="G19" s="3">
        <v>1</v>
      </c>
    </row>
    <row r="20" spans="1:8" x14ac:dyDescent="0.3">
      <c r="A20" t="s">
        <v>756</v>
      </c>
      <c r="B20" s="1" t="s">
        <v>757</v>
      </c>
      <c r="C20" s="1">
        <v>2011</v>
      </c>
      <c r="D20" s="1" t="s">
        <v>758</v>
      </c>
      <c r="E20" s="1" t="str">
        <f>HYPERLINK("http://dx.doi.org/10.1016/j.vetpar.2010.11.013","http://dx.doi.org/10.1016/j.vetpar.2010.11.013")</f>
        <v>http://dx.doi.org/10.1016/j.vetpar.2010.11.013</v>
      </c>
      <c r="F20" s="1" t="e">
        <f>IF(MATCH(B20,'scopus results'!B:B, 0), 1, 0)</f>
        <v>#N/A</v>
      </c>
      <c r="G20" s="1" t="e">
        <v>#N/A</v>
      </c>
    </row>
    <row r="21" spans="1:8" x14ac:dyDescent="0.3">
      <c r="A21" t="s">
        <v>759</v>
      </c>
      <c r="B21" s="3" t="s">
        <v>760</v>
      </c>
      <c r="C21" s="3">
        <v>2011</v>
      </c>
      <c r="D21" s="3" t="s">
        <v>761</v>
      </c>
      <c r="E21" s="3" t="str">
        <f>HYPERLINK("http://dx.doi.org/10.1007/s11367-011-0279-5","http://dx.doi.org/10.1007/s11367-011-0279-5")</f>
        <v>http://dx.doi.org/10.1007/s11367-011-0279-5</v>
      </c>
      <c r="F21" s="3">
        <f>IF(MATCH(B21,'scopus results'!B:B, 0), 1, 0)</f>
        <v>1</v>
      </c>
      <c r="G21" s="3">
        <v>1</v>
      </c>
    </row>
    <row r="22" spans="1:8" x14ac:dyDescent="0.3">
      <c r="A22" t="s">
        <v>587</v>
      </c>
      <c r="B22" s="3" t="s">
        <v>159</v>
      </c>
      <c r="C22" s="3">
        <v>2011</v>
      </c>
      <c r="D22" s="3" t="s">
        <v>572</v>
      </c>
      <c r="E22" s="3" t="s">
        <v>572</v>
      </c>
      <c r="F22" s="3">
        <f>IF(MATCH(B22,'scopus results'!B:B, 0), 1, 0)</f>
        <v>1</v>
      </c>
      <c r="G22" s="3">
        <v>1</v>
      </c>
    </row>
    <row r="23" spans="1:8" x14ac:dyDescent="0.3">
      <c r="A23" t="s">
        <v>588</v>
      </c>
      <c r="B23" s="3" t="s">
        <v>162</v>
      </c>
      <c r="C23" s="3">
        <v>2011</v>
      </c>
      <c r="D23" s="3" t="s">
        <v>322</v>
      </c>
      <c r="E23" s="3" t="str">
        <f>HYPERLINK("http://dx.doi.org/10.1016/j.applthermaleng.2011.07.042","http://dx.doi.org/10.1016/j.applthermaleng.2011.07.042")</f>
        <v>http://dx.doi.org/10.1016/j.applthermaleng.2011.07.042</v>
      </c>
      <c r="F23" s="3">
        <f>IF(MATCH(B23,'scopus results'!B:B, 0), 1, 0)</f>
        <v>1</v>
      </c>
      <c r="G23" s="3">
        <v>1</v>
      </c>
    </row>
    <row r="24" spans="1:8" x14ac:dyDescent="0.3">
      <c r="A24" t="s">
        <v>589</v>
      </c>
      <c r="B24" s="1" t="s">
        <v>511</v>
      </c>
      <c r="C24" s="1">
        <v>2012</v>
      </c>
      <c r="D24" s="1" t="s">
        <v>590</v>
      </c>
      <c r="E24" s="1" t="str">
        <f>HYPERLINK("http://dx.doi.org/10.1007/s00436-011-2511-4","http://dx.doi.org/10.1007/s00436-011-2511-4")</f>
        <v>http://dx.doi.org/10.1007/s00436-011-2511-4</v>
      </c>
      <c r="F24" s="1" t="e">
        <f>IF(MATCH(B24,'scopus results'!B:B, 0), 1, 0)</f>
        <v>#N/A</v>
      </c>
      <c r="G24" s="1" t="e">
        <v>#N/A</v>
      </c>
    </row>
    <row r="25" spans="1:8" x14ac:dyDescent="0.3">
      <c r="A25" t="s">
        <v>591</v>
      </c>
      <c r="B25" s="1" t="s">
        <v>512</v>
      </c>
      <c r="C25" s="1">
        <v>2012</v>
      </c>
      <c r="D25" s="1" t="s">
        <v>572</v>
      </c>
      <c r="E25" s="1" t="s">
        <v>572</v>
      </c>
      <c r="F25" s="1" t="e">
        <f>IF(MATCH(B25,'scopus results'!B:B, 0), 1, 0)</f>
        <v>#N/A</v>
      </c>
      <c r="G25" s="1" t="e">
        <v>#N/A</v>
      </c>
      <c r="H25">
        <v>0</v>
      </c>
    </row>
    <row r="26" spans="1:8" x14ac:dyDescent="0.3">
      <c r="A26" t="s">
        <v>592</v>
      </c>
      <c r="B26" s="3" t="s">
        <v>83</v>
      </c>
      <c r="C26" s="3">
        <v>2013</v>
      </c>
      <c r="D26" s="3" t="s">
        <v>249</v>
      </c>
      <c r="E26" s="3" t="str">
        <f>HYPERLINK("http://dx.doi.org/10.1071/AN12208","http://dx.doi.org/10.1071/AN12208")</f>
        <v>http://dx.doi.org/10.1071/AN12208</v>
      </c>
      <c r="F26" s="3">
        <f>IF(MATCH(B26,'scopus results'!B:B, 0), 1, 0)</f>
        <v>1</v>
      </c>
      <c r="G26" s="3">
        <v>1</v>
      </c>
    </row>
    <row r="27" spans="1:8" x14ac:dyDescent="0.3">
      <c r="A27" t="s">
        <v>762</v>
      </c>
      <c r="B27" s="3" t="s">
        <v>763</v>
      </c>
      <c r="C27" s="3">
        <v>2013</v>
      </c>
      <c r="D27" s="3" t="s">
        <v>764</v>
      </c>
      <c r="E27" s="3" t="str">
        <f>HYPERLINK("http://dx.doi.org/10.1016/j.jclepro.2012.09.032","http://dx.doi.org/10.1016/j.jclepro.2012.09.032")</f>
        <v>http://dx.doi.org/10.1016/j.jclepro.2012.09.032</v>
      </c>
      <c r="F27" s="3">
        <f>IF(MATCH(B27,'scopus results'!B:B, 0), 1, 0)</f>
        <v>1</v>
      </c>
      <c r="G27" s="3">
        <v>1</v>
      </c>
    </row>
    <row r="28" spans="1:8" x14ac:dyDescent="0.3">
      <c r="A28" t="s">
        <v>765</v>
      </c>
      <c r="B28" s="3" t="s">
        <v>766</v>
      </c>
      <c r="C28" s="3">
        <v>2013</v>
      </c>
      <c r="D28" s="3" t="s">
        <v>767</v>
      </c>
      <c r="E28" s="3" t="str">
        <f>HYPERLINK("http://dx.doi.org/10.1016/j.agsy.2012.11.002","http://dx.doi.org/10.1016/j.agsy.2012.11.002")</f>
        <v>http://dx.doi.org/10.1016/j.agsy.2012.11.002</v>
      </c>
      <c r="F28" s="3">
        <f>IF(MATCH(B28,'scopus results'!B:B, 0), 1, 0)</f>
        <v>1</v>
      </c>
      <c r="G28" s="3">
        <v>1</v>
      </c>
    </row>
    <row r="29" spans="1:8" x14ac:dyDescent="0.3">
      <c r="A29" t="s">
        <v>593</v>
      </c>
      <c r="B29" s="1" t="s">
        <v>513</v>
      </c>
      <c r="C29" s="1">
        <v>2013</v>
      </c>
      <c r="D29" s="1" t="s">
        <v>192</v>
      </c>
      <c r="E29" s="1" t="str">
        <f>HYPERLINK("http://dx.doi.org/10.1111/jiec.12046","http://dx.doi.org/10.1111/jiec.12046")</f>
        <v>http://dx.doi.org/10.1111/jiec.12046</v>
      </c>
      <c r="F29" s="1" t="e">
        <f>IF(MATCH(B29,'scopus results'!B:B, 0), 1, 0)</f>
        <v>#N/A</v>
      </c>
      <c r="G29" s="1" t="e">
        <v>#N/A</v>
      </c>
    </row>
    <row r="30" spans="1:8" x14ac:dyDescent="0.3">
      <c r="A30" t="s">
        <v>594</v>
      </c>
      <c r="B30" s="3" t="s">
        <v>514</v>
      </c>
      <c r="C30" s="3">
        <v>2014</v>
      </c>
      <c r="D30" s="3" t="s">
        <v>272</v>
      </c>
      <c r="E30" s="3" t="str">
        <f>HYPERLINK("http://dx.doi.org/10.4028/www.scientific.net/KEM.599.315","http://dx.doi.org/10.4028/www.scientific.net/KEM.599.315")</f>
        <v>http://dx.doi.org/10.4028/www.scientific.net/KEM.599.315</v>
      </c>
      <c r="F30" s="3">
        <f>IF(MATCH(B30,'scopus results'!B:B, 0), 1, 0)</f>
        <v>1</v>
      </c>
      <c r="G30" s="3">
        <v>1</v>
      </c>
    </row>
    <row r="31" spans="1:8" x14ac:dyDescent="0.3">
      <c r="A31" t="s">
        <v>595</v>
      </c>
      <c r="B31" s="1" t="s">
        <v>515</v>
      </c>
      <c r="C31" s="1">
        <v>2014</v>
      </c>
      <c r="D31" s="1" t="s">
        <v>199</v>
      </c>
      <c r="E31" s="1" t="str">
        <f>HYPERLINK("http://dx.doi.org/10.6036/5800","http://dx.doi.org/10.6036/5800")</f>
        <v>http://dx.doi.org/10.6036/5800</v>
      </c>
      <c r="F31" s="1" t="e">
        <f>IF(MATCH(B31,'scopus results'!B:B, 0), 1, 0)</f>
        <v>#N/A</v>
      </c>
      <c r="G31" s="1" t="e">
        <v>#N/A</v>
      </c>
    </row>
    <row r="32" spans="1:8" x14ac:dyDescent="0.3">
      <c r="A32" t="s">
        <v>768</v>
      </c>
      <c r="B32" s="3" t="s">
        <v>769</v>
      </c>
      <c r="C32" s="3">
        <v>2014</v>
      </c>
      <c r="D32" s="3" t="s">
        <v>770</v>
      </c>
      <c r="E32" s="3" t="str">
        <f>HYPERLINK("http://dx.doi.org/10.1016/j.jclepro.2013.12.025","http://dx.doi.org/10.1016/j.jclepro.2013.12.025")</f>
        <v>http://dx.doi.org/10.1016/j.jclepro.2013.12.025</v>
      </c>
      <c r="F32" s="3">
        <f>IF(MATCH(B32,'scopus results'!B:B, 0), 1, 0)</f>
        <v>1</v>
      </c>
      <c r="G32" s="3">
        <v>1</v>
      </c>
    </row>
    <row r="33" spans="1:9" x14ac:dyDescent="0.3">
      <c r="A33" t="s">
        <v>596</v>
      </c>
      <c r="B33" s="3" t="s">
        <v>136</v>
      </c>
      <c r="C33" s="3">
        <v>2014</v>
      </c>
      <c r="D33" s="3" t="s">
        <v>299</v>
      </c>
      <c r="E33" s="3" t="str">
        <f>HYPERLINK("http://dx.doi.org/10.1016/j.scitotenv.2014.06.022","http://dx.doi.org/10.1016/j.scitotenv.2014.06.022")</f>
        <v>http://dx.doi.org/10.1016/j.scitotenv.2014.06.022</v>
      </c>
      <c r="F33" s="3">
        <f>IF(MATCH(B33,'scopus results'!B:B, 0), 1, 0)</f>
        <v>1</v>
      </c>
      <c r="G33" s="3">
        <v>1</v>
      </c>
    </row>
    <row r="34" spans="1:9" x14ac:dyDescent="0.3">
      <c r="A34" t="s">
        <v>597</v>
      </c>
      <c r="B34" s="1" t="s">
        <v>516</v>
      </c>
      <c r="C34" s="1">
        <v>2014</v>
      </c>
      <c r="D34" s="1" t="s">
        <v>598</v>
      </c>
      <c r="E34" s="1" t="str">
        <f>HYPERLINK("http://dx.doi.org/10.1016/j.enbuild.2014.06.003","http://dx.doi.org/10.1016/j.enbuild.2014.06.003")</f>
        <v>http://dx.doi.org/10.1016/j.enbuild.2014.06.003</v>
      </c>
      <c r="F34" s="1" t="e">
        <f>IF(MATCH(B34,'scopus results'!B:B, 0), 1, 0)</f>
        <v>#N/A</v>
      </c>
      <c r="G34" s="1" t="e">
        <v>#N/A</v>
      </c>
    </row>
    <row r="35" spans="1:9" x14ac:dyDescent="0.3">
      <c r="A35" t="s">
        <v>599</v>
      </c>
      <c r="B35" s="3" t="s">
        <v>92</v>
      </c>
      <c r="C35" s="3">
        <v>2014</v>
      </c>
      <c r="D35" s="3" t="s">
        <v>257</v>
      </c>
      <c r="E35" s="3" t="str">
        <f>HYPERLINK("http://dx.doi.org/10.1016/j.buildenv.2014.07.001","http://dx.doi.org/10.1016/j.buildenv.2014.07.001")</f>
        <v>http://dx.doi.org/10.1016/j.buildenv.2014.07.001</v>
      </c>
      <c r="F35" s="3">
        <f>IF(MATCH(B35,'scopus results'!B:B, 0), 1, 0)</f>
        <v>1</v>
      </c>
      <c r="G35" s="3">
        <v>1</v>
      </c>
    </row>
    <row r="36" spans="1:9" x14ac:dyDescent="0.3">
      <c r="A36" t="s">
        <v>600</v>
      </c>
      <c r="B36" s="11" t="s">
        <v>517</v>
      </c>
      <c r="C36" s="11">
        <v>2015</v>
      </c>
      <c r="D36" s="11" t="s">
        <v>572</v>
      </c>
      <c r="E36" s="11" t="s">
        <v>572</v>
      </c>
      <c r="F36" s="11" t="e">
        <f>IF(MATCH(B36,'scopus results'!B:B, 0), 1, 0)</f>
        <v>#N/A</v>
      </c>
      <c r="G36" s="11" t="e">
        <v>#N/A</v>
      </c>
      <c r="H36">
        <v>1</v>
      </c>
      <c r="I36" s="10" t="s">
        <v>1541</v>
      </c>
    </row>
    <row r="37" spans="1:9" x14ac:dyDescent="0.3">
      <c r="A37" t="s">
        <v>771</v>
      </c>
      <c r="B37" s="3" t="s">
        <v>772</v>
      </c>
      <c r="C37" s="3">
        <v>2015</v>
      </c>
      <c r="D37" s="3" t="s">
        <v>773</v>
      </c>
      <c r="E37" s="3" t="str">
        <f>HYPERLINK("http://dx.doi.org/10.1071/AN14222","http://dx.doi.org/10.1071/AN14222")</f>
        <v>http://dx.doi.org/10.1071/AN14222</v>
      </c>
      <c r="F37" s="3">
        <f>IF(MATCH(B37,'scopus results'!B:B, 0), 1, 0)</f>
        <v>1</v>
      </c>
      <c r="G37" s="3">
        <v>1</v>
      </c>
    </row>
    <row r="38" spans="1:9" x14ac:dyDescent="0.3">
      <c r="A38" t="s">
        <v>601</v>
      </c>
      <c r="B38" s="3" t="s">
        <v>518</v>
      </c>
      <c r="C38" s="3">
        <v>2015</v>
      </c>
      <c r="D38" s="3" t="s">
        <v>325</v>
      </c>
      <c r="E38" s="3" t="str">
        <f>HYPERLINK("http://dx.doi.org/10.1016/j.proeng.2015.08.240","http://dx.doi.org/10.1016/j.proeng.2015.08.240")</f>
        <v>http://dx.doi.org/10.1016/j.proeng.2015.08.240</v>
      </c>
      <c r="F38" s="3">
        <f>IF(MATCH(B38,'scopus results'!B:B, 0), 1, 0)</f>
        <v>1</v>
      </c>
      <c r="G38" s="3">
        <v>1</v>
      </c>
    </row>
    <row r="39" spans="1:9" x14ac:dyDescent="0.3">
      <c r="A39" t="s">
        <v>602</v>
      </c>
      <c r="B39" s="3" t="s">
        <v>519</v>
      </c>
      <c r="C39" s="3">
        <v>2015</v>
      </c>
      <c r="D39" s="3" t="s">
        <v>603</v>
      </c>
      <c r="E39" s="3" t="str">
        <f>HYPERLINK("http://dx.doi.org/10.21273/JASHS.140.1.102","http://dx.doi.org/10.21273/JASHS.140.1.102")</f>
        <v>http://dx.doi.org/10.21273/JASHS.140.1.102</v>
      </c>
      <c r="F39" s="3">
        <f>IF(MATCH(B39,'scopus results'!B:B, 0), 1, 0)</f>
        <v>1</v>
      </c>
      <c r="G39" s="3">
        <v>1</v>
      </c>
    </row>
    <row r="40" spans="1:9" x14ac:dyDescent="0.3">
      <c r="A40" t="s">
        <v>774</v>
      </c>
      <c r="B40" s="1" t="s">
        <v>775</v>
      </c>
      <c r="C40" s="1">
        <v>2015</v>
      </c>
      <c r="D40" s="1" t="s">
        <v>776</v>
      </c>
      <c r="E40" s="1" t="str">
        <f>HYPERLINK("http://dx.doi.org/10.1016/j.scitotenv.2014.09.020","http://dx.doi.org/10.1016/j.scitotenv.2014.09.020")</f>
        <v>http://dx.doi.org/10.1016/j.scitotenv.2014.09.020</v>
      </c>
      <c r="F40" s="1">
        <f>IF(MATCH(B40,'scopus results'!B:B, 0), 1, 0)</f>
        <v>1</v>
      </c>
      <c r="G40" s="1">
        <v>1</v>
      </c>
    </row>
    <row r="41" spans="1:9" x14ac:dyDescent="0.3">
      <c r="A41" t="s">
        <v>604</v>
      </c>
      <c r="B41" s="3" t="s">
        <v>18</v>
      </c>
      <c r="C41" s="3">
        <v>2015</v>
      </c>
      <c r="D41" s="3" t="s">
        <v>187</v>
      </c>
      <c r="E41" s="3" t="str">
        <f>HYPERLINK("http://dx.doi.org/10.1007/s11367-015-0849-z","http://dx.doi.org/10.1007/s11367-015-0849-z")</f>
        <v>http://dx.doi.org/10.1007/s11367-015-0849-z</v>
      </c>
      <c r="F41" s="3">
        <f>IF(MATCH(B41,'scopus results'!B:B, 0), 1, 0)</f>
        <v>1</v>
      </c>
      <c r="G41" s="3">
        <v>1</v>
      </c>
    </row>
    <row r="42" spans="1:9" x14ac:dyDescent="0.3">
      <c r="A42" t="s">
        <v>605</v>
      </c>
      <c r="B42" s="3" t="s">
        <v>128</v>
      </c>
      <c r="C42" s="3">
        <v>2015</v>
      </c>
      <c r="D42" s="3" t="s">
        <v>291</v>
      </c>
      <c r="E42" s="3" t="str">
        <f>HYPERLINK("http://dx.doi.org/10.1007/s11367-015-0885-8","http://dx.doi.org/10.1007/s11367-015-0885-8")</f>
        <v>http://dx.doi.org/10.1007/s11367-015-0885-8</v>
      </c>
      <c r="F42" s="3">
        <f>IF(MATCH(B42,'scopus results'!B:B, 0), 1, 0)</f>
        <v>1</v>
      </c>
      <c r="G42" s="3">
        <v>1</v>
      </c>
    </row>
    <row r="43" spans="1:9" x14ac:dyDescent="0.3">
      <c r="A43" t="s">
        <v>606</v>
      </c>
      <c r="B43" s="3" t="s">
        <v>102</v>
      </c>
      <c r="C43" s="3">
        <v>2015</v>
      </c>
      <c r="D43" s="3" t="s">
        <v>267</v>
      </c>
      <c r="E43" s="3" t="str">
        <f>HYPERLINK("http://dx.doi.org/10.1016/j.matdes.2015.06.129","http://dx.doi.org/10.1016/j.matdes.2015.06.129")</f>
        <v>http://dx.doi.org/10.1016/j.matdes.2015.06.129</v>
      </c>
      <c r="F43" s="3">
        <f>IF(MATCH(B43,'scopus results'!B:B, 0), 1, 0)</f>
        <v>1</v>
      </c>
      <c r="G43" s="3">
        <v>1</v>
      </c>
    </row>
    <row r="44" spans="1:9" x14ac:dyDescent="0.3">
      <c r="A44" t="s">
        <v>607</v>
      </c>
      <c r="B44" s="1" t="s">
        <v>520</v>
      </c>
      <c r="C44" s="1">
        <v>2015</v>
      </c>
      <c r="D44" s="1" t="s">
        <v>608</v>
      </c>
      <c r="E44" s="1" t="str">
        <f>HYPERLINK("http://dx.doi.org/10.1016/j.buildenv.2015.05.029","http://dx.doi.org/10.1016/j.buildenv.2015.05.029")</f>
        <v>http://dx.doi.org/10.1016/j.buildenv.2015.05.029</v>
      </c>
      <c r="F44" s="1" t="e">
        <f>IF(MATCH(B44,'scopus results'!B:B, 0), 1, 0)</f>
        <v>#N/A</v>
      </c>
      <c r="G44" s="1" t="e">
        <v>#N/A</v>
      </c>
    </row>
    <row r="45" spans="1:9" x14ac:dyDescent="0.3">
      <c r="A45" t="s">
        <v>777</v>
      </c>
      <c r="B45" s="1" t="s">
        <v>778</v>
      </c>
      <c r="C45" s="1">
        <v>2015</v>
      </c>
      <c r="D45" s="1" t="s">
        <v>779</v>
      </c>
      <c r="E45" s="1" t="str">
        <f>HYPERLINK("http://dx.doi.org/10.1016/j.foodres.2015.11.015","http://dx.doi.org/10.1016/j.foodres.2015.11.015")</f>
        <v>http://dx.doi.org/10.1016/j.foodres.2015.11.015</v>
      </c>
      <c r="F45" s="1" t="e">
        <f>IF(MATCH(B45,'scopus results'!B:B, 0), 1, 0)</f>
        <v>#N/A</v>
      </c>
      <c r="G45" s="1" t="e">
        <v>#N/A</v>
      </c>
    </row>
    <row r="46" spans="1:9" x14ac:dyDescent="0.3">
      <c r="A46" t="s">
        <v>609</v>
      </c>
      <c r="B46" s="3" t="s">
        <v>521</v>
      </c>
      <c r="C46" s="3">
        <v>2016</v>
      </c>
      <c r="D46" s="3" t="s">
        <v>313</v>
      </c>
      <c r="E46" s="3" t="str">
        <f>HYPERLINK("http://dx.doi.org/10.1016/j.egypro.2016.11.123","http://dx.doi.org/10.1016/j.egypro.2016.11.123")</f>
        <v>http://dx.doi.org/10.1016/j.egypro.2016.11.123</v>
      </c>
      <c r="F46" s="3">
        <f>IF(MATCH(B46,'scopus results'!B:B, 0), 1, 0)</f>
        <v>1</v>
      </c>
      <c r="G46" s="3">
        <v>1</v>
      </c>
    </row>
    <row r="47" spans="1:9" x14ac:dyDescent="0.3">
      <c r="A47" t="s">
        <v>610</v>
      </c>
      <c r="B47" s="3" t="s">
        <v>522</v>
      </c>
      <c r="C47" s="3">
        <v>2016</v>
      </c>
      <c r="D47" s="3" t="s">
        <v>220</v>
      </c>
      <c r="E47" s="3" t="str">
        <f>HYPERLINK("http://dx.doi.org/10.1016/j.egypro.2016.09.154","http://dx.doi.org/10.1016/j.egypro.2016.09.154")</f>
        <v>http://dx.doi.org/10.1016/j.egypro.2016.09.154</v>
      </c>
      <c r="F47" s="3">
        <f>IF(MATCH(B47,'scopus results'!B:B, 0), 1, 0)</f>
        <v>1</v>
      </c>
      <c r="G47" s="3">
        <v>1</v>
      </c>
    </row>
    <row r="48" spans="1:9" x14ac:dyDescent="0.3">
      <c r="A48" t="s">
        <v>611</v>
      </c>
      <c r="B48" s="3" t="s">
        <v>67</v>
      </c>
      <c r="C48" s="3">
        <v>2016</v>
      </c>
      <c r="D48" s="3" t="s">
        <v>234</v>
      </c>
      <c r="E48" s="3" t="str">
        <f>HYPERLINK("http://dx.doi.org/10.17660/ActaHortic.2016.1112.63","http://dx.doi.org/10.17660/ActaHortic.2016.1112.63")</f>
        <v>http://dx.doi.org/10.17660/ActaHortic.2016.1112.63</v>
      </c>
      <c r="F48" s="3">
        <f>IF(MATCH(B48,'scopus results'!B:B, 0), 1, 0)</f>
        <v>1</v>
      </c>
      <c r="G48" s="3">
        <v>1</v>
      </c>
    </row>
    <row r="49" spans="1:8" x14ac:dyDescent="0.3">
      <c r="A49" t="s">
        <v>612</v>
      </c>
      <c r="B49" s="3" t="s">
        <v>523</v>
      </c>
      <c r="C49" s="3">
        <v>2016</v>
      </c>
      <c r="D49" s="3" t="s">
        <v>327</v>
      </c>
      <c r="E49" s="3" t="str">
        <f>HYPERLINK("http://dx.doi.org/10.1007/978-94-017-7515-1_31","http://dx.doi.org/10.1007/978-94-017-7515-1_31")</f>
        <v>http://dx.doi.org/10.1007/978-94-017-7515-1_31</v>
      </c>
      <c r="F49" s="3">
        <f>IF(MATCH(B49,'scopus results'!B:B, 0), 1, 0)</f>
        <v>1</v>
      </c>
      <c r="G49" s="3">
        <v>1</v>
      </c>
    </row>
    <row r="50" spans="1:8" x14ac:dyDescent="0.3">
      <c r="A50" t="s">
        <v>613</v>
      </c>
      <c r="B50" s="3" t="s">
        <v>524</v>
      </c>
      <c r="C50" s="3">
        <v>2016</v>
      </c>
      <c r="D50" s="3" t="s">
        <v>303</v>
      </c>
      <c r="E50" s="3" t="str">
        <f>HYPERLINK("http://dx.doi.org/10.1071/AN14647","http://dx.doi.org/10.1071/AN14647")</f>
        <v>http://dx.doi.org/10.1071/AN14647</v>
      </c>
      <c r="F50" s="3">
        <f>IF(MATCH(B50,'scopus results'!B:B, 0), 1, 0)</f>
        <v>1</v>
      </c>
      <c r="G50" s="3">
        <v>1</v>
      </c>
    </row>
    <row r="51" spans="1:8" x14ac:dyDescent="0.3">
      <c r="A51" t="s">
        <v>780</v>
      </c>
      <c r="B51" s="1" t="s">
        <v>781</v>
      </c>
      <c r="C51" s="1">
        <v>2016</v>
      </c>
      <c r="D51" s="1" t="s">
        <v>782</v>
      </c>
      <c r="E51" s="1" t="str">
        <f>HYPERLINK("http://dx.doi.org/10.1071/AN15620","http://dx.doi.org/10.1071/AN15620")</f>
        <v>http://dx.doi.org/10.1071/AN15620</v>
      </c>
      <c r="F51" s="1" t="e">
        <f>IF(MATCH(B51,'scopus results'!B:B, 0), 1, 0)</f>
        <v>#N/A</v>
      </c>
      <c r="G51" s="1" t="e">
        <v>#N/A</v>
      </c>
      <c r="H51">
        <v>0</v>
      </c>
    </row>
    <row r="52" spans="1:8" x14ac:dyDescent="0.3">
      <c r="A52" t="s">
        <v>614</v>
      </c>
      <c r="B52" s="1" t="s">
        <v>525</v>
      </c>
      <c r="C52" s="1">
        <v>2016</v>
      </c>
      <c r="D52" s="1" t="s">
        <v>572</v>
      </c>
      <c r="E52" s="1" t="s">
        <v>572</v>
      </c>
      <c r="F52" s="1" t="e">
        <f>IF(MATCH(B52,'scopus results'!B:B, 0), 1, 0)</f>
        <v>#N/A</v>
      </c>
      <c r="G52" s="1" t="e">
        <v>#N/A</v>
      </c>
    </row>
    <row r="53" spans="1:8" x14ac:dyDescent="0.3">
      <c r="A53" t="s">
        <v>615</v>
      </c>
      <c r="B53" s="3" t="s">
        <v>117</v>
      </c>
      <c r="C53" s="3">
        <v>2016</v>
      </c>
      <c r="D53" s="3" t="s">
        <v>281</v>
      </c>
      <c r="E53" s="3" t="str">
        <f>HYPERLINK("http://dx.doi.org/10.1016/j.jclepro.2015.08.113","http://dx.doi.org/10.1016/j.jclepro.2015.08.113")</f>
        <v>http://dx.doi.org/10.1016/j.jclepro.2015.08.113</v>
      </c>
      <c r="F53" s="3">
        <f>IF(MATCH(B53,'scopus results'!B:B, 0), 1, 0)</f>
        <v>1</v>
      </c>
      <c r="G53" s="3">
        <v>1</v>
      </c>
    </row>
    <row r="54" spans="1:8" x14ac:dyDescent="0.3">
      <c r="A54" t="s">
        <v>616</v>
      </c>
      <c r="B54" s="3" t="s">
        <v>35</v>
      </c>
      <c r="C54" s="3">
        <v>2016</v>
      </c>
      <c r="D54" s="3" t="s">
        <v>202</v>
      </c>
      <c r="E54" s="3" t="str">
        <f>HYPERLINK("http://dx.doi.org/10.1016/j.jclepro.2015.10.022","http://dx.doi.org/10.1016/j.jclepro.2015.10.022")</f>
        <v>http://dx.doi.org/10.1016/j.jclepro.2015.10.022</v>
      </c>
      <c r="F54" s="3">
        <f>IF(MATCH(B54,'scopus results'!B:B, 0), 1, 0)</f>
        <v>1</v>
      </c>
      <c r="G54" s="3">
        <v>1</v>
      </c>
    </row>
    <row r="55" spans="1:8" x14ac:dyDescent="0.3">
      <c r="A55" t="s">
        <v>617</v>
      </c>
      <c r="B55" s="1" t="s">
        <v>526</v>
      </c>
      <c r="C55" s="1">
        <v>2016</v>
      </c>
      <c r="D55" s="1" t="s">
        <v>226</v>
      </c>
      <c r="E55" s="1" t="str">
        <f>HYPERLINK("http://dx.doi.org/10.1016/j.jclepro.2015.11.090","http://dx.doi.org/10.1016/j.jclepro.2015.11.090")</f>
        <v>http://dx.doi.org/10.1016/j.jclepro.2015.11.090</v>
      </c>
      <c r="F55" s="1" t="e">
        <f>IF(MATCH(B55,'scopus results'!B:B, 0), 1, 0)</f>
        <v>#N/A</v>
      </c>
      <c r="G55" s="1" t="e">
        <v>#N/A</v>
      </c>
    </row>
    <row r="56" spans="1:8" x14ac:dyDescent="0.3">
      <c r="A56" t="s">
        <v>618</v>
      </c>
      <c r="B56" s="3" t="s">
        <v>141</v>
      </c>
      <c r="C56" s="3">
        <v>2016</v>
      </c>
      <c r="D56" s="3" t="s">
        <v>304</v>
      </c>
      <c r="E56" s="3" t="str">
        <f>HYPERLINK("http://dx.doi.org/10.1016/j.jclepro.2016.02.025","http://dx.doi.org/10.1016/j.jclepro.2016.02.025")</f>
        <v>http://dx.doi.org/10.1016/j.jclepro.2016.02.025</v>
      </c>
      <c r="F56" s="3">
        <f>IF(MATCH(B56,'scopus results'!B:B, 0), 1, 0)</f>
        <v>1</v>
      </c>
      <c r="G56" s="3">
        <v>1</v>
      </c>
    </row>
    <row r="57" spans="1:8" x14ac:dyDescent="0.3">
      <c r="A57" t="s">
        <v>619</v>
      </c>
      <c r="B57" s="3" t="s">
        <v>14</v>
      </c>
      <c r="C57" s="3">
        <v>2016</v>
      </c>
      <c r="D57" s="3" t="s">
        <v>183</v>
      </c>
      <c r="E57" s="3" t="str">
        <f>HYPERLINK("http://dx.doi.org/10.1007/s11367-016-1054-4","http://dx.doi.org/10.1007/s11367-016-1054-4")</f>
        <v>http://dx.doi.org/10.1007/s11367-016-1054-4</v>
      </c>
      <c r="F57" s="3">
        <f>IF(MATCH(B57,'scopus results'!B:B, 0), 1, 0)</f>
        <v>1</v>
      </c>
      <c r="G57" s="3">
        <v>1</v>
      </c>
    </row>
    <row r="58" spans="1:8" x14ac:dyDescent="0.3">
      <c r="A58" t="s">
        <v>620</v>
      </c>
      <c r="B58" s="3" t="s">
        <v>5</v>
      </c>
      <c r="C58" s="3">
        <v>2016</v>
      </c>
      <c r="D58" s="3" t="s">
        <v>175</v>
      </c>
      <c r="E58" s="3" t="str">
        <f>HYPERLINK("http://dx.doi.org/10.1016/j.jclepro.2016.02.112","http://dx.doi.org/10.1016/j.jclepro.2016.02.112")</f>
        <v>http://dx.doi.org/10.1016/j.jclepro.2016.02.112</v>
      </c>
      <c r="F58" s="3">
        <f>IF(MATCH(B58,'scopus results'!B:B, 0), 1, 0)</f>
        <v>1</v>
      </c>
      <c r="G58" s="3">
        <v>1</v>
      </c>
    </row>
    <row r="59" spans="1:8" x14ac:dyDescent="0.3">
      <c r="A59" t="s">
        <v>783</v>
      </c>
      <c r="B59" s="1" t="s">
        <v>784</v>
      </c>
      <c r="C59" s="1">
        <v>2016</v>
      </c>
      <c r="D59" s="1" t="s">
        <v>785</v>
      </c>
      <c r="E59" s="1" t="str">
        <f>HYPERLINK("http://dx.doi.org/10.3168/jds.2015-10293","http://dx.doi.org/10.3168/jds.2015-10293")</f>
        <v>http://dx.doi.org/10.3168/jds.2015-10293</v>
      </c>
      <c r="F59" s="1" t="e">
        <f>IF(MATCH(B59,'scopus results'!B:B, 0), 1, 0)</f>
        <v>#N/A</v>
      </c>
      <c r="G59" s="1" t="e">
        <v>#N/A</v>
      </c>
    </row>
    <row r="60" spans="1:8" x14ac:dyDescent="0.3">
      <c r="A60" t="s">
        <v>621</v>
      </c>
      <c r="B60" s="3" t="s">
        <v>527</v>
      </c>
      <c r="C60" s="3">
        <v>2016</v>
      </c>
      <c r="D60" s="3" t="s">
        <v>572</v>
      </c>
      <c r="E60" s="3" t="s">
        <v>572</v>
      </c>
      <c r="F60" s="3">
        <f>IF(MATCH(B60,'scopus results'!B:B, 0), 1, 0)</f>
        <v>1</v>
      </c>
      <c r="G60" s="3">
        <v>1</v>
      </c>
    </row>
    <row r="61" spans="1:8" x14ac:dyDescent="0.3">
      <c r="A61" t="s">
        <v>786</v>
      </c>
      <c r="B61" s="3" t="s">
        <v>787</v>
      </c>
      <c r="C61" s="3">
        <v>2016</v>
      </c>
      <c r="D61" s="3" t="s">
        <v>788</v>
      </c>
      <c r="E61" s="3" t="str">
        <f>HYPERLINK("http://dx.doi.org/10.1016/j.agsy.2016.07.004","http://dx.doi.org/10.1016/j.agsy.2016.07.004")</f>
        <v>http://dx.doi.org/10.1016/j.agsy.2016.07.004</v>
      </c>
      <c r="F61" s="3">
        <f>IF(MATCH(B61,'scopus results'!B:B, 0), 1, 0)</f>
        <v>1</v>
      </c>
      <c r="G61" s="3">
        <v>1</v>
      </c>
    </row>
    <row r="62" spans="1:8" x14ac:dyDescent="0.3">
      <c r="A62" t="s">
        <v>622</v>
      </c>
      <c r="B62" s="1" t="s">
        <v>528</v>
      </c>
      <c r="C62" s="1">
        <v>2017</v>
      </c>
      <c r="D62" s="1" t="s">
        <v>623</v>
      </c>
      <c r="E62" s="1" t="str">
        <f>HYPERLINK("http://dx.doi.org/10.3233/978-1-61499-820-4-202","http://dx.doi.org/10.3233/978-1-61499-820-4-202")</f>
        <v>http://dx.doi.org/10.3233/978-1-61499-820-4-202</v>
      </c>
      <c r="F62" s="1" t="e">
        <f>IF(MATCH(B62,'scopus results'!B:B, 0), 1, 0)</f>
        <v>#N/A</v>
      </c>
      <c r="G62" s="1" t="e">
        <v>#N/A</v>
      </c>
    </row>
    <row r="63" spans="1:8" x14ac:dyDescent="0.3">
      <c r="A63" t="s">
        <v>789</v>
      </c>
      <c r="B63" s="1" t="s">
        <v>790</v>
      </c>
      <c r="C63" s="1">
        <v>2017</v>
      </c>
      <c r="D63" s="1" t="s">
        <v>791</v>
      </c>
      <c r="E63" s="1" t="str">
        <f>HYPERLINK("http://dx.doi.org/10.1016/j.ygcen.2016.10.016","http://dx.doi.org/10.1016/j.ygcen.2016.10.016")</f>
        <v>http://dx.doi.org/10.1016/j.ygcen.2016.10.016</v>
      </c>
      <c r="F63" s="1" t="e">
        <f>IF(MATCH(B63,'scopus results'!B:B, 0), 1, 0)</f>
        <v>#N/A</v>
      </c>
      <c r="G63" s="1" t="e">
        <v>#N/A</v>
      </c>
    </row>
    <row r="64" spans="1:8" x14ac:dyDescent="0.3">
      <c r="A64" t="s">
        <v>624</v>
      </c>
      <c r="B64" s="1" t="s">
        <v>529</v>
      </c>
      <c r="C64" s="1">
        <v>2017</v>
      </c>
      <c r="D64" s="1" t="s">
        <v>625</v>
      </c>
      <c r="E64" s="1" t="str">
        <f>HYPERLINK("http://dx.doi.org/10.1016/j.jclepro.2016.09.183","http://dx.doi.org/10.1016/j.jclepro.2016.09.183")</f>
        <v>http://dx.doi.org/10.1016/j.jclepro.2016.09.183</v>
      </c>
      <c r="F64" s="1" t="e">
        <f>IF(MATCH(B64,'scopus results'!B:B, 0), 1, 0)</f>
        <v>#N/A</v>
      </c>
      <c r="G64" s="1" t="e">
        <v>#N/A</v>
      </c>
    </row>
    <row r="65" spans="1:9" x14ac:dyDescent="0.3">
      <c r="A65" t="s">
        <v>626</v>
      </c>
      <c r="B65" s="3" t="s">
        <v>119</v>
      </c>
      <c r="C65" s="3">
        <v>2017</v>
      </c>
      <c r="D65" s="3" t="s">
        <v>283</v>
      </c>
      <c r="E65" s="3" t="str">
        <f>HYPERLINK("http://dx.doi.org/10.1016/j.jclepro.2016.10.145","http://dx.doi.org/10.1016/j.jclepro.2016.10.145")</f>
        <v>http://dx.doi.org/10.1016/j.jclepro.2016.10.145</v>
      </c>
      <c r="F65" s="3">
        <f>IF(MATCH(B65,'scopus results'!B:B, 0), 1, 0)</f>
        <v>1</v>
      </c>
      <c r="G65" s="3">
        <v>1</v>
      </c>
    </row>
    <row r="66" spans="1:9" x14ac:dyDescent="0.3">
      <c r="A66" t="s">
        <v>792</v>
      </c>
      <c r="B66" s="1" t="s">
        <v>793</v>
      </c>
      <c r="C66" s="1">
        <v>2017</v>
      </c>
      <c r="D66" s="1" t="s">
        <v>794</v>
      </c>
      <c r="E66" s="1" t="str">
        <f>HYPERLINK("http://dx.doi.org/10.1016/j.toxicon.2016.12.011","http://dx.doi.org/10.1016/j.toxicon.2016.12.011")</f>
        <v>http://dx.doi.org/10.1016/j.toxicon.2016.12.011</v>
      </c>
      <c r="F66" s="1" t="e">
        <f>IF(MATCH(B66,'scopus results'!B:B, 0), 1, 0)</f>
        <v>#N/A</v>
      </c>
      <c r="G66" s="1" t="e">
        <v>#N/A</v>
      </c>
    </row>
    <row r="67" spans="1:9" x14ac:dyDescent="0.3">
      <c r="A67" t="s">
        <v>627</v>
      </c>
      <c r="B67" s="3" t="s">
        <v>530</v>
      </c>
      <c r="C67" s="3">
        <v>2017</v>
      </c>
      <c r="D67" s="3" t="s">
        <v>265</v>
      </c>
      <c r="E67" s="3" t="str">
        <f>HYPERLINK("http://dx.doi.org/10.7764/RDLC.16.1.22","http://dx.doi.org/10.7764/RDLC.16.1.22")</f>
        <v>http://dx.doi.org/10.7764/RDLC.16.1.22</v>
      </c>
      <c r="F67" s="3">
        <f>IF(MATCH(B67,'scopus results'!B:B, 0), 1, 0)</f>
        <v>1</v>
      </c>
      <c r="G67" s="3">
        <v>1</v>
      </c>
    </row>
    <row r="68" spans="1:9" x14ac:dyDescent="0.3">
      <c r="A68" t="s">
        <v>628</v>
      </c>
      <c r="B68" s="3" t="s">
        <v>29</v>
      </c>
      <c r="C68" s="3">
        <v>2017</v>
      </c>
      <c r="D68" s="3" t="s">
        <v>197</v>
      </c>
      <c r="E68" s="3" t="str">
        <f>HYPERLINK("http://dx.doi.org/10.1007/s12649-016-9660-8","http://dx.doi.org/10.1007/s12649-016-9660-8")</f>
        <v>http://dx.doi.org/10.1007/s12649-016-9660-8</v>
      </c>
      <c r="F68" s="3">
        <f>IF(MATCH(B68,'scopus results'!B:B, 0), 1, 0)</f>
        <v>1</v>
      </c>
      <c r="G68" s="3">
        <v>1</v>
      </c>
    </row>
    <row r="69" spans="1:9" x14ac:dyDescent="0.3">
      <c r="A69" t="s">
        <v>629</v>
      </c>
      <c r="B69" s="3" t="s">
        <v>139</v>
      </c>
      <c r="C69" s="3">
        <v>2017</v>
      </c>
      <c r="D69" s="3" t="s">
        <v>302</v>
      </c>
      <c r="E69" s="3" t="str">
        <f>HYPERLINK("http://dx.doi.org/10.1016/j.jclepro.2017.04.101","http://dx.doi.org/10.1016/j.jclepro.2017.04.101")</f>
        <v>http://dx.doi.org/10.1016/j.jclepro.2017.04.101</v>
      </c>
      <c r="F69" s="3">
        <f>IF(MATCH(B69,'scopus results'!B:B, 0), 1, 0)</f>
        <v>1</v>
      </c>
      <c r="G69" s="3">
        <v>1</v>
      </c>
    </row>
    <row r="70" spans="1:9" x14ac:dyDescent="0.3">
      <c r="A70" t="s">
        <v>630</v>
      </c>
      <c r="B70" s="3" t="s">
        <v>56</v>
      </c>
      <c r="C70" s="3">
        <v>2017</v>
      </c>
      <c r="D70" s="3" t="s">
        <v>223</v>
      </c>
      <c r="E70" s="3" t="str">
        <f>HYPERLINK("http://dx.doi.org/10.1016/j.enbuild.2017.06.005","http://dx.doi.org/10.1016/j.enbuild.2017.06.005")</f>
        <v>http://dx.doi.org/10.1016/j.enbuild.2017.06.005</v>
      </c>
      <c r="F70" s="3">
        <f>IF(MATCH(B70,'scopus results'!B:B, 0), 1, 0)</f>
        <v>1</v>
      </c>
      <c r="G70" s="3">
        <v>1</v>
      </c>
    </row>
    <row r="71" spans="1:9" x14ac:dyDescent="0.3">
      <c r="A71" t="s">
        <v>631</v>
      </c>
      <c r="B71" s="3" t="s">
        <v>58</v>
      </c>
      <c r="C71" s="3">
        <v>2017</v>
      </c>
      <c r="D71" s="3" t="s">
        <v>225</v>
      </c>
      <c r="E71" s="3" t="str">
        <f>HYPERLINK("http://dx.doi.org/10.1016/j.jclepro.2017.06.102","http://dx.doi.org/10.1016/j.jclepro.2017.06.102")</f>
        <v>http://dx.doi.org/10.1016/j.jclepro.2017.06.102</v>
      </c>
      <c r="F71" s="3">
        <f>IF(MATCH(B71,'scopus results'!B:B, 0), 1, 0)</f>
        <v>1</v>
      </c>
      <c r="G71" s="3">
        <v>1</v>
      </c>
    </row>
    <row r="72" spans="1:9" x14ac:dyDescent="0.3">
      <c r="A72" t="s">
        <v>632</v>
      </c>
      <c r="B72" s="3" t="s">
        <v>115</v>
      </c>
      <c r="C72" s="3">
        <v>2017</v>
      </c>
      <c r="D72" s="3" t="s">
        <v>279</v>
      </c>
      <c r="E72" s="3" t="str">
        <f>HYPERLINK("http://dx.doi.org/10.1016/j.jclepro.2017.06.058","http://dx.doi.org/10.1016/j.jclepro.2017.06.058")</f>
        <v>http://dx.doi.org/10.1016/j.jclepro.2017.06.058</v>
      </c>
      <c r="F72" s="3">
        <f>IF(MATCH(B72,'scopus results'!B:B, 0), 1, 0)</f>
        <v>1</v>
      </c>
      <c r="G72" s="3">
        <v>1</v>
      </c>
    </row>
    <row r="73" spans="1:9" x14ac:dyDescent="0.3">
      <c r="A73" t="s">
        <v>633</v>
      </c>
      <c r="B73" s="3" t="s">
        <v>49</v>
      </c>
      <c r="C73" s="3">
        <v>2017</v>
      </c>
      <c r="D73" s="3" t="s">
        <v>216</v>
      </c>
      <c r="E73" s="3" t="str">
        <f>HYPERLINK("http://dx.doi.org/10.1007/s12053-016-9501-4","http://dx.doi.org/10.1007/s12053-016-9501-4")</f>
        <v>http://dx.doi.org/10.1007/s12053-016-9501-4</v>
      </c>
      <c r="F73" s="3">
        <f>IF(MATCH(B73,'scopus results'!B:B, 0), 1, 0)</f>
        <v>1</v>
      </c>
      <c r="G73" s="3">
        <v>1</v>
      </c>
    </row>
    <row r="74" spans="1:9" x14ac:dyDescent="0.3">
      <c r="A74" t="s">
        <v>634</v>
      </c>
      <c r="B74" s="3" t="s">
        <v>531</v>
      </c>
      <c r="C74" s="3">
        <v>2017</v>
      </c>
      <c r="D74" s="3" t="s">
        <v>308</v>
      </c>
      <c r="E74" s="3" t="str">
        <f>HYPERLINK("http://dx.doi.org/10.3390/su9112092","http://dx.doi.org/10.3390/su9112092")</f>
        <v>http://dx.doi.org/10.3390/su9112092</v>
      </c>
      <c r="F74" s="3">
        <f>IF(MATCH(B74,'scopus results'!B:B, 0), 1, 0)</f>
        <v>1</v>
      </c>
      <c r="G74" s="3">
        <v>1</v>
      </c>
    </row>
    <row r="75" spans="1:9" x14ac:dyDescent="0.3">
      <c r="A75" t="s">
        <v>795</v>
      </c>
      <c r="B75" s="3" t="s">
        <v>796</v>
      </c>
      <c r="C75" s="3">
        <v>2017</v>
      </c>
      <c r="D75" s="3" t="s">
        <v>797</v>
      </c>
      <c r="E75" s="3" t="str">
        <f>HYPERLINK("http://dx.doi.org/10.1016/j.jclepro.2017.07.115","http://dx.doi.org/10.1016/j.jclepro.2017.07.115")</f>
        <v>http://dx.doi.org/10.1016/j.jclepro.2017.07.115</v>
      </c>
      <c r="F75" s="3">
        <f>IF(MATCH(B75,'scopus results'!B:B, 0), 1, 0)</f>
        <v>1</v>
      </c>
      <c r="G75" s="3">
        <v>1</v>
      </c>
    </row>
    <row r="76" spans="1:9" x14ac:dyDescent="0.3">
      <c r="A76" t="s">
        <v>798</v>
      </c>
      <c r="B76" s="1" t="s">
        <v>799</v>
      </c>
      <c r="C76" s="1">
        <v>2017</v>
      </c>
      <c r="D76" s="1" t="s">
        <v>800</v>
      </c>
      <c r="E76" s="1" t="str">
        <f>HYPERLINK("http://dx.doi.org/10.1016/j.jclepro.2017.09.064","http://dx.doi.org/10.1016/j.jclepro.2017.09.064")</f>
        <v>http://dx.doi.org/10.1016/j.jclepro.2017.09.064</v>
      </c>
      <c r="F76" s="1" t="e">
        <f>IF(MATCH(B76,'scopus results'!B:B, 0), 1, 0)</f>
        <v>#N/A</v>
      </c>
      <c r="G76" s="1" t="e">
        <v>#N/A</v>
      </c>
    </row>
    <row r="77" spans="1:9" x14ac:dyDescent="0.3">
      <c r="A77" t="s">
        <v>635</v>
      </c>
      <c r="B77" s="11" t="s">
        <v>532</v>
      </c>
      <c r="C77" s="11">
        <v>2018</v>
      </c>
      <c r="D77" s="11" t="s">
        <v>636</v>
      </c>
      <c r="E77" s="12" t="str">
        <f>HYPERLINK("http://dx.doi.org/10.1007/978-3-319-64641-1_20","http://dx.doi.org/10.1007/978-3-319-64641-1_20")</f>
        <v>http://dx.doi.org/10.1007/978-3-319-64641-1_20</v>
      </c>
      <c r="F77" s="11" t="e">
        <f>IF(MATCH(B77,'scopus results'!B:B, 0), 1, 0)</f>
        <v>#N/A</v>
      </c>
      <c r="G77" s="11" t="e">
        <v>#N/A</v>
      </c>
      <c r="H77">
        <v>1</v>
      </c>
      <c r="I77" s="10" t="s">
        <v>1541</v>
      </c>
    </row>
    <row r="78" spans="1:9" x14ac:dyDescent="0.3">
      <c r="A78" t="s">
        <v>637</v>
      </c>
      <c r="B78" s="3" t="s">
        <v>121</v>
      </c>
      <c r="C78" s="3">
        <v>2018</v>
      </c>
      <c r="D78" s="3" t="s">
        <v>285</v>
      </c>
      <c r="E78" s="3" t="str">
        <f>HYPERLINK("http://dx.doi.org/10.1088/1757-899X/365/3/032012","http://dx.doi.org/10.1088/1757-899X/365/3/032012")</f>
        <v>http://dx.doi.org/10.1088/1757-899X/365/3/032012</v>
      </c>
      <c r="F78" s="3">
        <f>IF(MATCH(B78,'scopus results'!B:B, 0), 1, 0)</f>
        <v>1</v>
      </c>
      <c r="G78" s="3">
        <v>1</v>
      </c>
    </row>
    <row r="79" spans="1:9" x14ac:dyDescent="0.3">
      <c r="A79" t="s">
        <v>801</v>
      </c>
      <c r="B79" s="1" t="s">
        <v>802</v>
      </c>
      <c r="C79" s="1">
        <v>2018</v>
      </c>
      <c r="D79" s="1" t="s">
        <v>572</v>
      </c>
      <c r="E79" s="1" t="s">
        <v>572</v>
      </c>
      <c r="F79" s="1" t="e">
        <f>IF(MATCH(B79,'scopus results'!B:B, 0), 1, 0)</f>
        <v>#N/A</v>
      </c>
      <c r="G79" s="1" t="e">
        <v>#N/A</v>
      </c>
    </row>
    <row r="80" spans="1:9" x14ac:dyDescent="0.3">
      <c r="A80" t="s">
        <v>803</v>
      </c>
      <c r="B80" s="3" t="s">
        <v>804</v>
      </c>
      <c r="C80" s="3">
        <v>2018</v>
      </c>
      <c r="D80" s="3" t="s">
        <v>805</v>
      </c>
      <c r="E80" s="3" t="str">
        <f>HYPERLINK("http://dx.doi.org/10.1016/j.smallrumres.2017.12.002","http://dx.doi.org/10.1016/j.smallrumres.2017.12.002")</f>
        <v>http://dx.doi.org/10.1016/j.smallrumres.2017.12.002</v>
      </c>
      <c r="F80" s="3">
        <f>IF(MATCH(B80,'scopus results'!B:B, 0), 1, 0)</f>
        <v>1</v>
      </c>
      <c r="G80" s="3">
        <v>1</v>
      </c>
    </row>
    <row r="81" spans="1:7" x14ac:dyDescent="0.3">
      <c r="A81" t="s">
        <v>638</v>
      </c>
      <c r="B81" s="3" t="s">
        <v>42</v>
      </c>
      <c r="C81" s="3">
        <v>2018</v>
      </c>
      <c r="D81" s="3" t="s">
        <v>209</v>
      </c>
      <c r="E81" s="3" t="str">
        <f>HYPERLINK("http://dx.doi.org/10.1016/j.jenvman.2018.01.027","http://dx.doi.org/10.1016/j.jenvman.2018.01.027")</f>
        <v>http://dx.doi.org/10.1016/j.jenvman.2018.01.027</v>
      </c>
      <c r="F81" s="3">
        <f>IF(MATCH(B81,'scopus results'!B:B, 0), 1, 0)</f>
        <v>1</v>
      </c>
      <c r="G81" s="3">
        <v>1</v>
      </c>
    </row>
    <row r="82" spans="1:7" x14ac:dyDescent="0.3">
      <c r="A82" t="s">
        <v>639</v>
      </c>
      <c r="B82" s="1" t="s">
        <v>533</v>
      </c>
      <c r="C82" s="1">
        <v>2018</v>
      </c>
      <c r="D82" s="1" t="s">
        <v>640</v>
      </c>
      <c r="E82" s="1" t="str">
        <f>HYPERLINK("http://dx.doi.org/10.3390/su10072524","http://dx.doi.org/10.3390/su10072524")</f>
        <v>http://dx.doi.org/10.3390/su10072524</v>
      </c>
      <c r="F82" s="1" t="e">
        <f>IF(MATCH(B82,'scopus results'!B:B, 0), 1, 0)</f>
        <v>#N/A</v>
      </c>
      <c r="G82" s="1" t="e">
        <v>#N/A</v>
      </c>
    </row>
    <row r="83" spans="1:7" x14ac:dyDescent="0.3">
      <c r="A83" t="s">
        <v>806</v>
      </c>
      <c r="B83" s="3" t="s">
        <v>807</v>
      </c>
      <c r="C83" s="3">
        <v>2018</v>
      </c>
      <c r="D83" s="3" t="s">
        <v>808</v>
      </c>
      <c r="E83" s="3" t="str">
        <f>HYPERLINK("http://dx.doi.org/10.1002/fes3.143","http://dx.doi.org/10.1002/fes3.143")</f>
        <v>http://dx.doi.org/10.1002/fes3.143</v>
      </c>
      <c r="F83" s="3">
        <f>IF(MATCH(B83,'scopus results'!B:B, 0), 1, 0)</f>
        <v>1</v>
      </c>
      <c r="G83" s="3">
        <v>1</v>
      </c>
    </row>
    <row r="84" spans="1:7" x14ac:dyDescent="0.3">
      <c r="A84" t="s">
        <v>641</v>
      </c>
      <c r="B84" s="3" t="s">
        <v>9</v>
      </c>
      <c r="C84" s="3">
        <v>2018</v>
      </c>
      <c r="D84" s="3" t="s">
        <v>179</v>
      </c>
      <c r="E84" s="3" t="str">
        <f>HYPERLINK("http://dx.doi.org/10.1007/s11367-018-1485-1","http://dx.doi.org/10.1007/s11367-018-1485-1")</f>
        <v>http://dx.doi.org/10.1007/s11367-018-1485-1</v>
      </c>
      <c r="F84" s="3">
        <f>IF(MATCH(B84,'scopus results'!B:B, 0), 1, 0)</f>
        <v>1</v>
      </c>
      <c r="G84" s="3">
        <v>1</v>
      </c>
    </row>
    <row r="85" spans="1:7" x14ac:dyDescent="0.3">
      <c r="A85" t="s">
        <v>638</v>
      </c>
      <c r="B85" s="3" t="s">
        <v>24</v>
      </c>
      <c r="C85" s="3">
        <v>2018</v>
      </c>
      <c r="D85" s="3" t="s">
        <v>193</v>
      </c>
      <c r="E85" s="3" t="str">
        <f>HYPERLINK("http://dx.doi.org/10.1016/j.jclepro.2018.05.032","http://dx.doi.org/10.1016/j.jclepro.2018.05.032")</f>
        <v>http://dx.doi.org/10.1016/j.jclepro.2018.05.032</v>
      </c>
      <c r="F85" s="3">
        <f>IF(MATCH(B85,'scopus results'!B:B, 0), 1, 0)</f>
        <v>1</v>
      </c>
      <c r="G85" s="3">
        <v>1</v>
      </c>
    </row>
    <row r="86" spans="1:7" x14ac:dyDescent="0.3">
      <c r="A86" t="s">
        <v>809</v>
      </c>
      <c r="B86" s="3" t="s">
        <v>810</v>
      </c>
      <c r="C86" s="3">
        <v>2018</v>
      </c>
      <c r="D86" s="3" t="s">
        <v>811</v>
      </c>
      <c r="E86" s="3" t="str">
        <f>HYPERLINK("http://dx.doi.org/10.1016/j.scitotenv.2018.04.315","http://dx.doi.org/10.1016/j.scitotenv.2018.04.315")</f>
        <v>http://dx.doi.org/10.1016/j.scitotenv.2018.04.315</v>
      </c>
      <c r="F86" s="3">
        <f>IF(MATCH(B86,'scopus results'!B:B, 0), 1, 0)</f>
        <v>1</v>
      </c>
      <c r="G86" s="3">
        <v>1</v>
      </c>
    </row>
    <row r="87" spans="1:7" x14ac:dyDescent="0.3">
      <c r="A87" t="s">
        <v>812</v>
      </c>
      <c r="B87" s="1" t="s">
        <v>813</v>
      </c>
      <c r="C87" s="1">
        <v>2018</v>
      </c>
      <c r="D87" s="1" t="s">
        <v>814</v>
      </c>
      <c r="E87" s="1" t="str">
        <f>HYPERLINK("http://dx.doi.org/10.3390/polym10101107","http://dx.doi.org/10.3390/polym10101107")</f>
        <v>http://dx.doi.org/10.3390/polym10101107</v>
      </c>
      <c r="F87" s="1" t="e">
        <f>IF(MATCH(B87,'scopus results'!B:B, 0), 1, 0)</f>
        <v>#N/A</v>
      </c>
      <c r="G87" s="1" t="e">
        <v>#N/A</v>
      </c>
    </row>
    <row r="88" spans="1:7" x14ac:dyDescent="0.3">
      <c r="A88" t="s">
        <v>815</v>
      </c>
      <c r="B88" s="3" t="s">
        <v>816</v>
      </c>
      <c r="C88" s="3">
        <v>2019</v>
      </c>
      <c r="D88" s="3" t="s">
        <v>817</v>
      </c>
      <c r="E88" s="3" t="str">
        <f>HYPERLINK("http://dx.doi.org/10.1007/978-3-030-16943-5_41","http://dx.doi.org/10.1007/978-3-030-16943-5_41")</f>
        <v>http://dx.doi.org/10.1007/978-3-030-16943-5_41</v>
      </c>
      <c r="F88" s="3">
        <f>IF(MATCH(B88,'scopus results'!B:B, 0), 1, 0)</f>
        <v>1</v>
      </c>
      <c r="G88" s="3">
        <v>1</v>
      </c>
    </row>
    <row r="89" spans="1:7" x14ac:dyDescent="0.3">
      <c r="A89" t="s">
        <v>818</v>
      </c>
      <c r="B89" s="1" t="s">
        <v>819</v>
      </c>
      <c r="C89" s="1">
        <v>2019</v>
      </c>
      <c r="D89" s="1" t="s">
        <v>572</v>
      </c>
      <c r="E89" s="1" t="s">
        <v>572</v>
      </c>
      <c r="F89" s="1" t="e">
        <f>IF(MATCH(B89,'scopus results'!B:B, 0), 1, 0)</f>
        <v>#N/A</v>
      </c>
      <c r="G89" s="1" t="e">
        <v>#N/A</v>
      </c>
    </row>
    <row r="90" spans="1:7" x14ac:dyDescent="0.3">
      <c r="A90" t="s">
        <v>642</v>
      </c>
      <c r="B90" s="1" t="s">
        <v>534</v>
      </c>
      <c r="C90" s="1">
        <v>2019</v>
      </c>
      <c r="D90" s="1" t="s">
        <v>643</v>
      </c>
      <c r="E90" s="1" t="str">
        <f>HYPERLINK("http://dx.doi.org/10.1504/IJSA.2019.101748","http://dx.doi.org/10.1504/IJSA.2019.101748")</f>
        <v>http://dx.doi.org/10.1504/IJSA.2019.101748</v>
      </c>
      <c r="F90" s="1" t="e">
        <f>IF(MATCH(B90,'scopus results'!B:B, 0), 1, 0)</f>
        <v>#N/A</v>
      </c>
      <c r="G90" s="1" t="e">
        <v>#N/A</v>
      </c>
    </row>
    <row r="91" spans="1:7" x14ac:dyDescent="0.3">
      <c r="A91" t="s">
        <v>820</v>
      </c>
      <c r="B91" s="1" t="s">
        <v>821</v>
      </c>
      <c r="C91" s="1">
        <v>2019</v>
      </c>
      <c r="D91" s="1" t="s">
        <v>822</v>
      </c>
      <c r="E91" s="1" t="str">
        <f>HYPERLINK("http://dx.doi.org/10.1080/14606925.2019.1595404","http://dx.doi.org/10.1080/14606925.2019.1595404")</f>
        <v>http://dx.doi.org/10.1080/14606925.2019.1595404</v>
      </c>
      <c r="F91" s="1" t="e">
        <f>IF(MATCH(B91,'scopus results'!B:B, 0), 1, 0)</f>
        <v>#N/A</v>
      </c>
      <c r="G91" s="1" t="e">
        <v>#N/A</v>
      </c>
    </row>
    <row r="92" spans="1:7" x14ac:dyDescent="0.3">
      <c r="A92" t="s">
        <v>823</v>
      </c>
      <c r="B92" s="1" t="s">
        <v>824</v>
      </c>
      <c r="C92" s="1">
        <v>2019</v>
      </c>
      <c r="D92" s="1" t="s">
        <v>825</v>
      </c>
      <c r="E92" s="1" t="str">
        <f>HYPERLINK("http://dx.doi.org/10.2147/IJN.S187139","http://dx.doi.org/10.2147/IJN.S187139")</f>
        <v>http://dx.doi.org/10.2147/IJN.S187139</v>
      </c>
      <c r="F92" s="1" t="e">
        <f>IF(MATCH(B92,'scopus results'!B:B, 0), 1, 0)</f>
        <v>#N/A</v>
      </c>
      <c r="G92" s="1" t="e">
        <v>#N/A</v>
      </c>
    </row>
    <row r="93" spans="1:7" x14ac:dyDescent="0.3">
      <c r="A93" t="s">
        <v>826</v>
      </c>
      <c r="B93" s="3" t="s">
        <v>827</v>
      </c>
      <c r="C93" s="3">
        <v>2019</v>
      </c>
      <c r="D93" s="3" t="s">
        <v>828</v>
      </c>
      <c r="E93" s="3" t="str">
        <f>HYPERLINK("http://dx.doi.org/10.17660/ActaHortic.2019.1266.45","http://dx.doi.org/10.17660/ActaHortic.2019.1266.45")</f>
        <v>http://dx.doi.org/10.17660/ActaHortic.2019.1266.45</v>
      </c>
      <c r="F93" s="3">
        <f>IF(MATCH(B93,'scopus results'!B:B, 0), 1, 0)</f>
        <v>1</v>
      </c>
      <c r="G93" s="3">
        <v>1</v>
      </c>
    </row>
    <row r="94" spans="1:7" x14ac:dyDescent="0.3">
      <c r="A94" t="s">
        <v>829</v>
      </c>
      <c r="B94" s="1" t="s">
        <v>830</v>
      </c>
      <c r="C94" s="1">
        <v>2019</v>
      </c>
      <c r="D94" s="1" t="s">
        <v>831</v>
      </c>
      <c r="E94" s="1" t="str">
        <f>HYPERLINK("http://dx.doi.org/10.1016/j.ufug.2018.12.009","http://dx.doi.org/10.1016/j.ufug.2018.12.009")</f>
        <v>http://dx.doi.org/10.1016/j.ufug.2018.12.009</v>
      </c>
      <c r="F94" s="1" t="e">
        <f>IF(MATCH(B94,'scopus results'!B:B, 0), 1, 0)</f>
        <v>#N/A</v>
      </c>
      <c r="G94" s="1" t="e">
        <v>#N/A</v>
      </c>
    </row>
    <row r="95" spans="1:7" x14ac:dyDescent="0.3">
      <c r="A95" t="s">
        <v>644</v>
      </c>
      <c r="B95" s="3" t="s">
        <v>26</v>
      </c>
      <c r="C95" s="3">
        <v>2019</v>
      </c>
      <c r="D95" s="3" t="s">
        <v>195</v>
      </c>
      <c r="E95" s="3" t="str">
        <f>HYPERLINK("http://dx.doi.org/10.1093/jas/sky442","http://dx.doi.org/10.1093/jas/sky442")</f>
        <v>http://dx.doi.org/10.1093/jas/sky442</v>
      </c>
      <c r="F95" s="3">
        <f>IF(MATCH(B95,'scopus results'!B:B, 0), 1, 0)</f>
        <v>1</v>
      </c>
      <c r="G95" s="3">
        <v>1</v>
      </c>
    </row>
    <row r="96" spans="1:7" x14ac:dyDescent="0.3">
      <c r="A96" t="s">
        <v>645</v>
      </c>
      <c r="B96" s="3" t="s">
        <v>161</v>
      </c>
      <c r="C96" s="3">
        <v>2019</v>
      </c>
      <c r="D96" s="3" t="s">
        <v>321</v>
      </c>
      <c r="E96" s="3" t="str">
        <f>HYPERLINK("http://dx.doi.org/10.1016/j.applthermaleng.2018.12.057","http://dx.doi.org/10.1016/j.applthermaleng.2018.12.057")</f>
        <v>http://dx.doi.org/10.1016/j.applthermaleng.2018.12.057</v>
      </c>
      <c r="F96" s="3">
        <f>IF(MATCH(B96,'scopus results'!B:B, 0), 1, 0)</f>
        <v>1</v>
      </c>
      <c r="G96" s="3">
        <v>1</v>
      </c>
    </row>
    <row r="97" spans="1:7" x14ac:dyDescent="0.3">
      <c r="A97" t="s">
        <v>646</v>
      </c>
      <c r="B97" s="3" t="s">
        <v>535</v>
      </c>
      <c r="C97" s="3">
        <v>2019</v>
      </c>
      <c r="D97" s="3" t="s">
        <v>292</v>
      </c>
      <c r="E97" s="3" t="str">
        <f>HYPERLINK("http://dx.doi.org/10.3390/en12091733","http://dx.doi.org/10.3390/en12091733")</f>
        <v>http://dx.doi.org/10.3390/en12091733</v>
      </c>
      <c r="F97" s="3">
        <f>IF(MATCH(B97,'scopus results'!B:B, 0), 1, 0)</f>
        <v>1</v>
      </c>
      <c r="G97" s="3">
        <v>1</v>
      </c>
    </row>
    <row r="98" spans="1:7" x14ac:dyDescent="0.3">
      <c r="A98" t="s">
        <v>647</v>
      </c>
      <c r="B98" s="3" t="s">
        <v>50</v>
      </c>
      <c r="C98" s="3">
        <v>2019</v>
      </c>
      <c r="D98" s="3" t="s">
        <v>217</v>
      </c>
      <c r="E98" s="3" t="str">
        <f>HYPERLINK("http://dx.doi.org/10.1007/s11367-018-1538-5","http://dx.doi.org/10.1007/s11367-018-1538-5")</f>
        <v>http://dx.doi.org/10.1007/s11367-018-1538-5</v>
      </c>
      <c r="F98" s="3">
        <f>IF(MATCH(B98,'scopus results'!B:B, 0), 1, 0)</f>
        <v>1</v>
      </c>
      <c r="G98" s="3">
        <v>1</v>
      </c>
    </row>
    <row r="99" spans="1:7" x14ac:dyDescent="0.3">
      <c r="A99" t="s">
        <v>832</v>
      </c>
      <c r="B99" s="1" t="s">
        <v>833</v>
      </c>
      <c r="C99" s="1">
        <v>2019</v>
      </c>
      <c r="D99" s="1" t="s">
        <v>834</v>
      </c>
      <c r="E99" s="1" t="str">
        <f>HYPERLINK("http://dx.doi.org/10.1039/c9ra03305j","http://dx.doi.org/10.1039/c9ra03305j")</f>
        <v>http://dx.doi.org/10.1039/c9ra03305j</v>
      </c>
      <c r="F99" s="1" t="e">
        <f>IF(MATCH(B99,'scopus results'!B:B, 0), 1, 0)</f>
        <v>#N/A</v>
      </c>
      <c r="G99" s="1" t="e">
        <v>#N/A</v>
      </c>
    </row>
    <row r="100" spans="1:7" x14ac:dyDescent="0.3">
      <c r="A100" t="s">
        <v>835</v>
      </c>
      <c r="B100" s="3" t="s">
        <v>836</v>
      </c>
      <c r="C100" s="3">
        <v>2019</v>
      </c>
      <c r="D100" s="3" t="s">
        <v>837</v>
      </c>
      <c r="E100" s="3" t="str">
        <f>HYPERLINK("http://dx.doi.org/10.1177/0038026119854273","http://dx.doi.org/10.1177/0038026119854273")</f>
        <v>http://dx.doi.org/10.1177/0038026119854273</v>
      </c>
      <c r="F100" s="3">
        <f>IF(MATCH(B100,'scopus results'!B:B, 0), 1, 0)</f>
        <v>1</v>
      </c>
      <c r="G100" s="3">
        <v>1</v>
      </c>
    </row>
    <row r="101" spans="1:7" x14ac:dyDescent="0.3">
      <c r="A101" t="s">
        <v>648</v>
      </c>
      <c r="B101" s="1" t="s">
        <v>536</v>
      </c>
      <c r="C101" s="1">
        <v>2019</v>
      </c>
      <c r="D101" s="1" t="s">
        <v>649</v>
      </c>
      <c r="E101" s="1" t="str">
        <f>HYPERLINK("http://dx.doi.org/10.3390/su11143846","http://dx.doi.org/10.3390/su11143846")</f>
        <v>http://dx.doi.org/10.3390/su11143846</v>
      </c>
      <c r="F101" s="1" t="e">
        <f>IF(MATCH(B101,'scopus results'!B:B, 0), 1, 0)</f>
        <v>#N/A</v>
      </c>
      <c r="G101" s="1" t="e">
        <v>#N/A</v>
      </c>
    </row>
    <row r="102" spans="1:7" x14ac:dyDescent="0.3">
      <c r="A102" t="s">
        <v>838</v>
      </c>
      <c r="B102" s="1" t="s">
        <v>839</v>
      </c>
      <c r="C102" s="1">
        <v>2019</v>
      </c>
      <c r="D102" s="1" t="s">
        <v>208</v>
      </c>
      <c r="E102" s="1" t="str">
        <f>HYPERLINK("http://dx.doi.org/10.1016/j.jclepro.2019.03.348","http://dx.doi.org/10.1016/j.jclepro.2019.03.348")</f>
        <v>http://dx.doi.org/10.1016/j.jclepro.2019.03.348</v>
      </c>
      <c r="F102" s="1" t="e">
        <f>IF(MATCH(B102,'scopus results'!B:B, 0), 1, 0)</f>
        <v>#N/A</v>
      </c>
      <c r="G102" s="1" t="e">
        <v>#N/A</v>
      </c>
    </row>
    <row r="103" spans="1:7" x14ac:dyDescent="0.3">
      <c r="A103" t="s">
        <v>840</v>
      </c>
      <c r="B103" s="3" t="s">
        <v>841</v>
      </c>
      <c r="C103" s="3">
        <v>2019</v>
      </c>
      <c r="D103" s="3" t="s">
        <v>842</v>
      </c>
      <c r="E103" s="3" t="str">
        <f>HYPERLINK("http://dx.doi.org/10.1021/acssuschemeng.9b02415","http://dx.doi.org/10.1021/acssuschemeng.9b02415")</f>
        <v>http://dx.doi.org/10.1021/acssuschemeng.9b02415</v>
      </c>
      <c r="F103" s="3">
        <f>IF(MATCH(B103,'scopus results'!B:B, 0), 1, 0)</f>
        <v>1</v>
      </c>
      <c r="G103" s="3">
        <v>1</v>
      </c>
    </row>
    <row r="104" spans="1:7" x14ac:dyDescent="0.3">
      <c r="A104" t="s">
        <v>650</v>
      </c>
      <c r="B104" s="3" t="s">
        <v>87</v>
      </c>
      <c r="C104" s="3">
        <v>2019</v>
      </c>
      <c r="D104" s="3" t="s">
        <v>252</v>
      </c>
      <c r="E104" s="3" t="str">
        <f>HYPERLINK("http://dx.doi.org/10.1108/BFJ-02-2019-0112","http://dx.doi.org/10.1108/BFJ-02-2019-0112")</f>
        <v>http://dx.doi.org/10.1108/BFJ-02-2019-0112</v>
      </c>
      <c r="F104" s="3">
        <f>IF(MATCH(B104,'scopus results'!B:B, 0), 1, 0)</f>
        <v>1</v>
      </c>
      <c r="G104" s="3">
        <v>1</v>
      </c>
    </row>
    <row r="105" spans="1:7" x14ac:dyDescent="0.3">
      <c r="A105" t="s">
        <v>843</v>
      </c>
      <c r="B105" s="1" t="s">
        <v>844</v>
      </c>
      <c r="C105" s="1">
        <v>2019</v>
      </c>
      <c r="D105" s="1" t="s">
        <v>845</v>
      </c>
      <c r="E105" s="1" t="str">
        <f>HYPERLINK("http://dx.doi.org/10.3390/buildings9090194","http://dx.doi.org/10.3390/buildings9090194")</f>
        <v>http://dx.doi.org/10.3390/buildings9090194</v>
      </c>
      <c r="F105" s="1" t="e">
        <f>IF(MATCH(B105,'scopus results'!B:B, 0), 1, 0)</f>
        <v>#N/A</v>
      </c>
      <c r="G105" s="1" t="e">
        <v>#N/A</v>
      </c>
    </row>
    <row r="106" spans="1:7" x14ac:dyDescent="0.3">
      <c r="A106" t="s">
        <v>846</v>
      </c>
      <c r="B106" s="1" t="s">
        <v>847</v>
      </c>
      <c r="C106" s="1">
        <v>2019</v>
      </c>
      <c r="D106" s="1" t="s">
        <v>848</v>
      </c>
      <c r="E106" s="1" t="str">
        <f>HYPERLINK("http://dx.doi.org/10.1007/s11250-019-01886-2","http://dx.doi.org/10.1007/s11250-019-01886-2")</f>
        <v>http://dx.doi.org/10.1007/s11250-019-01886-2</v>
      </c>
      <c r="F106" s="1" t="e">
        <f>IF(MATCH(B106,'scopus results'!B:B, 0), 1, 0)</f>
        <v>#N/A</v>
      </c>
      <c r="G106" s="1" t="e">
        <v>#N/A</v>
      </c>
    </row>
    <row r="107" spans="1:7" x14ac:dyDescent="0.3">
      <c r="A107" t="s">
        <v>651</v>
      </c>
      <c r="B107" s="3" t="s">
        <v>66</v>
      </c>
      <c r="C107" s="3">
        <v>2019</v>
      </c>
      <c r="D107" s="3" t="s">
        <v>233</v>
      </c>
      <c r="E107" s="3" t="str">
        <f>HYPERLINK("http://dx.doi.org/10.1016/j.resconrec.2019.06.009","http://dx.doi.org/10.1016/j.resconrec.2019.06.009")</f>
        <v>http://dx.doi.org/10.1016/j.resconrec.2019.06.009</v>
      </c>
      <c r="F107" s="3">
        <f>IF(MATCH(B107,'scopus results'!B:B, 0), 1, 0)</f>
        <v>1</v>
      </c>
      <c r="G107" s="3">
        <v>1</v>
      </c>
    </row>
    <row r="108" spans="1:7" x14ac:dyDescent="0.3">
      <c r="A108" t="s">
        <v>652</v>
      </c>
      <c r="B108" s="3" t="s">
        <v>133</v>
      </c>
      <c r="C108" s="3">
        <v>2019</v>
      </c>
      <c r="D108" s="3" t="s">
        <v>296</v>
      </c>
      <c r="E108" s="3" t="str">
        <f>HYPERLINK("http://dx.doi.org/10.1016/j.jclepro.2019.06.009","http://dx.doi.org/10.1016/j.jclepro.2019.06.009")</f>
        <v>http://dx.doi.org/10.1016/j.jclepro.2019.06.009</v>
      </c>
      <c r="F108" s="3">
        <f>IF(MATCH(B108,'scopus results'!B:B, 0), 1, 0)</f>
        <v>1</v>
      </c>
      <c r="G108" s="3">
        <v>1</v>
      </c>
    </row>
    <row r="109" spans="1:7" x14ac:dyDescent="0.3">
      <c r="A109" t="s">
        <v>653</v>
      </c>
      <c r="B109" s="1" t="s">
        <v>537</v>
      </c>
      <c r="C109" s="1">
        <v>2019</v>
      </c>
      <c r="D109" s="1" t="s">
        <v>241</v>
      </c>
      <c r="E109" s="1" t="str">
        <f>HYPERLINK("http://dx.doi.org/10.3390/su11205854","http://dx.doi.org/10.3390/su11205854")</f>
        <v>http://dx.doi.org/10.3390/su11205854</v>
      </c>
      <c r="F109" s="1" t="e">
        <f>IF(MATCH(B109,'scopus results'!B:B, 0), 1, 0)</f>
        <v>#N/A</v>
      </c>
      <c r="G109" s="1" t="e">
        <v>#N/A</v>
      </c>
    </row>
    <row r="110" spans="1:7" x14ac:dyDescent="0.3">
      <c r="A110" t="s">
        <v>849</v>
      </c>
      <c r="B110" s="3" t="s">
        <v>850</v>
      </c>
      <c r="C110" s="3">
        <v>2019</v>
      </c>
      <c r="D110" s="3" t="s">
        <v>851</v>
      </c>
      <c r="E110" s="3" t="str">
        <f>HYPERLINK("http://dx.doi.org/10.1016/j.jclepro.2019.07.061","http://dx.doi.org/10.1016/j.jclepro.2019.07.061")</f>
        <v>http://dx.doi.org/10.1016/j.jclepro.2019.07.061</v>
      </c>
      <c r="F110" s="3">
        <f>IF(MATCH(B110,'scopus results'!B:B, 0), 1, 0)</f>
        <v>1</v>
      </c>
      <c r="G110" s="3">
        <v>1</v>
      </c>
    </row>
    <row r="111" spans="1:7" x14ac:dyDescent="0.3">
      <c r="A111" t="s">
        <v>852</v>
      </c>
      <c r="B111" s="3" t="s">
        <v>853</v>
      </c>
      <c r="C111" s="3">
        <v>2020</v>
      </c>
      <c r="D111" s="3" t="s">
        <v>854</v>
      </c>
      <c r="E111" s="3" t="str">
        <f>HYPERLINK("http://dx.doi.org/10.1111/gcbb.12646","http://dx.doi.org/10.1111/gcbb.12646")</f>
        <v>http://dx.doi.org/10.1111/gcbb.12646</v>
      </c>
      <c r="F111" s="3">
        <f>IF(MATCH(B111,'scopus results'!B:B, 0), 1, 0)</f>
        <v>1</v>
      </c>
      <c r="G111" s="3">
        <v>1</v>
      </c>
    </row>
    <row r="112" spans="1:7" x14ac:dyDescent="0.3">
      <c r="A112" t="s">
        <v>855</v>
      </c>
      <c r="B112" s="1" t="s">
        <v>856</v>
      </c>
      <c r="C112" s="1">
        <v>2019</v>
      </c>
      <c r="D112" s="1" t="s">
        <v>857</v>
      </c>
      <c r="E112" s="1" t="str">
        <f>HYPERLINK("http://dx.doi.org/10.3390/ma12234020","http://dx.doi.org/10.3390/ma12234020")</f>
        <v>http://dx.doi.org/10.3390/ma12234020</v>
      </c>
      <c r="F112" s="1" t="e">
        <f>IF(MATCH(B112,'scopus results'!B:B, 0), 1, 0)</f>
        <v>#N/A</v>
      </c>
      <c r="G112" s="1" t="e">
        <v>#N/A</v>
      </c>
    </row>
    <row r="113" spans="1:7" x14ac:dyDescent="0.3">
      <c r="A113" t="s">
        <v>654</v>
      </c>
      <c r="B113" s="3" t="s">
        <v>538</v>
      </c>
      <c r="C113" s="3">
        <v>2019</v>
      </c>
      <c r="D113" s="3" t="s">
        <v>201</v>
      </c>
      <c r="E113" s="3" t="str">
        <f>HYPERLINK("http://dx.doi.org/10.3390/fib7120101","http://dx.doi.org/10.3390/fib7120101")</f>
        <v>http://dx.doi.org/10.3390/fib7120101</v>
      </c>
      <c r="F113" s="3">
        <f>IF(MATCH(B113,'scopus results'!B:B, 0), 1, 0)</f>
        <v>1</v>
      </c>
      <c r="G113" s="3">
        <v>1</v>
      </c>
    </row>
    <row r="114" spans="1:7" x14ac:dyDescent="0.3">
      <c r="A114" t="s">
        <v>858</v>
      </c>
      <c r="B114" s="3" t="s">
        <v>859</v>
      </c>
      <c r="C114" s="3">
        <v>2019</v>
      </c>
      <c r="D114" s="3" t="s">
        <v>860</v>
      </c>
      <c r="E114" s="3" t="str">
        <f>HYPERLINK("http://dx.doi.org/10.1016/j.jclepro.2019.118254","http://dx.doi.org/10.1016/j.jclepro.2019.118254")</f>
        <v>http://dx.doi.org/10.1016/j.jclepro.2019.118254</v>
      </c>
      <c r="F114" s="3">
        <f>IF(MATCH(B114,'scopus results'!B:B, 0), 1, 0)</f>
        <v>1</v>
      </c>
      <c r="G114" s="3">
        <v>1</v>
      </c>
    </row>
    <row r="115" spans="1:7" x14ac:dyDescent="0.3">
      <c r="A115" t="s">
        <v>655</v>
      </c>
      <c r="B115" s="1" t="s">
        <v>539</v>
      </c>
      <c r="C115" s="1">
        <v>2020</v>
      </c>
      <c r="D115" s="1" t="s">
        <v>656</v>
      </c>
      <c r="E115" s="1" t="str">
        <f>HYPERLINK("http://dx.doi.org/10.1088/1757-899X/960/2/022053","http://dx.doi.org/10.1088/1757-899X/960/2/022053")</f>
        <v>http://dx.doi.org/10.1088/1757-899X/960/2/022053</v>
      </c>
      <c r="F115" s="1" t="e">
        <f>IF(MATCH(B115,'scopus results'!B:B, 0), 1, 0)</f>
        <v>#N/A</v>
      </c>
      <c r="G115" s="1" t="e">
        <v>#N/A</v>
      </c>
    </row>
    <row r="116" spans="1:7" x14ac:dyDescent="0.3">
      <c r="A116" t="s">
        <v>657</v>
      </c>
      <c r="B116" s="1" t="s">
        <v>540</v>
      </c>
      <c r="C116" s="1">
        <v>2020</v>
      </c>
      <c r="D116" s="1" t="s">
        <v>658</v>
      </c>
      <c r="E116" s="1" t="str">
        <f>HYPERLINK("http://dx.doi.org/10.1051/matecconf/202031000065","http://dx.doi.org/10.1051/matecconf/202031000065")</f>
        <v>http://dx.doi.org/10.1051/matecconf/202031000065</v>
      </c>
      <c r="F116" s="1" t="e">
        <f>IF(MATCH(B116,'scopus results'!B:B, 0), 1, 0)</f>
        <v>#N/A</v>
      </c>
      <c r="G116" s="1" t="e">
        <v>#N/A</v>
      </c>
    </row>
    <row r="117" spans="1:7" x14ac:dyDescent="0.3">
      <c r="A117" t="s">
        <v>659</v>
      </c>
      <c r="B117" s="1" t="s">
        <v>541</v>
      </c>
      <c r="C117" s="1">
        <v>2020</v>
      </c>
      <c r="D117" s="1" t="s">
        <v>572</v>
      </c>
      <c r="E117" s="1" t="s">
        <v>572</v>
      </c>
      <c r="F117" s="1" t="e">
        <f>IF(MATCH(B117,'scopus results'!B:B, 0), 1, 0)</f>
        <v>#N/A</v>
      </c>
      <c r="G117" s="1" t="e">
        <v>#N/A</v>
      </c>
    </row>
    <row r="118" spans="1:7" x14ac:dyDescent="0.3">
      <c r="A118" t="s">
        <v>660</v>
      </c>
      <c r="B118" s="1" t="s">
        <v>542</v>
      </c>
      <c r="C118" s="1">
        <v>2020</v>
      </c>
      <c r="D118" s="1" t="s">
        <v>572</v>
      </c>
      <c r="E118" s="1" t="s">
        <v>572</v>
      </c>
      <c r="F118" s="1" t="e">
        <f>IF(MATCH(B118,'scopus results'!B:B, 0), 1, 0)</f>
        <v>#N/A</v>
      </c>
      <c r="G118" s="1" t="e">
        <v>#N/A</v>
      </c>
    </row>
    <row r="119" spans="1:7" x14ac:dyDescent="0.3">
      <c r="A119" t="s">
        <v>861</v>
      </c>
      <c r="B119" s="1" t="s">
        <v>862</v>
      </c>
      <c r="C119" s="1">
        <v>2020</v>
      </c>
      <c r="D119" s="1" t="s">
        <v>863</v>
      </c>
      <c r="E119" s="1" t="str">
        <f>HYPERLINK("http://dx.doi.org/10.1016/j.diagmicrobio.2019.114912","http://dx.doi.org/10.1016/j.diagmicrobio.2019.114912")</f>
        <v>http://dx.doi.org/10.1016/j.diagmicrobio.2019.114912</v>
      </c>
      <c r="F119" s="1" t="e">
        <f>IF(MATCH(B119,'scopus results'!B:B, 0), 1, 0)</f>
        <v>#N/A</v>
      </c>
      <c r="G119" s="1" t="e">
        <v>#N/A</v>
      </c>
    </row>
    <row r="120" spans="1:7" x14ac:dyDescent="0.3">
      <c r="A120" t="s">
        <v>661</v>
      </c>
      <c r="B120" s="3" t="s">
        <v>543</v>
      </c>
      <c r="C120" s="3">
        <v>2020</v>
      </c>
      <c r="D120" s="3" t="s">
        <v>229</v>
      </c>
      <c r="E120" s="3" t="str">
        <f>HYPERLINK("http://dx.doi.org/10.17423/afx.2020.62.1.12","http://dx.doi.org/10.17423/afx.2020.62.1.12")</f>
        <v>http://dx.doi.org/10.17423/afx.2020.62.1.12</v>
      </c>
      <c r="F120" s="3">
        <f>IF(MATCH(B120,'scopus results'!B:B, 0), 1, 0)</f>
        <v>1</v>
      </c>
      <c r="G120" s="3">
        <v>1</v>
      </c>
    </row>
    <row r="121" spans="1:7" x14ac:dyDescent="0.3">
      <c r="A121" t="s">
        <v>864</v>
      </c>
      <c r="B121" s="1" t="s">
        <v>865</v>
      </c>
      <c r="C121" s="1">
        <v>2020</v>
      </c>
      <c r="D121" s="1" t="s">
        <v>866</v>
      </c>
      <c r="E121" s="1" t="str">
        <f>HYPERLINK("http://dx.doi.org/10.3390/ani10010162","http://dx.doi.org/10.3390/ani10010162")</f>
        <v>http://dx.doi.org/10.3390/ani10010162</v>
      </c>
      <c r="F121" s="1" t="e">
        <f>IF(MATCH(B121,'scopus results'!B:B, 0), 1, 0)</f>
        <v>#N/A</v>
      </c>
      <c r="G121" s="1" t="e">
        <v>#N/A</v>
      </c>
    </row>
    <row r="122" spans="1:7" x14ac:dyDescent="0.3">
      <c r="A122" t="s">
        <v>867</v>
      </c>
      <c r="B122" s="1" t="s">
        <v>868</v>
      </c>
      <c r="C122" s="1">
        <v>2020</v>
      </c>
      <c r="D122" s="1" t="s">
        <v>869</v>
      </c>
      <c r="E122" s="1" t="str">
        <f>HYPERLINK("http://dx.doi.org/10.1016/j.livsci.2019.103888","http://dx.doi.org/10.1016/j.livsci.2019.103888")</f>
        <v>http://dx.doi.org/10.1016/j.livsci.2019.103888</v>
      </c>
      <c r="F122" s="1" t="e">
        <f>IF(MATCH(B122,'scopus results'!B:B, 0), 1, 0)</f>
        <v>#N/A</v>
      </c>
      <c r="G122" s="1" t="e">
        <v>#N/A</v>
      </c>
    </row>
    <row r="123" spans="1:7" x14ac:dyDescent="0.3">
      <c r="A123" t="s">
        <v>870</v>
      </c>
      <c r="B123" s="1" t="s">
        <v>871</v>
      </c>
      <c r="C123" s="1">
        <v>2020</v>
      </c>
      <c r="D123" s="1" t="s">
        <v>872</v>
      </c>
      <c r="E123" s="1" t="str">
        <f>HYPERLINK("http://dx.doi.org/10.3390/ani10020339","http://dx.doi.org/10.3390/ani10020339")</f>
        <v>http://dx.doi.org/10.3390/ani10020339</v>
      </c>
      <c r="F123" s="1" t="e">
        <f>IF(MATCH(B123,'scopus results'!B:B, 0), 1, 0)</f>
        <v>#N/A</v>
      </c>
      <c r="G123" s="1" t="e">
        <v>#N/A</v>
      </c>
    </row>
    <row r="124" spans="1:7" x14ac:dyDescent="0.3">
      <c r="A124" t="s">
        <v>873</v>
      </c>
      <c r="B124" s="3" t="s">
        <v>874</v>
      </c>
      <c r="C124" s="3">
        <v>2020</v>
      </c>
      <c r="D124" s="3" t="s">
        <v>875</v>
      </c>
      <c r="E124" s="3" t="str">
        <f>HYPERLINK("http://dx.doi.org/10.1016/j.wasman.2019.10.026","http://dx.doi.org/10.1016/j.wasman.2019.10.026")</f>
        <v>http://dx.doi.org/10.1016/j.wasman.2019.10.026</v>
      </c>
      <c r="F124" s="3">
        <f>IF(MATCH(B124,'scopus results'!B:B, 0), 1, 0)</f>
        <v>1</v>
      </c>
      <c r="G124" s="3">
        <v>1</v>
      </c>
    </row>
    <row r="125" spans="1:7" x14ac:dyDescent="0.3">
      <c r="A125" t="s">
        <v>876</v>
      </c>
      <c r="B125" s="1" t="s">
        <v>877</v>
      </c>
      <c r="C125" s="1">
        <v>2020</v>
      </c>
      <c r="D125" s="1" t="s">
        <v>878</v>
      </c>
      <c r="E125" s="1" t="str">
        <f>HYPERLINK("http://dx.doi.org/10.1002/app.48370","http://dx.doi.org/10.1002/app.48370")</f>
        <v>http://dx.doi.org/10.1002/app.48370</v>
      </c>
      <c r="F125" s="1" t="e">
        <f>IF(MATCH(B125,'scopus results'!B:B, 0), 1, 0)</f>
        <v>#N/A</v>
      </c>
      <c r="G125" s="1" t="e">
        <v>#N/A</v>
      </c>
    </row>
    <row r="126" spans="1:7" x14ac:dyDescent="0.3">
      <c r="A126" t="s">
        <v>662</v>
      </c>
      <c r="B126" s="3" t="s">
        <v>108</v>
      </c>
      <c r="C126" s="3">
        <v>2020</v>
      </c>
      <c r="D126" s="3" t="s">
        <v>273</v>
      </c>
      <c r="E126" s="3" t="str">
        <f>HYPERLINK("http://dx.doi.org/10.1016/j.jclepro.2019.119356","http://dx.doi.org/10.1016/j.jclepro.2019.119356")</f>
        <v>http://dx.doi.org/10.1016/j.jclepro.2019.119356</v>
      </c>
      <c r="F126" s="3">
        <f>IF(MATCH(B126,'scopus results'!B:B, 0), 1, 0)</f>
        <v>1</v>
      </c>
      <c r="G126" s="3">
        <v>1</v>
      </c>
    </row>
    <row r="127" spans="1:7" x14ac:dyDescent="0.3">
      <c r="A127" t="s">
        <v>879</v>
      </c>
      <c r="B127" s="3" t="s">
        <v>880</v>
      </c>
      <c r="C127" s="3">
        <v>2021</v>
      </c>
      <c r="D127" s="3" t="s">
        <v>881</v>
      </c>
      <c r="E127" s="3" t="str">
        <f>HYPERLINK("http://dx.doi.org/10.1007/s12649-020-01007-3","http://dx.doi.org/10.1007/s12649-020-01007-3")</f>
        <v>http://dx.doi.org/10.1007/s12649-020-01007-3</v>
      </c>
      <c r="F127" s="3">
        <f>IF(MATCH(B127,'scopus results'!B:B, 0), 1, 0)</f>
        <v>1</v>
      </c>
      <c r="G127" s="3">
        <v>1</v>
      </c>
    </row>
    <row r="128" spans="1:7" x14ac:dyDescent="0.3">
      <c r="A128" t="s">
        <v>882</v>
      </c>
      <c r="B128" s="1" t="s">
        <v>883</v>
      </c>
      <c r="C128" s="1">
        <v>2020</v>
      </c>
      <c r="D128" s="1" t="s">
        <v>884</v>
      </c>
      <c r="E128" s="1" t="str">
        <f>HYPERLINK("http://dx.doi.org/10.3390/su12072835","http://dx.doi.org/10.3390/su12072835")</f>
        <v>http://dx.doi.org/10.3390/su12072835</v>
      </c>
      <c r="F128" s="1" t="e">
        <f>IF(MATCH(B128,'scopus results'!B:B, 0), 1, 0)</f>
        <v>#N/A</v>
      </c>
      <c r="G128" s="1" t="e">
        <v>#N/A</v>
      </c>
    </row>
    <row r="129" spans="1:7" x14ac:dyDescent="0.3">
      <c r="A129" t="s">
        <v>663</v>
      </c>
      <c r="B129" s="3" t="s">
        <v>43</v>
      </c>
      <c r="C129" s="3">
        <v>2020</v>
      </c>
      <c r="D129" s="3" t="s">
        <v>210</v>
      </c>
      <c r="E129" s="3" t="str">
        <f>HYPERLINK("http://dx.doi.org/10.1016/j.smallrumres.2020.106085","http://dx.doi.org/10.1016/j.smallrumres.2020.106085")</f>
        <v>http://dx.doi.org/10.1016/j.smallrumres.2020.106085</v>
      </c>
      <c r="F129" s="3">
        <f>IF(MATCH(B129,'scopus results'!B:B, 0), 1, 0)</f>
        <v>1</v>
      </c>
      <c r="G129" s="3">
        <v>1</v>
      </c>
    </row>
    <row r="130" spans="1:7" x14ac:dyDescent="0.3">
      <c r="A130" t="s">
        <v>664</v>
      </c>
      <c r="B130" s="3" t="s">
        <v>68</v>
      </c>
      <c r="C130" s="3">
        <v>2020</v>
      </c>
      <c r="D130" s="3" t="s">
        <v>235</v>
      </c>
      <c r="E130" s="3" t="str">
        <f>HYPERLINK("http://dx.doi.org/10.1007/s11367-020-01766-0","http://dx.doi.org/10.1007/s11367-020-01766-0")</f>
        <v>http://dx.doi.org/10.1007/s11367-020-01766-0</v>
      </c>
      <c r="F130" s="3">
        <f>IF(MATCH(B130,'scopus results'!B:B, 0), 1, 0)</f>
        <v>1</v>
      </c>
      <c r="G130" s="3">
        <v>1</v>
      </c>
    </row>
    <row r="131" spans="1:7" x14ac:dyDescent="0.3">
      <c r="A131" t="s">
        <v>885</v>
      </c>
      <c r="B131" s="1" t="s">
        <v>886</v>
      </c>
      <c r="C131" s="1">
        <v>2020</v>
      </c>
      <c r="D131" s="1" t="s">
        <v>887</v>
      </c>
      <c r="E131" s="1" t="str">
        <f>HYPERLINK("http://dx.doi.org/10.3390/foods9060700","http://dx.doi.org/10.3390/foods9060700")</f>
        <v>http://dx.doi.org/10.3390/foods9060700</v>
      </c>
      <c r="F131" s="1" t="e">
        <f>IF(MATCH(B131,'scopus results'!B:B, 0), 1, 0)</f>
        <v>#N/A</v>
      </c>
      <c r="G131" s="1" t="e">
        <v>#N/A</v>
      </c>
    </row>
    <row r="132" spans="1:7" x14ac:dyDescent="0.3">
      <c r="A132" t="s">
        <v>665</v>
      </c>
      <c r="B132" s="3" t="s">
        <v>544</v>
      </c>
      <c r="C132" s="3">
        <v>2020</v>
      </c>
      <c r="D132" s="3" t="s">
        <v>228</v>
      </c>
      <c r="E132" s="3" t="str">
        <f>HYPERLINK("http://dx.doi.org/10.3390/su12114532","http://dx.doi.org/10.3390/su12114532")</f>
        <v>http://dx.doi.org/10.3390/su12114532</v>
      </c>
      <c r="F132" s="3">
        <f>IF(MATCH(B132,'scopus results'!B:B, 0), 1, 0)</f>
        <v>1</v>
      </c>
      <c r="G132" s="3">
        <v>1</v>
      </c>
    </row>
    <row r="133" spans="1:7" x14ac:dyDescent="0.3">
      <c r="A133" t="s">
        <v>888</v>
      </c>
      <c r="B133" s="3" t="s">
        <v>889</v>
      </c>
      <c r="C133" s="3">
        <v>2020</v>
      </c>
      <c r="D133" s="3" t="s">
        <v>890</v>
      </c>
      <c r="E133" s="3" t="str">
        <f>HYPERLINK("http://dx.doi.org/10.3390/atmos11080781","http://dx.doi.org/10.3390/atmos11080781")</f>
        <v>http://dx.doi.org/10.3390/atmos11080781</v>
      </c>
      <c r="F133" s="3">
        <f>IF(MATCH(B133,'scopus results'!B:B, 0), 1, 0)</f>
        <v>1</v>
      </c>
      <c r="G133" s="3">
        <v>1</v>
      </c>
    </row>
    <row r="134" spans="1:7" x14ac:dyDescent="0.3">
      <c r="A134" t="s">
        <v>666</v>
      </c>
      <c r="B134" s="1" t="s">
        <v>545</v>
      </c>
      <c r="C134" s="1">
        <v>2020</v>
      </c>
      <c r="D134" s="1" t="s">
        <v>667</v>
      </c>
      <c r="E134" s="1" t="str">
        <f>HYPERLINK("http://dx.doi.org/10.3390/su12156219","http://dx.doi.org/10.3390/su12156219")</f>
        <v>http://dx.doi.org/10.3390/su12156219</v>
      </c>
      <c r="F134" s="1" t="e">
        <f>IF(MATCH(B134,'scopus results'!B:B, 0), 1, 0)</f>
        <v>#N/A</v>
      </c>
      <c r="G134" s="1" t="e">
        <v>#N/A</v>
      </c>
    </row>
    <row r="135" spans="1:7" x14ac:dyDescent="0.3">
      <c r="A135" t="s">
        <v>668</v>
      </c>
      <c r="B135" s="3" t="s">
        <v>546</v>
      </c>
      <c r="C135" s="3">
        <v>2020</v>
      </c>
      <c r="D135" s="3" t="s">
        <v>282</v>
      </c>
      <c r="E135" s="3" t="str">
        <f>HYPERLINK("http://dx.doi.org/10.3390/polym12091965","http://dx.doi.org/10.3390/polym12091965")</f>
        <v>http://dx.doi.org/10.3390/polym12091965</v>
      </c>
      <c r="F135" s="3">
        <f>IF(MATCH(B135,'scopus results'!B:B, 0), 1, 0)</f>
        <v>1</v>
      </c>
      <c r="G135" s="3">
        <v>1</v>
      </c>
    </row>
    <row r="136" spans="1:7" x14ac:dyDescent="0.3">
      <c r="A136" t="s">
        <v>891</v>
      </c>
      <c r="B136" s="3" t="s">
        <v>892</v>
      </c>
      <c r="C136" s="3">
        <v>2020</v>
      </c>
      <c r="D136" s="3" t="s">
        <v>893</v>
      </c>
      <c r="E136" s="3" t="str">
        <f>HYPERLINK("http://dx.doi.org/10.3390/pr8091182","http://dx.doi.org/10.3390/pr8091182")</f>
        <v>http://dx.doi.org/10.3390/pr8091182</v>
      </c>
      <c r="F136" s="3">
        <f>IF(MATCH(B136,'scopus results'!B:B, 0), 1, 0)</f>
        <v>1</v>
      </c>
      <c r="G136" s="3">
        <v>1</v>
      </c>
    </row>
    <row r="137" spans="1:7" x14ac:dyDescent="0.3">
      <c r="A137" t="s">
        <v>894</v>
      </c>
      <c r="B137" s="3" t="s">
        <v>895</v>
      </c>
      <c r="C137" s="3">
        <v>2020</v>
      </c>
      <c r="D137" s="3" t="s">
        <v>896</v>
      </c>
      <c r="E137" s="3" t="str">
        <f>HYPERLINK("http://dx.doi.org/10.5890/JEAM.2020.09.002","http://dx.doi.org/10.5890/JEAM.2020.09.002")</f>
        <v>http://dx.doi.org/10.5890/JEAM.2020.09.002</v>
      </c>
      <c r="F137" s="3">
        <f>IF(MATCH(B137,'scopus results'!B:B, 0), 1, 0)</f>
        <v>1</v>
      </c>
      <c r="G137" s="3">
        <v>1</v>
      </c>
    </row>
    <row r="138" spans="1:7" x14ac:dyDescent="0.3">
      <c r="A138" t="s">
        <v>669</v>
      </c>
      <c r="B138" s="3" t="s">
        <v>45</v>
      </c>
      <c r="C138" s="3">
        <v>2021</v>
      </c>
      <c r="D138" s="3" t="s">
        <v>212</v>
      </c>
      <c r="E138" s="3" t="str">
        <f>HYPERLINK("http://dx.doi.org/10.1080/15567036.2020.1813223","http://dx.doi.org/10.1080/15567036.2020.1813223")</f>
        <v>http://dx.doi.org/10.1080/15567036.2020.1813223</v>
      </c>
      <c r="F138" s="3">
        <f>IF(MATCH(B138,'scopus results'!B:B, 0), 1, 0)</f>
        <v>1</v>
      </c>
      <c r="G138" s="3">
        <v>1</v>
      </c>
    </row>
    <row r="139" spans="1:7" x14ac:dyDescent="0.3">
      <c r="A139" t="s">
        <v>897</v>
      </c>
      <c r="B139" s="3" t="s">
        <v>898</v>
      </c>
      <c r="C139" s="3">
        <v>2020</v>
      </c>
      <c r="D139" s="3" t="s">
        <v>899</v>
      </c>
      <c r="E139" s="3" t="str">
        <f>HYPERLINK("http://dx.doi.org/10.3389/fvets.2020.00651","http://dx.doi.org/10.3389/fvets.2020.00651")</f>
        <v>http://dx.doi.org/10.3389/fvets.2020.00651</v>
      </c>
      <c r="F139" s="3">
        <f>IF(MATCH(B139,'scopus results'!B:B, 0), 1, 0)</f>
        <v>1</v>
      </c>
      <c r="G139" s="3">
        <v>1</v>
      </c>
    </row>
    <row r="140" spans="1:7" x14ac:dyDescent="0.3">
      <c r="A140" t="s">
        <v>670</v>
      </c>
      <c r="B140" s="3" t="s">
        <v>7</v>
      </c>
      <c r="C140" s="3">
        <v>2020</v>
      </c>
      <c r="D140" s="3" t="s">
        <v>177</v>
      </c>
      <c r="E140" s="3" t="str">
        <f>HYPERLINK("http://dx.doi.org/10.1016/j.enbuild.2020.110323","http://dx.doi.org/10.1016/j.enbuild.2020.110323")</f>
        <v>http://dx.doi.org/10.1016/j.enbuild.2020.110323</v>
      </c>
      <c r="F140" s="3">
        <f>IF(MATCH(B140,'scopus results'!B:B, 0), 1, 0)</f>
        <v>1</v>
      </c>
      <c r="G140" s="3">
        <v>1</v>
      </c>
    </row>
    <row r="141" spans="1:7" x14ac:dyDescent="0.3">
      <c r="A141" t="s">
        <v>671</v>
      </c>
      <c r="B141" s="1" t="s">
        <v>547</v>
      </c>
      <c r="C141" s="1">
        <v>2020</v>
      </c>
      <c r="D141" s="1" t="s">
        <v>231</v>
      </c>
      <c r="E141" s="1" t="str">
        <f>HYPERLINK("http://dx.doi.org/10.3390/su12218998","http://dx.doi.org/10.3390/su12218998")</f>
        <v>http://dx.doi.org/10.3390/su12218998</v>
      </c>
      <c r="F141" s="1" t="e">
        <f>IF(MATCH(B141,'scopus results'!B:B, 0), 1, 0)</f>
        <v>#N/A</v>
      </c>
      <c r="G141" s="1" t="e">
        <v>#N/A</v>
      </c>
    </row>
    <row r="142" spans="1:7" x14ac:dyDescent="0.3">
      <c r="A142" t="s">
        <v>672</v>
      </c>
      <c r="B142" s="3" t="s">
        <v>88</v>
      </c>
      <c r="C142" s="3">
        <v>2020</v>
      </c>
      <c r="D142" s="3" t="s">
        <v>253</v>
      </c>
      <c r="E142" s="3" t="str">
        <f>HYPERLINK("http://dx.doi.org/10.1016/j.buildenv.2020.107210","http://dx.doi.org/10.1016/j.buildenv.2020.107210")</f>
        <v>http://dx.doi.org/10.1016/j.buildenv.2020.107210</v>
      </c>
      <c r="F142" s="3">
        <f>IF(MATCH(B142,'scopus results'!B:B, 0), 1, 0)</f>
        <v>1</v>
      </c>
      <c r="G142" s="3">
        <v>1</v>
      </c>
    </row>
    <row r="143" spans="1:7" x14ac:dyDescent="0.3">
      <c r="A143" t="s">
        <v>900</v>
      </c>
      <c r="B143" s="3" t="s">
        <v>901</v>
      </c>
      <c r="C143" s="3">
        <v>2020</v>
      </c>
      <c r="D143" s="3" t="s">
        <v>902</v>
      </c>
      <c r="E143" s="3" t="str">
        <f>HYPERLINK("http://dx.doi.org/10.1016/j.conbuildmat.2020.119786","http://dx.doi.org/10.1016/j.conbuildmat.2020.119786")</f>
        <v>http://dx.doi.org/10.1016/j.conbuildmat.2020.119786</v>
      </c>
      <c r="F143" s="3">
        <f>IF(MATCH(B143,'scopus results'!B:B, 0), 1, 0)</f>
        <v>1</v>
      </c>
      <c r="G143" s="3">
        <v>1</v>
      </c>
    </row>
    <row r="144" spans="1:7" x14ac:dyDescent="0.3">
      <c r="A144" t="s">
        <v>903</v>
      </c>
      <c r="B144" s="3" t="s">
        <v>904</v>
      </c>
      <c r="C144" s="3">
        <v>2020</v>
      </c>
      <c r="D144" s="3" t="s">
        <v>905</v>
      </c>
      <c r="E144" s="3" t="str">
        <f>HYPERLINK("http://dx.doi.org/10.2478/acve-2020-0036","http://dx.doi.org/10.2478/acve-2020-0036")</f>
        <v>http://dx.doi.org/10.2478/acve-2020-0036</v>
      </c>
      <c r="F144" s="3">
        <f>IF(MATCH(B144,'scopus results'!B:B, 0), 1, 0)</f>
        <v>1</v>
      </c>
      <c r="G144" s="3">
        <v>1</v>
      </c>
    </row>
    <row r="145" spans="1:7" x14ac:dyDescent="0.3">
      <c r="A145" t="s">
        <v>673</v>
      </c>
      <c r="B145" s="3" t="s">
        <v>548</v>
      </c>
      <c r="C145" s="3">
        <v>2020</v>
      </c>
      <c r="D145" s="3" t="s">
        <v>269</v>
      </c>
      <c r="E145" s="3" t="str">
        <f>HYPERLINK("http://dx.doi.org/10.3390/su122410557","http://dx.doi.org/10.3390/su122410557")</f>
        <v>http://dx.doi.org/10.3390/su122410557</v>
      </c>
      <c r="F145" s="3">
        <f>IF(MATCH(B145,'scopus results'!B:B, 0), 1, 0)</f>
        <v>1</v>
      </c>
      <c r="G145" s="3">
        <v>1</v>
      </c>
    </row>
    <row r="146" spans="1:7" x14ac:dyDescent="0.3">
      <c r="A146" t="s">
        <v>906</v>
      </c>
      <c r="B146" s="1" t="s">
        <v>907</v>
      </c>
      <c r="C146" s="1">
        <v>2020</v>
      </c>
      <c r="D146" s="1" t="s">
        <v>908</v>
      </c>
      <c r="E146" s="1" t="str">
        <f>HYPERLINK("http://dx.doi.org/10.31285/AGRO.24.48","http://dx.doi.org/10.31285/AGRO.24.48")</f>
        <v>http://dx.doi.org/10.31285/AGRO.24.48</v>
      </c>
      <c r="F146" s="1" t="e">
        <f>IF(MATCH(B146,'scopus results'!B:B, 0), 1, 0)</f>
        <v>#N/A</v>
      </c>
      <c r="G146" s="1" t="e">
        <v>#N/A</v>
      </c>
    </row>
    <row r="147" spans="1:7" x14ac:dyDescent="0.3">
      <c r="A147" t="s">
        <v>909</v>
      </c>
      <c r="B147" s="3" t="s">
        <v>910</v>
      </c>
      <c r="C147" s="3">
        <v>2020</v>
      </c>
      <c r="D147" s="3" t="s">
        <v>911</v>
      </c>
      <c r="E147" s="3" t="str">
        <f>HYPERLINK("http://dx.doi.org/10.3389/fsufs.2020.544984","http://dx.doi.org/10.3389/fsufs.2020.544984")</f>
        <v>http://dx.doi.org/10.3389/fsufs.2020.544984</v>
      </c>
      <c r="F147" s="3">
        <f>IF(MATCH(B147,'scopus results'!B:B, 0), 1, 0)</f>
        <v>1</v>
      </c>
      <c r="G147" s="3">
        <v>1</v>
      </c>
    </row>
    <row r="148" spans="1:7" x14ac:dyDescent="0.3">
      <c r="A148" t="s">
        <v>912</v>
      </c>
      <c r="B148" s="3" t="s">
        <v>913</v>
      </c>
      <c r="C148" s="3">
        <v>2021</v>
      </c>
      <c r="D148" s="3" t="s">
        <v>914</v>
      </c>
      <c r="E148" s="3" t="str">
        <f>HYPERLINK("http://dx.doi.org/10.1080/1828051X.2021.2003726","http://dx.doi.org/10.1080/1828051X.2021.2003726")</f>
        <v>http://dx.doi.org/10.1080/1828051X.2021.2003726</v>
      </c>
      <c r="F148" s="3">
        <f>IF(MATCH(B148,'scopus results'!B:B, 0), 1, 0)</f>
        <v>1</v>
      </c>
      <c r="G148" s="3">
        <v>1</v>
      </c>
    </row>
    <row r="149" spans="1:7" x14ac:dyDescent="0.3">
      <c r="A149" t="s">
        <v>915</v>
      </c>
      <c r="B149" s="3" t="s">
        <v>916</v>
      </c>
      <c r="C149" s="3">
        <v>2021</v>
      </c>
      <c r="D149" s="3" t="s">
        <v>917</v>
      </c>
      <c r="E149" s="3" t="str">
        <f>HYPERLINK("http://dx.doi.org/10.4081/ija.2021.1789","http://dx.doi.org/10.4081/ija.2021.1789")</f>
        <v>http://dx.doi.org/10.4081/ija.2021.1789</v>
      </c>
      <c r="F149" s="3">
        <f>IF(MATCH(B149,'scopus results'!B:B, 0), 1, 0)</f>
        <v>1</v>
      </c>
      <c r="G149" s="3">
        <v>1</v>
      </c>
    </row>
    <row r="150" spans="1:7" x14ac:dyDescent="0.3">
      <c r="A150" t="s">
        <v>918</v>
      </c>
      <c r="B150" s="3" t="s">
        <v>919</v>
      </c>
      <c r="C150" s="3">
        <v>2021</v>
      </c>
      <c r="D150" s="3" t="s">
        <v>572</v>
      </c>
      <c r="E150" s="3" t="s">
        <v>572</v>
      </c>
      <c r="F150" s="3">
        <f>IF(MATCH(B150,'scopus results'!B:B, 0), 1, 0)</f>
        <v>1</v>
      </c>
      <c r="G150" s="3">
        <v>1</v>
      </c>
    </row>
    <row r="151" spans="1:7" x14ac:dyDescent="0.3">
      <c r="A151" t="s">
        <v>920</v>
      </c>
      <c r="B151" s="3" t="s">
        <v>921</v>
      </c>
      <c r="C151" s="3">
        <v>2021</v>
      </c>
      <c r="D151" s="3" t="s">
        <v>922</v>
      </c>
      <c r="E151" s="3" t="str">
        <f>HYPERLINK("http://dx.doi.org/10.3390/en14020497","http://dx.doi.org/10.3390/en14020497")</f>
        <v>http://dx.doi.org/10.3390/en14020497</v>
      </c>
      <c r="F151" s="3">
        <f>IF(MATCH(B151,'scopus results'!B:B, 0), 1, 0)</f>
        <v>1</v>
      </c>
      <c r="G151" s="3">
        <v>1</v>
      </c>
    </row>
    <row r="152" spans="1:7" x14ac:dyDescent="0.3">
      <c r="A152" t="s">
        <v>674</v>
      </c>
      <c r="B152" s="3" t="s">
        <v>57</v>
      </c>
      <c r="C152" s="3">
        <v>2021</v>
      </c>
      <c r="D152" s="3" t="s">
        <v>224</v>
      </c>
      <c r="E152" s="3" t="str">
        <f>HYPERLINK("http://dx.doi.org/10.1016/j.spc.2020.11.023","http://dx.doi.org/10.1016/j.spc.2020.11.023")</f>
        <v>http://dx.doi.org/10.1016/j.spc.2020.11.023</v>
      </c>
      <c r="F152" s="3">
        <f>IF(MATCH(B152,'scopus results'!B:B, 0), 1, 0)</f>
        <v>1</v>
      </c>
      <c r="G152" s="3">
        <v>1</v>
      </c>
    </row>
    <row r="153" spans="1:7" x14ac:dyDescent="0.3">
      <c r="A153" t="s">
        <v>923</v>
      </c>
      <c r="B153" s="1" t="s">
        <v>924</v>
      </c>
      <c r="C153" s="1">
        <v>2021</v>
      </c>
      <c r="D153" s="1" t="s">
        <v>925</v>
      </c>
      <c r="E153" s="1" t="str">
        <f>HYPERLINK("http://dx.doi.org/10.3390/ani11010115","http://dx.doi.org/10.3390/ani11010115")</f>
        <v>http://dx.doi.org/10.3390/ani11010115</v>
      </c>
      <c r="F153" s="1" t="e">
        <f>IF(MATCH(B153,'scopus results'!B:B, 0), 1, 0)</f>
        <v>#N/A</v>
      </c>
      <c r="G153" s="1" t="e">
        <v>#N/A</v>
      </c>
    </row>
    <row r="154" spans="1:7" x14ac:dyDescent="0.3">
      <c r="A154" t="s">
        <v>675</v>
      </c>
      <c r="B154" s="1" t="s">
        <v>549</v>
      </c>
      <c r="C154" s="1">
        <v>2021</v>
      </c>
      <c r="D154" s="1" t="s">
        <v>676</v>
      </c>
      <c r="E154" s="1" t="str">
        <f>HYPERLINK("http://dx.doi.org/10.1016/j.jclepro.2020.123399","http://dx.doi.org/10.1016/j.jclepro.2020.123399")</f>
        <v>http://dx.doi.org/10.1016/j.jclepro.2020.123399</v>
      </c>
      <c r="F154" s="1" t="e">
        <f>IF(MATCH(B154,'scopus results'!B:B, 0), 1, 0)</f>
        <v>#N/A</v>
      </c>
      <c r="G154" s="1" t="e">
        <v>#N/A</v>
      </c>
    </row>
    <row r="155" spans="1:7" x14ac:dyDescent="0.3">
      <c r="A155" t="s">
        <v>677</v>
      </c>
      <c r="B155" s="3" t="s">
        <v>134</v>
      </c>
      <c r="C155" s="3">
        <v>2021</v>
      </c>
      <c r="D155" s="3" t="s">
        <v>297</v>
      </c>
      <c r="E155" s="3" t="str">
        <f>HYPERLINK("http://dx.doi.org/10.1016/j.jclepro.2020.124593","http://dx.doi.org/10.1016/j.jclepro.2020.124593")</f>
        <v>http://dx.doi.org/10.1016/j.jclepro.2020.124593</v>
      </c>
      <c r="F155" s="3">
        <f>IF(MATCH(B155,'scopus results'!B:B, 0), 1, 0)</f>
        <v>1</v>
      </c>
      <c r="G155" s="3">
        <v>1</v>
      </c>
    </row>
    <row r="156" spans="1:7" x14ac:dyDescent="0.3">
      <c r="A156" t="s">
        <v>926</v>
      </c>
      <c r="B156" s="1" t="s">
        <v>927</v>
      </c>
      <c r="C156" s="1">
        <v>2021</v>
      </c>
      <c r="D156" s="1" t="s">
        <v>928</v>
      </c>
      <c r="E156" s="1" t="str">
        <f>HYPERLINK("http://dx.doi.org/10.1016/j.jclepro.2020.125198","http://dx.doi.org/10.1016/j.jclepro.2020.125198")</f>
        <v>http://dx.doi.org/10.1016/j.jclepro.2020.125198</v>
      </c>
      <c r="F156" s="1" t="e">
        <f>IF(MATCH(B156,'scopus results'!B:B, 0), 1, 0)</f>
        <v>#N/A</v>
      </c>
      <c r="G156" s="1" t="e">
        <v>#N/A</v>
      </c>
    </row>
    <row r="157" spans="1:7" x14ac:dyDescent="0.3">
      <c r="A157" t="s">
        <v>929</v>
      </c>
      <c r="B157" s="3" t="s">
        <v>930</v>
      </c>
      <c r="C157" s="3">
        <v>2021</v>
      </c>
      <c r="D157" s="3" t="s">
        <v>931</v>
      </c>
      <c r="E157" s="3" t="str">
        <f>HYPERLINK("http://dx.doi.org/10.3390/app11031262","http://dx.doi.org/10.3390/app11031262")</f>
        <v>http://dx.doi.org/10.3390/app11031262</v>
      </c>
      <c r="F157" s="3">
        <f>IF(MATCH(B157,'scopus results'!B:B, 0), 1, 0)</f>
        <v>1</v>
      </c>
      <c r="G157" s="3">
        <v>1</v>
      </c>
    </row>
    <row r="158" spans="1:7" x14ac:dyDescent="0.3">
      <c r="A158" t="s">
        <v>678</v>
      </c>
      <c r="B158" s="3" t="s">
        <v>71</v>
      </c>
      <c r="C158" s="3">
        <v>2021</v>
      </c>
      <c r="D158" s="3" t="s">
        <v>237</v>
      </c>
      <c r="E158" s="3" t="str">
        <f>HYPERLINK("http://dx.doi.org/10.1016/j.susmat.2021.e00253","http://dx.doi.org/10.1016/j.susmat.2021.e00253")</f>
        <v>http://dx.doi.org/10.1016/j.susmat.2021.e00253</v>
      </c>
      <c r="F158" s="3">
        <f>IF(MATCH(B158,'scopus results'!B:B, 0), 1, 0)</f>
        <v>1</v>
      </c>
      <c r="G158" s="3">
        <v>1</v>
      </c>
    </row>
    <row r="159" spans="1:7" x14ac:dyDescent="0.3">
      <c r="A159" t="s">
        <v>679</v>
      </c>
      <c r="B159" s="3" t="s">
        <v>142</v>
      </c>
      <c r="C159" s="3">
        <v>2021</v>
      </c>
      <c r="D159" s="3" t="s">
        <v>305</v>
      </c>
      <c r="E159" s="3" t="str">
        <f>HYPERLINK("http://dx.doi.org/10.1016/j.jclepro.2021.126192","http://dx.doi.org/10.1016/j.jclepro.2021.126192")</f>
        <v>http://dx.doi.org/10.1016/j.jclepro.2021.126192</v>
      </c>
      <c r="F159" s="3">
        <f>IF(MATCH(B159,'scopus results'!B:B, 0), 1, 0)</f>
        <v>1</v>
      </c>
      <c r="G159" s="3">
        <v>1</v>
      </c>
    </row>
    <row r="160" spans="1:7" x14ac:dyDescent="0.3">
      <c r="A160" t="s">
        <v>932</v>
      </c>
      <c r="B160" s="1" t="s">
        <v>933</v>
      </c>
      <c r="C160" s="1">
        <v>2021</v>
      </c>
      <c r="D160" s="1" t="s">
        <v>934</v>
      </c>
      <c r="E160" s="1" t="str">
        <f>HYPERLINK("http://dx.doi.org/10.3390/ma14051241","http://dx.doi.org/10.3390/ma14051241")</f>
        <v>http://dx.doi.org/10.3390/ma14051241</v>
      </c>
      <c r="F160" s="1" t="e">
        <f>IF(MATCH(B160,'scopus results'!B:B, 0), 1, 0)</f>
        <v>#N/A</v>
      </c>
      <c r="G160" s="1" t="e">
        <v>#N/A</v>
      </c>
    </row>
    <row r="161" spans="1:7" x14ac:dyDescent="0.3">
      <c r="A161" t="s">
        <v>680</v>
      </c>
      <c r="B161" s="3" t="s">
        <v>36</v>
      </c>
      <c r="C161" s="3">
        <v>2021</v>
      </c>
      <c r="D161" s="3" t="s">
        <v>203</v>
      </c>
      <c r="E161" s="3" t="str">
        <f>HYPERLINK("http://dx.doi.org/10.1016/j.resconrec.2021.105541","http://dx.doi.org/10.1016/j.resconrec.2021.105541")</f>
        <v>http://dx.doi.org/10.1016/j.resconrec.2021.105541</v>
      </c>
      <c r="F161" s="3">
        <f>IF(MATCH(B161,'scopus results'!B:B, 0), 1, 0)</f>
        <v>1</v>
      </c>
      <c r="G161" s="3">
        <v>1</v>
      </c>
    </row>
    <row r="162" spans="1:7" x14ac:dyDescent="0.3">
      <c r="A162" t="s">
        <v>935</v>
      </c>
      <c r="B162" s="3" t="s">
        <v>936</v>
      </c>
      <c r="C162" s="3">
        <v>2021</v>
      </c>
      <c r="D162" s="3" t="s">
        <v>937</v>
      </c>
      <c r="E162" s="3" t="str">
        <f>HYPERLINK("http://dx.doi.org/10.1016/j.jenvman.2021.112288","http://dx.doi.org/10.1016/j.jenvman.2021.112288")</f>
        <v>http://dx.doi.org/10.1016/j.jenvman.2021.112288</v>
      </c>
      <c r="F162" s="3">
        <f>IF(MATCH(B162,'scopus results'!B:B, 0), 1, 0)</f>
        <v>1</v>
      </c>
      <c r="G162" s="3">
        <v>1</v>
      </c>
    </row>
    <row r="163" spans="1:7" x14ac:dyDescent="0.3">
      <c r="A163" t="s">
        <v>681</v>
      </c>
      <c r="B163" s="1" t="s">
        <v>550</v>
      </c>
      <c r="C163" s="1">
        <v>2021</v>
      </c>
      <c r="D163" s="1" t="s">
        <v>682</v>
      </c>
      <c r="E163" s="1" t="str">
        <f>HYPERLINK("http://dx.doi.org/10.1007/s11356-021-13614-1","http://dx.doi.org/10.1007/s11356-021-13614-1")</f>
        <v>http://dx.doi.org/10.1007/s11356-021-13614-1</v>
      </c>
      <c r="F163" s="1" t="e">
        <f>IF(MATCH(B163,'scopus results'!B:B, 0), 1, 0)</f>
        <v>#N/A</v>
      </c>
      <c r="G163" s="1" t="e">
        <v>#N/A</v>
      </c>
    </row>
    <row r="164" spans="1:7" x14ac:dyDescent="0.3">
      <c r="A164" t="s">
        <v>683</v>
      </c>
      <c r="B164" s="3" t="s">
        <v>89</v>
      </c>
      <c r="C164" s="3">
        <v>2021</v>
      </c>
      <c r="D164" s="3" t="s">
        <v>254</v>
      </c>
      <c r="E164" s="3" t="str">
        <f>HYPERLINK("http://dx.doi.org/10.1016/j.matpr.2020.12.764","http://dx.doi.org/10.1016/j.matpr.2020.12.764")</f>
        <v>http://dx.doi.org/10.1016/j.matpr.2020.12.764</v>
      </c>
      <c r="F164" s="3">
        <f>IF(MATCH(B164,'scopus results'!B:B, 0), 1, 0)</f>
        <v>1</v>
      </c>
      <c r="G164" s="3">
        <v>1</v>
      </c>
    </row>
    <row r="165" spans="1:7" x14ac:dyDescent="0.3">
      <c r="A165" t="s">
        <v>684</v>
      </c>
      <c r="B165" s="3" t="s">
        <v>33</v>
      </c>
      <c r="C165" s="3">
        <v>2021</v>
      </c>
      <c r="D165" s="3" t="s">
        <v>200</v>
      </c>
      <c r="E165" s="3" t="str">
        <f>HYPERLINK("http://dx.doi.org/10.1111/gcbb.12825","http://dx.doi.org/10.1111/gcbb.12825")</f>
        <v>http://dx.doi.org/10.1111/gcbb.12825</v>
      </c>
      <c r="F165" s="3">
        <f>IF(MATCH(B165,'scopus results'!B:B, 0), 1, 0)</f>
        <v>1</v>
      </c>
      <c r="G165" s="3">
        <v>1</v>
      </c>
    </row>
    <row r="166" spans="1:7" x14ac:dyDescent="0.3">
      <c r="A166" t="s">
        <v>685</v>
      </c>
      <c r="B166" s="1" t="s">
        <v>551</v>
      </c>
      <c r="C166" s="1">
        <v>2021</v>
      </c>
      <c r="D166" s="1" t="s">
        <v>686</v>
      </c>
      <c r="E166" s="1" t="str">
        <f>HYPERLINK("http://dx.doi.org/10.1007/s11367-021-01909-x","http://dx.doi.org/10.1007/s11367-021-01909-x")</f>
        <v>http://dx.doi.org/10.1007/s11367-021-01909-x</v>
      </c>
      <c r="F166" s="1" t="e">
        <f>IF(MATCH(B166,'scopus results'!B:B, 0), 1, 0)</f>
        <v>#N/A</v>
      </c>
      <c r="G166" s="1" t="e">
        <v>#N/A</v>
      </c>
    </row>
    <row r="167" spans="1:7" x14ac:dyDescent="0.3">
      <c r="A167" t="s">
        <v>938</v>
      </c>
      <c r="B167" s="3" t="s">
        <v>939</v>
      </c>
      <c r="C167" s="3">
        <v>2021</v>
      </c>
      <c r="D167" s="3" t="s">
        <v>940</v>
      </c>
      <c r="E167" s="3" t="str">
        <f>HYPERLINK("http://dx.doi.org/10.3390/su13094976","http://dx.doi.org/10.3390/su13094976")</f>
        <v>http://dx.doi.org/10.3390/su13094976</v>
      </c>
      <c r="F167" s="3">
        <f>IF(MATCH(B167,'scopus results'!B:B, 0), 1, 0)</f>
        <v>1</v>
      </c>
      <c r="G167" s="3">
        <v>1</v>
      </c>
    </row>
    <row r="168" spans="1:7" x14ac:dyDescent="0.3">
      <c r="A168" t="s">
        <v>941</v>
      </c>
      <c r="B168" s="1" t="s">
        <v>942</v>
      </c>
      <c r="C168" s="1">
        <v>2021</v>
      </c>
      <c r="D168" s="1" t="s">
        <v>943</v>
      </c>
      <c r="E168" s="1" t="str">
        <f>HYPERLINK("http://dx.doi.org/10.3390/ani11051219","http://dx.doi.org/10.3390/ani11051219")</f>
        <v>http://dx.doi.org/10.3390/ani11051219</v>
      </c>
      <c r="F168" s="1" t="e">
        <f>IF(MATCH(B168,'scopus results'!B:B, 0), 1, 0)</f>
        <v>#N/A</v>
      </c>
      <c r="G168" s="1" t="e">
        <v>#N/A</v>
      </c>
    </row>
    <row r="169" spans="1:7" x14ac:dyDescent="0.3">
      <c r="A169" t="s">
        <v>944</v>
      </c>
      <c r="B169" s="3" t="s">
        <v>945</v>
      </c>
      <c r="C169" s="3">
        <v>2021</v>
      </c>
      <c r="D169" s="3" t="s">
        <v>946</v>
      </c>
      <c r="E169" s="3" t="str">
        <f>HYPERLINK("http://dx.doi.org/10.1002/app.51170","http://dx.doi.org/10.1002/app.51170")</f>
        <v>http://dx.doi.org/10.1002/app.51170</v>
      </c>
      <c r="F169" s="3">
        <f>IF(MATCH(B169,'scopus results'!B:B, 0), 1, 0)</f>
        <v>1</v>
      </c>
      <c r="G169" s="3">
        <v>1</v>
      </c>
    </row>
    <row r="170" spans="1:7" x14ac:dyDescent="0.3">
      <c r="A170" t="s">
        <v>687</v>
      </c>
      <c r="B170" s="3" t="s">
        <v>74</v>
      </c>
      <c r="C170" s="3">
        <v>2021</v>
      </c>
      <c r="D170" s="3" t="s">
        <v>240</v>
      </c>
      <c r="E170" s="3" t="str">
        <f>HYPERLINK("http://dx.doi.org/10.1007/s11367-021-01928-8","http://dx.doi.org/10.1007/s11367-021-01928-8")</f>
        <v>http://dx.doi.org/10.1007/s11367-021-01928-8</v>
      </c>
      <c r="F170" s="3">
        <f>IF(MATCH(B170,'scopus results'!B:B, 0), 1, 0)</f>
        <v>1</v>
      </c>
      <c r="G170" s="3">
        <v>1</v>
      </c>
    </row>
    <row r="171" spans="1:7" x14ac:dyDescent="0.3">
      <c r="A171" t="s">
        <v>688</v>
      </c>
      <c r="B171" s="3" t="s">
        <v>552</v>
      </c>
      <c r="C171" s="3">
        <v>2021</v>
      </c>
      <c r="D171" s="3" t="s">
        <v>280</v>
      </c>
      <c r="E171" s="3" t="str">
        <f>HYPERLINK("http://dx.doi.org/10.3390/en14123452","http://dx.doi.org/10.3390/en14123452")</f>
        <v>http://dx.doi.org/10.3390/en14123452</v>
      </c>
      <c r="F171" s="3">
        <f>IF(MATCH(B171,'scopus results'!B:B, 0), 1, 0)</f>
        <v>1</v>
      </c>
      <c r="G171" s="3">
        <v>1</v>
      </c>
    </row>
    <row r="172" spans="1:7" x14ac:dyDescent="0.3">
      <c r="A172" t="s">
        <v>947</v>
      </c>
      <c r="B172" s="3" t="s">
        <v>948</v>
      </c>
      <c r="C172" s="3">
        <v>2021</v>
      </c>
      <c r="D172" s="3" t="s">
        <v>949</v>
      </c>
      <c r="E172" s="3" t="str">
        <f>HYPERLINK("http://dx.doi.org/10.1177/00219983211031656","http://dx.doi.org/10.1177/00219983211031656")</f>
        <v>http://dx.doi.org/10.1177/00219983211031656</v>
      </c>
      <c r="F172" s="3">
        <f>IF(MATCH(B172,'scopus results'!B:B, 0), 1, 0)</f>
        <v>1</v>
      </c>
      <c r="G172" s="3">
        <v>1</v>
      </c>
    </row>
    <row r="173" spans="1:7" x14ac:dyDescent="0.3">
      <c r="A173" t="s">
        <v>950</v>
      </c>
      <c r="B173" s="1" t="s">
        <v>951</v>
      </c>
      <c r="C173" s="1">
        <v>2021</v>
      </c>
      <c r="D173" s="1" t="s">
        <v>952</v>
      </c>
      <c r="E173" s="1" t="str">
        <f>HYPERLINK("http://dx.doi.org/10.3389/fsufs.2021.663915","http://dx.doi.org/10.3389/fsufs.2021.663915")</f>
        <v>http://dx.doi.org/10.3389/fsufs.2021.663915</v>
      </c>
      <c r="F173" s="1" t="e">
        <f>IF(MATCH(B173,'scopus results'!B:B, 0), 1, 0)</f>
        <v>#N/A</v>
      </c>
      <c r="G173" s="1" t="e">
        <v>#N/A</v>
      </c>
    </row>
    <row r="174" spans="1:7" x14ac:dyDescent="0.3">
      <c r="A174" t="s">
        <v>689</v>
      </c>
      <c r="B174" s="1" t="s">
        <v>553</v>
      </c>
      <c r="C174" s="1">
        <v>2021</v>
      </c>
      <c r="D174" s="1" t="s">
        <v>690</v>
      </c>
      <c r="E174" s="1" t="str">
        <f>HYPERLINK("http://dx.doi.org/10.1016/j.jobe.2021.102998","http://dx.doi.org/10.1016/j.jobe.2021.102998")</f>
        <v>http://dx.doi.org/10.1016/j.jobe.2021.102998</v>
      </c>
      <c r="F174" s="1" t="e">
        <f>IF(MATCH(B174,'scopus results'!B:B, 0), 1, 0)</f>
        <v>#N/A</v>
      </c>
      <c r="G174" s="1" t="e">
        <v>#N/A</v>
      </c>
    </row>
    <row r="175" spans="1:7" x14ac:dyDescent="0.3">
      <c r="A175" t="s">
        <v>953</v>
      </c>
      <c r="B175" s="3" t="s">
        <v>954</v>
      </c>
      <c r="C175" s="3">
        <v>2021</v>
      </c>
      <c r="D175" s="3" t="s">
        <v>955</v>
      </c>
      <c r="E175" s="3" t="str">
        <f>HYPERLINK("http://dx.doi.org/10.1039/d1nj03834f","http://dx.doi.org/10.1039/d1nj03834f")</f>
        <v>http://dx.doi.org/10.1039/d1nj03834f</v>
      </c>
      <c r="F175" s="3">
        <f>IF(MATCH(B175,'scopus results'!B:B, 0), 1, 0)</f>
        <v>1</v>
      </c>
      <c r="G175" s="3">
        <v>1</v>
      </c>
    </row>
    <row r="176" spans="1:7" x14ac:dyDescent="0.3">
      <c r="A176" t="s">
        <v>691</v>
      </c>
      <c r="B176" s="3" t="s">
        <v>135</v>
      </c>
      <c r="C176" s="3">
        <v>2021</v>
      </c>
      <c r="D176" s="3" t="s">
        <v>298</v>
      </c>
      <c r="E176" s="3" t="str">
        <f>HYPERLINK("http://dx.doi.org/10.1016/j.resconrec.2021.105838","http://dx.doi.org/10.1016/j.resconrec.2021.105838")</f>
        <v>http://dx.doi.org/10.1016/j.resconrec.2021.105838</v>
      </c>
      <c r="F176" s="3">
        <f>IF(MATCH(B176,'scopus results'!B:B, 0), 1, 0)</f>
        <v>1</v>
      </c>
      <c r="G176" s="3">
        <v>1</v>
      </c>
    </row>
    <row r="177" spans="1:8" x14ac:dyDescent="0.3">
      <c r="A177" t="s">
        <v>956</v>
      </c>
      <c r="B177" s="3" t="s">
        <v>957</v>
      </c>
      <c r="C177" s="3">
        <v>2021</v>
      </c>
      <c r="D177" s="3" t="s">
        <v>958</v>
      </c>
      <c r="E177" s="3" t="str">
        <f>HYPERLINK("http://dx.doi.org/10.3390/en14185654","http://dx.doi.org/10.3390/en14185654")</f>
        <v>http://dx.doi.org/10.3390/en14185654</v>
      </c>
      <c r="F177" s="3">
        <f>IF(MATCH(B177,'scopus results'!B:B, 0), 1, 0)</f>
        <v>1</v>
      </c>
      <c r="G177" s="3">
        <v>1</v>
      </c>
    </row>
    <row r="178" spans="1:8" x14ac:dyDescent="0.3">
      <c r="A178" t="s">
        <v>959</v>
      </c>
      <c r="B178" s="1" t="s">
        <v>960</v>
      </c>
      <c r="C178" s="1">
        <v>2021</v>
      </c>
      <c r="D178" s="1" t="s">
        <v>961</v>
      </c>
      <c r="E178" s="1" t="str">
        <f>HYPERLINK("http://dx.doi.org/10.3390/ma14174978","http://dx.doi.org/10.3390/ma14174978")</f>
        <v>http://dx.doi.org/10.3390/ma14174978</v>
      </c>
      <c r="F178" s="1" t="e">
        <f>IF(MATCH(B178,'scopus results'!B:B, 0), 1, 0)</f>
        <v>#N/A</v>
      </c>
      <c r="G178" s="1" t="e">
        <v>#N/A</v>
      </c>
    </row>
    <row r="179" spans="1:8" x14ac:dyDescent="0.3">
      <c r="A179" t="s">
        <v>692</v>
      </c>
      <c r="B179" s="1" t="s">
        <v>554</v>
      </c>
      <c r="C179" s="1">
        <v>2021</v>
      </c>
      <c r="D179" s="1" t="s">
        <v>693</v>
      </c>
      <c r="E179" s="1" t="str">
        <f>HYPERLINK("http://dx.doi.org/10.1016/j.jclepro.2021.128852","http://dx.doi.org/10.1016/j.jclepro.2021.128852")</f>
        <v>http://dx.doi.org/10.1016/j.jclepro.2021.128852</v>
      </c>
      <c r="F179" s="1" t="e">
        <f>IF(MATCH(B179,'scopus results'!B:B, 0), 1, 0)</f>
        <v>#N/A</v>
      </c>
      <c r="G179" s="1" t="e">
        <v>#N/A</v>
      </c>
    </row>
    <row r="180" spans="1:8" x14ac:dyDescent="0.3">
      <c r="A180" t="s">
        <v>962</v>
      </c>
      <c r="B180" s="3" t="s">
        <v>963</v>
      </c>
      <c r="C180" s="3">
        <v>2021</v>
      </c>
      <c r="D180" s="3" t="s">
        <v>964</v>
      </c>
      <c r="E180" s="3" t="str">
        <f>HYPERLINK("http://dx.doi.org/10.1016/j.livsci.2021.104697","http://dx.doi.org/10.1016/j.livsci.2021.104697")</f>
        <v>http://dx.doi.org/10.1016/j.livsci.2021.104697</v>
      </c>
      <c r="F180" s="3">
        <f>IF(MATCH(B180,'scopus results'!B:B, 0), 1, 0)</f>
        <v>1</v>
      </c>
      <c r="G180" s="3">
        <v>1</v>
      </c>
    </row>
    <row r="181" spans="1:8" x14ac:dyDescent="0.3">
      <c r="A181" t="s">
        <v>965</v>
      </c>
      <c r="B181" s="3" t="s">
        <v>966</v>
      </c>
      <c r="C181" s="3">
        <v>2021</v>
      </c>
      <c r="D181" s="3" t="s">
        <v>967</v>
      </c>
      <c r="E181" s="3" t="str">
        <f>HYPERLINK("http://dx.doi.org/10.1016/j.dib.2021.107356","http://dx.doi.org/10.1016/j.dib.2021.107356")</f>
        <v>http://dx.doi.org/10.1016/j.dib.2021.107356</v>
      </c>
      <c r="F181" s="3">
        <f>IF(MATCH(B181,'scopus results'!B:B, 0), 1, 0)</f>
        <v>1</v>
      </c>
      <c r="G181" s="3">
        <v>1</v>
      </c>
    </row>
    <row r="182" spans="1:8" x14ac:dyDescent="0.3">
      <c r="A182" t="s">
        <v>968</v>
      </c>
      <c r="B182" s="3" t="s">
        <v>969</v>
      </c>
      <c r="C182" s="3">
        <v>2021</v>
      </c>
      <c r="D182" s="3" t="s">
        <v>970</v>
      </c>
      <c r="E182" s="3" t="str">
        <f>HYPERLINK("http://dx.doi.org/10.1016/j.smallrumres.2021.106516","http://dx.doi.org/10.1016/j.smallrumres.2021.106516")</f>
        <v>http://dx.doi.org/10.1016/j.smallrumres.2021.106516</v>
      </c>
      <c r="F182" s="3">
        <f>IF(MATCH(B182,'scopus results'!B:B, 0), 1, 0)</f>
        <v>1</v>
      </c>
      <c r="G182" s="3">
        <v>1</v>
      </c>
    </row>
    <row r="183" spans="1:8" x14ac:dyDescent="0.3">
      <c r="A183" t="s">
        <v>694</v>
      </c>
      <c r="B183" s="1" t="s">
        <v>555</v>
      </c>
      <c r="C183" s="1">
        <v>2021</v>
      </c>
      <c r="D183" s="1" t="s">
        <v>695</v>
      </c>
      <c r="E183" s="1" t="str">
        <f>HYPERLINK("http://dx.doi.org/10.1016/j.cscm.2021.e00682","http://dx.doi.org/10.1016/j.cscm.2021.e00682")</f>
        <v>http://dx.doi.org/10.1016/j.cscm.2021.e00682</v>
      </c>
      <c r="F183" s="1" t="e">
        <f>IF(MATCH(B183,'scopus results'!B:B, 0), 1, 0)</f>
        <v>#N/A</v>
      </c>
      <c r="G183" s="1" t="e">
        <v>#N/A</v>
      </c>
    </row>
    <row r="184" spans="1:8" x14ac:dyDescent="0.3">
      <c r="A184" t="s">
        <v>971</v>
      </c>
      <c r="B184" s="1" t="s">
        <v>972</v>
      </c>
      <c r="C184" s="1">
        <v>2021</v>
      </c>
      <c r="D184" s="1" t="s">
        <v>973</v>
      </c>
      <c r="E184" s="1" t="str">
        <f>HYPERLINK("http://dx.doi.org/10.3390/resources10100104","http://dx.doi.org/10.3390/resources10100104")</f>
        <v>http://dx.doi.org/10.3390/resources10100104</v>
      </c>
      <c r="F184" s="1" t="e">
        <f>IF(MATCH(B184,'scopus results'!B:B, 0), 1, 0)</f>
        <v>#N/A</v>
      </c>
      <c r="G184" s="1" t="e">
        <v>#N/A</v>
      </c>
    </row>
    <row r="185" spans="1:8" x14ac:dyDescent="0.3">
      <c r="A185" t="s">
        <v>974</v>
      </c>
      <c r="B185" s="1" t="s">
        <v>975</v>
      </c>
      <c r="C185" s="1">
        <v>2021</v>
      </c>
      <c r="D185" s="1" t="s">
        <v>976</v>
      </c>
      <c r="E185" s="1" t="str">
        <f>HYPERLINK("http://dx.doi.org/10.3390/membranes11100782","http://dx.doi.org/10.3390/membranes11100782")</f>
        <v>http://dx.doi.org/10.3390/membranes11100782</v>
      </c>
      <c r="F185" s="1" t="e">
        <f>IF(MATCH(B185,'scopus results'!B:B, 0), 1, 0)</f>
        <v>#N/A</v>
      </c>
      <c r="G185" s="1" t="e">
        <v>#N/A</v>
      </c>
    </row>
    <row r="186" spans="1:8" x14ac:dyDescent="0.3">
      <c r="A186" t="s">
        <v>696</v>
      </c>
      <c r="B186" s="3" t="s">
        <v>122</v>
      </c>
      <c r="C186" s="3">
        <v>2022</v>
      </c>
      <c r="D186" s="3" t="s">
        <v>286</v>
      </c>
      <c r="E186" s="3" t="str">
        <f>HYPERLINK("http://dx.doi.org/10.1007/s11356-021-16839-2","http://dx.doi.org/10.1007/s11356-021-16839-2")</f>
        <v>http://dx.doi.org/10.1007/s11356-021-16839-2</v>
      </c>
      <c r="F186" s="3">
        <f>IF(MATCH(B186,'scopus results'!B:B, 0), 1, 0)</f>
        <v>1</v>
      </c>
      <c r="G186" s="3">
        <v>1</v>
      </c>
    </row>
    <row r="187" spans="1:8" x14ac:dyDescent="0.3">
      <c r="A187" t="s">
        <v>977</v>
      </c>
      <c r="B187" s="3" t="s">
        <v>978</v>
      </c>
      <c r="C187" s="3">
        <v>2022</v>
      </c>
      <c r="D187" s="3" t="s">
        <v>979</v>
      </c>
      <c r="E187" s="3" t="str">
        <f>HYPERLINK("http://dx.doi.org/10.1002/jctb.6923","http://dx.doi.org/10.1002/jctb.6923")</f>
        <v>http://dx.doi.org/10.1002/jctb.6923</v>
      </c>
      <c r="F187" s="3">
        <f>IF(MATCH(B187,'scopus results'!B:B, 0), 1, 0)</f>
        <v>1</v>
      </c>
      <c r="G187" s="3">
        <v>1</v>
      </c>
    </row>
    <row r="188" spans="1:8" x14ac:dyDescent="0.3">
      <c r="A188" t="s">
        <v>980</v>
      </c>
      <c r="B188" s="1" t="s">
        <v>981</v>
      </c>
      <c r="C188" s="1">
        <v>2021</v>
      </c>
      <c r="D188" s="1" t="s">
        <v>982</v>
      </c>
      <c r="E188" s="1" t="str">
        <f>HYPERLINK("http://dx.doi.org/10.1515/pz-2021-0007","http://dx.doi.org/10.1515/pz-2021-0007")</f>
        <v>http://dx.doi.org/10.1515/pz-2021-0007</v>
      </c>
      <c r="F188" s="1" t="e">
        <f>IF(MATCH(B188,'scopus results'!B:B, 0), 1, 0)</f>
        <v>#N/A</v>
      </c>
      <c r="G188" s="1" t="e">
        <v>#N/A</v>
      </c>
    </row>
    <row r="189" spans="1:8" x14ac:dyDescent="0.3">
      <c r="A189" t="s">
        <v>983</v>
      </c>
      <c r="B189" s="1" t="s">
        <v>984</v>
      </c>
      <c r="C189" s="1">
        <v>2022</v>
      </c>
      <c r="D189" s="1" t="s">
        <v>985</v>
      </c>
      <c r="E189" s="8" t="str">
        <f>HYPERLINK("http://dx.doi.org/10.1590/0001-3765202220201365","http://dx.doi.org/10.1590/0001-3765202220201365")</f>
        <v>http://dx.doi.org/10.1590/0001-3765202220201365</v>
      </c>
      <c r="F189" s="1" t="e">
        <f>IF(MATCH(B189,'scopus results'!B:B, 0), 1, 0)</f>
        <v>#N/A</v>
      </c>
      <c r="G189" s="1" t="e">
        <v>#N/A</v>
      </c>
      <c r="H189">
        <v>0</v>
      </c>
    </row>
    <row r="190" spans="1:8" x14ac:dyDescent="0.3">
      <c r="A190" t="s">
        <v>986</v>
      </c>
      <c r="B190" s="3" t="s">
        <v>987</v>
      </c>
      <c r="C190" s="3">
        <v>2022</v>
      </c>
      <c r="D190" s="3" t="s">
        <v>988</v>
      </c>
      <c r="E190" s="3" t="str">
        <f>HYPERLINK("http://dx.doi.org/10.3390/su14010365","http://dx.doi.org/10.3390/su14010365")</f>
        <v>http://dx.doi.org/10.3390/su14010365</v>
      </c>
      <c r="F190" s="3">
        <f>IF(MATCH(B190,'scopus results'!B:B, 0), 1, 0)</f>
        <v>1</v>
      </c>
      <c r="G190" s="3">
        <v>1</v>
      </c>
    </row>
    <row r="191" spans="1:8" x14ac:dyDescent="0.3">
      <c r="A191" t="s">
        <v>989</v>
      </c>
      <c r="B191" s="3" t="s">
        <v>990</v>
      </c>
      <c r="C191" s="3">
        <v>2022</v>
      </c>
      <c r="D191" s="3" t="s">
        <v>991</v>
      </c>
      <c r="E191" s="3" t="str">
        <f>HYPERLINK("http://dx.doi.org/10.1016/j.conbuildmat.2022.126330","http://dx.doi.org/10.1016/j.conbuildmat.2022.126330")</f>
        <v>http://dx.doi.org/10.1016/j.conbuildmat.2022.126330</v>
      </c>
      <c r="F191" s="3">
        <f>IF(MATCH(B191,'scopus results'!B:B, 0), 1, 0)</f>
        <v>1</v>
      </c>
      <c r="G191" s="3">
        <v>1</v>
      </c>
    </row>
    <row r="192" spans="1:8" x14ac:dyDescent="0.3">
      <c r="A192" t="s">
        <v>992</v>
      </c>
      <c r="B192" s="3" t="s">
        <v>993</v>
      </c>
      <c r="C192" s="3">
        <v>2022</v>
      </c>
      <c r="D192" s="3" t="s">
        <v>994</v>
      </c>
      <c r="E192" s="3" t="str">
        <f>HYPERLINK("http://dx.doi.org/10.3390/agronomy12020388","http://dx.doi.org/10.3390/agronomy12020388")</f>
        <v>http://dx.doi.org/10.3390/agronomy12020388</v>
      </c>
      <c r="F192" s="3">
        <f>IF(MATCH(B192,'scopus results'!B:B, 0), 1, 0)</f>
        <v>1</v>
      </c>
      <c r="G192" s="3">
        <v>1</v>
      </c>
    </row>
    <row r="193" spans="1:9" x14ac:dyDescent="0.3">
      <c r="A193" t="s">
        <v>995</v>
      </c>
      <c r="B193" s="3" t="s">
        <v>996</v>
      </c>
      <c r="C193" s="3">
        <v>2022</v>
      </c>
      <c r="D193" s="3" t="s">
        <v>997</v>
      </c>
      <c r="E193" s="3" t="str">
        <f>HYPERLINK("http://dx.doi.org/10.3390/buildings12020220","http://dx.doi.org/10.3390/buildings12020220")</f>
        <v>http://dx.doi.org/10.3390/buildings12020220</v>
      </c>
      <c r="F193" s="3">
        <f>IF(MATCH(B193,'scopus results'!B:B, 0), 1, 0)</f>
        <v>1</v>
      </c>
      <c r="G193" s="3">
        <v>1</v>
      </c>
    </row>
    <row r="194" spans="1:9" x14ac:dyDescent="0.3">
      <c r="A194" t="s">
        <v>697</v>
      </c>
      <c r="B194" s="3" t="s">
        <v>124</v>
      </c>
      <c r="C194" s="3">
        <v>2022</v>
      </c>
      <c r="D194" s="3" t="s">
        <v>287</v>
      </c>
      <c r="E194" s="3" t="str">
        <f>HYPERLINK("http://dx.doi.org/10.3390/su14042109","http://dx.doi.org/10.3390/su14042109")</f>
        <v>http://dx.doi.org/10.3390/su14042109</v>
      </c>
      <c r="F194" s="3">
        <f>IF(MATCH(B194,'scopus results'!B:B, 0), 1, 0)</f>
        <v>1</v>
      </c>
      <c r="G194" s="3">
        <v>1</v>
      </c>
    </row>
    <row r="195" spans="1:9" x14ac:dyDescent="0.3">
      <c r="A195" t="s">
        <v>998</v>
      </c>
      <c r="B195" s="3" t="s">
        <v>999</v>
      </c>
      <c r="C195" s="3">
        <v>2022</v>
      </c>
      <c r="D195" s="3" t="s">
        <v>1000</v>
      </c>
      <c r="E195" s="3" t="str">
        <f>HYPERLINK("http://dx.doi.org/10.3390/su14031077","http://dx.doi.org/10.3390/su14031077")</f>
        <v>http://dx.doi.org/10.3390/su14031077</v>
      </c>
      <c r="F195" s="3">
        <f>IF(MATCH(B195,'scopus results'!B:B, 0), 1, 0)</f>
        <v>1</v>
      </c>
      <c r="G195" s="3">
        <v>1</v>
      </c>
    </row>
    <row r="196" spans="1:9" x14ac:dyDescent="0.3">
      <c r="A196" t="s">
        <v>698</v>
      </c>
      <c r="B196" s="3" t="s">
        <v>138</v>
      </c>
      <c r="C196" s="3">
        <v>2022</v>
      </c>
      <c r="D196" s="3" t="s">
        <v>301</v>
      </c>
      <c r="E196" s="3" t="str">
        <f>HYPERLINK("http://dx.doi.org/10.3390/su14031081","http://dx.doi.org/10.3390/su14031081")</f>
        <v>http://dx.doi.org/10.3390/su14031081</v>
      </c>
      <c r="F196" s="3">
        <f>IF(MATCH(B196,'scopus results'!B:B, 0), 1, 0)</f>
        <v>1</v>
      </c>
      <c r="G196" s="3">
        <v>1</v>
      </c>
    </row>
    <row r="197" spans="1:9" x14ac:dyDescent="0.3">
      <c r="A197" t="s">
        <v>1001</v>
      </c>
      <c r="B197" s="3" t="s">
        <v>1002</v>
      </c>
      <c r="C197" s="3">
        <v>2022</v>
      </c>
      <c r="D197" s="3" t="s">
        <v>1003</v>
      </c>
      <c r="E197" s="3" t="str">
        <f>HYPERLINK("http://dx.doi.org/10.1016/j.smallrumres.2022.106637","http://dx.doi.org/10.1016/j.smallrumres.2022.106637")</f>
        <v>http://dx.doi.org/10.1016/j.smallrumres.2022.106637</v>
      </c>
      <c r="F197" s="3">
        <f>IF(MATCH(B197,'scopus results'!B:B, 0), 1, 0)</f>
        <v>1</v>
      </c>
      <c r="G197" s="3">
        <v>1</v>
      </c>
    </row>
    <row r="198" spans="1:9" x14ac:dyDescent="0.3">
      <c r="A198" t="s">
        <v>699</v>
      </c>
      <c r="B198" s="3" t="s">
        <v>40</v>
      </c>
      <c r="C198" s="3">
        <v>2022</v>
      </c>
      <c r="D198" s="3" t="s">
        <v>207</v>
      </c>
      <c r="E198" s="3" t="str">
        <f>HYPERLINK("http://dx.doi.org/10.1007/s40999-022-00701-8","http://dx.doi.org/10.1007/s40999-022-00701-8")</f>
        <v>http://dx.doi.org/10.1007/s40999-022-00701-8</v>
      </c>
      <c r="F198" s="3">
        <f>IF(MATCH(B198,'scopus results'!B:B, 0), 1, 0)</f>
        <v>1</v>
      </c>
      <c r="G198" s="3">
        <v>1</v>
      </c>
    </row>
    <row r="199" spans="1:9" x14ac:dyDescent="0.3">
      <c r="A199" t="s">
        <v>700</v>
      </c>
      <c r="B199" s="3" t="s">
        <v>69</v>
      </c>
      <c r="C199" s="3">
        <v>2022</v>
      </c>
      <c r="D199" s="3" t="s">
        <v>236</v>
      </c>
      <c r="E199" s="3" t="str">
        <f>HYPERLINK("http://dx.doi.org/10.1016/j.jobe.2022.104234","http://dx.doi.org/10.1016/j.jobe.2022.104234")</f>
        <v>http://dx.doi.org/10.1016/j.jobe.2022.104234</v>
      </c>
      <c r="F199" s="3">
        <f>IF(MATCH(B199,'scopus results'!B:B, 0), 1, 0)</f>
        <v>1</v>
      </c>
      <c r="G199" s="3">
        <v>1</v>
      </c>
    </row>
    <row r="200" spans="1:9" x14ac:dyDescent="0.3">
      <c r="A200" t="s">
        <v>1004</v>
      </c>
      <c r="B200" s="3" t="s">
        <v>1005</v>
      </c>
      <c r="C200" s="3">
        <v>2022</v>
      </c>
      <c r="D200" s="3" t="s">
        <v>1006</v>
      </c>
      <c r="E200" s="3" t="str">
        <f>HYPERLINK("http://dx.doi.org/10.1080/19397038.2022.2042620","http://dx.doi.org/10.1080/19397038.2022.2042620")</f>
        <v>http://dx.doi.org/10.1080/19397038.2022.2042620</v>
      </c>
      <c r="F200" s="3">
        <f>IF(MATCH(B200,'scopus results'!B:B, 0), 1, 0)</f>
        <v>1</v>
      </c>
      <c r="G200" s="3">
        <v>1</v>
      </c>
    </row>
    <row r="201" spans="1:9" x14ac:dyDescent="0.3">
      <c r="A201" t="s">
        <v>1007</v>
      </c>
      <c r="B201" s="3" t="s">
        <v>1008</v>
      </c>
      <c r="C201" s="3">
        <v>2022</v>
      </c>
      <c r="D201" s="3" t="s">
        <v>1009</v>
      </c>
      <c r="E201" s="3" t="str">
        <f>HYPERLINK("http://dx.doi.org/10.3390/ma15051638","http://dx.doi.org/10.3390/ma15051638")</f>
        <v>http://dx.doi.org/10.3390/ma15051638</v>
      </c>
      <c r="F201" s="3">
        <f>IF(MATCH(B201,'scopus results'!B:B, 0), 1, 0)</f>
        <v>1</v>
      </c>
      <c r="G201" s="3">
        <v>1</v>
      </c>
    </row>
    <row r="202" spans="1:9" x14ac:dyDescent="0.3">
      <c r="A202" t="s">
        <v>701</v>
      </c>
      <c r="B202" s="11" t="s">
        <v>556</v>
      </c>
      <c r="C202" s="11">
        <v>2022</v>
      </c>
      <c r="D202" s="11" t="s">
        <v>572</v>
      </c>
      <c r="E202" s="11" t="s">
        <v>572</v>
      </c>
      <c r="F202" s="11" t="e">
        <f>IF(MATCH(B202,'scopus results'!B:B, 0), 1, 0)</f>
        <v>#N/A</v>
      </c>
      <c r="G202" s="11" t="e">
        <v>#N/A</v>
      </c>
      <c r="H202">
        <v>1</v>
      </c>
      <c r="I202" s="10" t="s">
        <v>1541</v>
      </c>
    </row>
    <row r="203" spans="1:9" x14ac:dyDescent="0.3">
      <c r="A203" t="s">
        <v>1010</v>
      </c>
      <c r="B203" s="3" t="s">
        <v>1011</v>
      </c>
      <c r="C203" s="3">
        <v>2022</v>
      </c>
      <c r="D203" s="3" t="s">
        <v>1012</v>
      </c>
      <c r="E203" s="3" t="str">
        <f>HYPERLINK("http://dx.doi.org/10.1016/j.scitotenv.2022.154812","http://dx.doi.org/10.1016/j.scitotenv.2022.154812")</f>
        <v>http://dx.doi.org/10.1016/j.scitotenv.2022.154812</v>
      </c>
      <c r="F203" s="3">
        <f>IF(MATCH(B203,'scopus results'!B:B, 0), 1, 0)</f>
        <v>1</v>
      </c>
      <c r="G203" s="3">
        <v>1</v>
      </c>
    </row>
    <row r="204" spans="1:9" x14ac:dyDescent="0.3">
      <c r="A204" t="s">
        <v>1013</v>
      </c>
      <c r="B204" s="3" t="s">
        <v>1014</v>
      </c>
      <c r="C204" s="3">
        <v>2022</v>
      </c>
      <c r="D204" s="3" t="s">
        <v>1015</v>
      </c>
      <c r="E204" s="3" t="str">
        <f>HYPERLINK("http://dx.doi.org/10.1016/j.jclepro.2022.131518","http://dx.doi.org/10.1016/j.jclepro.2022.131518")</f>
        <v>http://dx.doi.org/10.1016/j.jclepro.2022.131518</v>
      </c>
      <c r="F204" s="3">
        <f>IF(MATCH(B204,'scopus results'!B:B, 0), 1, 0)</f>
        <v>1</v>
      </c>
      <c r="G204" s="3">
        <v>1</v>
      </c>
    </row>
    <row r="205" spans="1:9" x14ac:dyDescent="0.3">
      <c r="A205" t="s">
        <v>1016</v>
      </c>
      <c r="B205" s="3" t="s">
        <v>1017</v>
      </c>
      <c r="C205" s="3">
        <v>2022</v>
      </c>
      <c r="D205" s="3" t="s">
        <v>1018</v>
      </c>
      <c r="E205" s="3" t="str">
        <f>HYPERLINK("http://dx.doi.org/10.1016/j.smallrumres.2022.106676","http://dx.doi.org/10.1016/j.smallrumres.2022.106676")</f>
        <v>http://dx.doi.org/10.1016/j.smallrumres.2022.106676</v>
      </c>
      <c r="F205" s="3">
        <f>IF(MATCH(B205,'scopus results'!B:B, 0), 1, 0)</f>
        <v>1</v>
      </c>
      <c r="G205" s="3">
        <v>1</v>
      </c>
    </row>
    <row r="206" spans="1:9" x14ac:dyDescent="0.3">
      <c r="A206" t="s">
        <v>1019</v>
      </c>
      <c r="B206" s="1" t="s">
        <v>1020</v>
      </c>
      <c r="C206" s="1">
        <v>2022</v>
      </c>
      <c r="D206" s="1" t="s">
        <v>1021</v>
      </c>
      <c r="E206" s="1" t="str">
        <f>HYPERLINK("http://dx.doi.org/10.3168/jds.2021-21098","http://dx.doi.org/10.3168/jds.2021-21098")</f>
        <v>http://dx.doi.org/10.3168/jds.2021-21098</v>
      </c>
      <c r="F206" s="1" t="e">
        <f>IF(MATCH(B206,'scopus results'!B:B, 0), 1, 0)</f>
        <v>#N/A</v>
      </c>
      <c r="G206" s="1" t="e">
        <v>#N/A</v>
      </c>
    </row>
    <row r="207" spans="1:9" x14ac:dyDescent="0.3">
      <c r="A207" t="s">
        <v>702</v>
      </c>
      <c r="B207" s="3" t="s">
        <v>96</v>
      </c>
      <c r="C207" s="3">
        <v>2022</v>
      </c>
      <c r="D207" s="3" t="s">
        <v>261</v>
      </c>
      <c r="E207" s="3" t="str">
        <f>HYPERLINK("http://dx.doi.org/10.3390/resources11050041","http://dx.doi.org/10.3390/resources11050041")</f>
        <v>http://dx.doi.org/10.3390/resources11050041</v>
      </c>
      <c r="F207" s="3">
        <f>IF(MATCH(B207,'scopus results'!B:B, 0), 1, 0)</f>
        <v>1</v>
      </c>
      <c r="G207" s="3">
        <v>1</v>
      </c>
    </row>
    <row r="208" spans="1:9" x14ac:dyDescent="0.3">
      <c r="A208" t="s">
        <v>1022</v>
      </c>
      <c r="B208" s="3" t="s">
        <v>1023</v>
      </c>
      <c r="C208" s="3">
        <v>2022</v>
      </c>
      <c r="D208" s="3" t="s">
        <v>1024</v>
      </c>
      <c r="E208" s="3" t="str">
        <f>HYPERLINK("http://dx.doi.org/10.3390/en15093008","http://dx.doi.org/10.3390/en15093008")</f>
        <v>http://dx.doi.org/10.3390/en15093008</v>
      </c>
      <c r="F208" s="3">
        <f>IF(MATCH(B208,'scopus results'!B:B, 0), 1, 0)</f>
        <v>1</v>
      </c>
      <c r="G208" s="3">
        <v>1</v>
      </c>
    </row>
    <row r="209" spans="1:9" x14ac:dyDescent="0.3">
      <c r="A209" t="s">
        <v>1025</v>
      </c>
      <c r="B209" s="3" t="s">
        <v>1026</v>
      </c>
      <c r="C209" s="3">
        <v>2022</v>
      </c>
      <c r="D209" s="3" t="s">
        <v>1027</v>
      </c>
      <c r="E209" s="3" t="str">
        <f>HYPERLINK("http://dx.doi.org/10.3390/ijms23115920","http://dx.doi.org/10.3390/ijms23115920")</f>
        <v>http://dx.doi.org/10.3390/ijms23115920</v>
      </c>
      <c r="F209" s="3">
        <f>IF(MATCH(B209,'scopus results'!B:B, 0), 1, 0)</f>
        <v>1</v>
      </c>
      <c r="G209" s="3">
        <v>1</v>
      </c>
    </row>
    <row r="210" spans="1:9" x14ac:dyDescent="0.3">
      <c r="A210" t="s">
        <v>703</v>
      </c>
      <c r="B210" s="3" t="s">
        <v>146</v>
      </c>
      <c r="C210" s="3">
        <v>2023</v>
      </c>
      <c r="D210" s="3" t="s">
        <v>309</v>
      </c>
      <c r="E210" s="3" t="str">
        <f>HYPERLINK("http://dx.doi.org/10.1007/s00289-022-04295-y","http://dx.doi.org/10.1007/s00289-022-04295-y")</f>
        <v>http://dx.doi.org/10.1007/s00289-022-04295-y</v>
      </c>
      <c r="F210" s="3">
        <f>IF(MATCH(B210,'scopus results'!B:B, 0), 1, 0)</f>
        <v>1</v>
      </c>
      <c r="G210" s="3">
        <v>1</v>
      </c>
    </row>
    <row r="211" spans="1:9" x14ac:dyDescent="0.3">
      <c r="A211" t="s">
        <v>1028</v>
      </c>
      <c r="B211" s="1" t="s">
        <v>1029</v>
      </c>
      <c r="C211" s="1">
        <v>2022</v>
      </c>
      <c r="D211" s="1" t="s">
        <v>1030</v>
      </c>
      <c r="E211" s="1" t="str">
        <f>HYPERLINK("http://dx.doi.org/10.3390/su14148230","http://dx.doi.org/10.3390/su14148230")</f>
        <v>http://dx.doi.org/10.3390/su14148230</v>
      </c>
      <c r="F211" s="1" t="e">
        <f>IF(MATCH(B211,'scopus results'!B:B, 0), 1, 0)</f>
        <v>#N/A</v>
      </c>
      <c r="G211" s="1" t="e">
        <v>#N/A</v>
      </c>
    </row>
    <row r="212" spans="1:9" x14ac:dyDescent="0.3">
      <c r="A212" t="s">
        <v>1031</v>
      </c>
      <c r="B212" s="1" t="s">
        <v>1032</v>
      </c>
      <c r="C212" s="1">
        <v>2022</v>
      </c>
      <c r="D212" s="1" t="s">
        <v>1033</v>
      </c>
      <c r="E212" s="1" t="str">
        <f>HYPERLINK("http://dx.doi.org/10.1016/j.jtherbio.2022.103258","http://dx.doi.org/10.1016/j.jtherbio.2022.103258")</f>
        <v>http://dx.doi.org/10.1016/j.jtherbio.2022.103258</v>
      </c>
      <c r="F212" s="1" t="e">
        <f>IF(MATCH(B212,'scopus results'!B:B, 0), 1, 0)</f>
        <v>#N/A</v>
      </c>
      <c r="G212" s="1" t="e">
        <v>#N/A</v>
      </c>
    </row>
    <row r="213" spans="1:9" x14ac:dyDescent="0.3">
      <c r="A213" t="s">
        <v>1034</v>
      </c>
      <c r="B213" s="1" t="s">
        <v>1035</v>
      </c>
      <c r="C213" s="1">
        <v>2022</v>
      </c>
      <c r="D213" s="1" t="s">
        <v>1036</v>
      </c>
      <c r="E213" s="1" t="str">
        <f>HYPERLINK("http://dx.doi.org/10.1016/j.scitotenv.2022.157169","http://dx.doi.org/10.1016/j.scitotenv.2022.157169")</f>
        <v>http://dx.doi.org/10.1016/j.scitotenv.2022.157169</v>
      </c>
      <c r="F213" s="1" t="e">
        <f>IF(MATCH(B213,'scopus results'!B:B, 0), 1, 0)</f>
        <v>#N/A</v>
      </c>
      <c r="G213" s="1" t="e">
        <v>#N/A</v>
      </c>
    </row>
    <row r="214" spans="1:9" x14ac:dyDescent="0.3">
      <c r="A214" t="s">
        <v>704</v>
      </c>
      <c r="B214" s="3" t="s">
        <v>48</v>
      </c>
      <c r="C214" s="3">
        <v>2022</v>
      </c>
      <c r="D214" s="3" t="s">
        <v>215</v>
      </c>
      <c r="E214" s="3" t="str">
        <f>HYPERLINK("http://dx.doi.org/10.1016/j.conbuildmat.2022.128294","http://dx.doi.org/10.1016/j.conbuildmat.2022.128294")</f>
        <v>http://dx.doi.org/10.1016/j.conbuildmat.2022.128294</v>
      </c>
      <c r="F214" s="3">
        <f>IF(MATCH(B214,'scopus results'!B:B, 0), 1, 0)</f>
        <v>1</v>
      </c>
      <c r="G214" s="3">
        <v>1</v>
      </c>
    </row>
    <row r="215" spans="1:9" x14ac:dyDescent="0.3">
      <c r="A215" t="s">
        <v>1037</v>
      </c>
      <c r="B215" s="1" t="s">
        <v>1038</v>
      </c>
      <c r="C215" s="1">
        <v>2022</v>
      </c>
      <c r="D215" s="1" t="s">
        <v>1039</v>
      </c>
      <c r="E215" s="1" t="str">
        <f>HYPERLINK("http://dx.doi.org/10.1016/j.smallrumres.2022.106779","http://dx.doi.org/10.1016/j.smallrumres.2022.106779")</f>
        <v>http://dx.doi.org/10.1016/j.smallrumres.2022.106779</v>
      </c>
      <c r="F215" s="1" t="e">
        <f>IF(MATCH(B215,'scopus results'!B:B, 0), 1, 0)</f>
        <v>#N/A</v>
      </c>
      <c r="G215" s="1" t="e">
        <v>#N/A</v>
      </c>
    </row>
    <row r="216" spans="1:9" x14ac:dyDescent="0.3">
      <c r="A216" t="s">
        <v>1040</v>
      </c>
      <c r="B216" s="3" t="s">
        <v>1041</v>
      </c>
      <c r="C216" s="3">
        <v>2022</v>
      </c>
      <c r="D216" s="3" t="s">
        <v>1042</v>
      </c>
      <c r="E216" s="3" t="str">
        <f>HYPERLINK("http://dx.doi.org/10.3390/su141610378","http://dx.doi.org/10.3390/su141610378")</f>
        <v>http://dx.doi.org/10.3390/su141610378</v>
      </c>
      <c r="F216" s="3">
        <f>IF(MATCH(B216,'scopus results'!B:B, 0), 1, 0)</f>
        <v>1</v>
      </c>
      <c r="G216" s="3">
        <v>1</v>
      </c>
    </row>
    <row r="217" spans="1:9" x14ac:dyDescent="0.3">
      <c r="A217" t="s">
        <v>705</v>
      </c>
      <c r="B217" s="3" t="s">
        <v>125</v>
      </c>
      <c r="C217" s="3">
        <v>2022</v>
      </c>
      <c r="D217" s="3" t="s">
        <v>288</v>
      </c>
      <c r="E217" s="3" t="str">
        <f>HYPERLINK("http://dx.doi.org/10.3390/polym14153191","http://dx.doi.org/10.3390/polym14153191")</f>
        <v>http://dx.doi.org/10.3390/polym14153191</v>
      </c>
      <c r="F217" s="3">
        <f>IF(MATCH(B217,'scopus results'!B:B, 0), 1, 0)</f>
        <v>1</v>
      </c>
      <c r="G217" s="3">
        <v>1</v>
      </c>
    </row>
    <row r="218" spans="1:9" x14ac:dyDescent="0.3">
      <c r="A218" t="s">
        <v>1043</v>
      </c>
      <c r="B218" s="3" t="s">
        <v>1044</v>
      </c>
      <c r="C218" s="3">
        <v>2022</v>
      </c>
      <c r="D218" s="3" t="s">
        <v>1045</v>
      </c>
      <c r="E218" s="3" t="str">
        <f>HYPERLINK("http://dx.doi.org/10.3390/su14159484","http://dx.doi.org/10.3390/su14159484")</f>
        <v>http://dx.doi.org/10.3390/su14159484</v>
      </c>
      <c r="F218" s="3">
        <f>IF(MATCH(B218,'scopus results'!B:B, 0), 1, 0)</f>
        <v>1</v>
      </c>
      <c r="G218" s="3">
        <v>1</v>
      </c>
    </row>
    <row r="219" spans="1:9" x14ac:dyDescent="0.3">
      <c r="A219" t="s">
        <v>1046</v>
      </c>
      <c r="B219" s="1" t="s">
        <v>1047</v>
      </c>
      <c r="C219" s="1">
        <v>2022</v>
      </c>
      <c r="D219" s="1" t="s">
        <v>1048</v>
      </c>
      <c r="E219" s="1" t="str">
        <f>HYPERLINK("http://dx.doi.org/10.1016/j.jclepro.2022.133243","http://dx.doi.org/10.1016/j.jclepro.2022.133243")</f>
        <v>http://dx.doi.org/10.1016/j.jclepro.2022.133243</v>
      </c>
      <c r="F219" s="1" t="e">
        <f>IF(MATCH(B219,'scopus results'!B:B, 0), 1, 0)</f>
        <v>#N/A</v>
      </c>
      <c r="G219" s="1" t="e">
        <v>#N/A</v>
      </c>
    </row>
    <row r="220" spans="1:9" x14ac:dyDescent="0.3">
      <c r="A220" t="s">
        <v>1049</v>
      </c>
      <c r="B220" s="3" t="s">
        <v>1050</v>
      </c>
      <c r="C220" s="3">
        <v>2022</v>
      </c>
      <c r="D220" s="3" t="s">
        <v>1051</v>
      </c>
      <c r="E220" s="3" t="str">
        <f>HYPERLINK("http://dx.doi.org/10.1016/j.wasman.2022.07.021","http://dx.doi.org/10.1016/j.wasman.2022.07.021")</f>
        <v>http://dx.doi.org/10.1016/j.wasman.2022.07.021</v>
      </c>
      <c r="F220" s="3">
        <f>IF(MATCH(B220,'scopus results'!B:B, 0), 1, 0)</f>
        <v>1</v>
      </c>
      <c r="G220" s="3">
        <v>1</v>
      </c>
    </row>
    <row r="221" spans="1:9" x14ac:dyDescent="0.3">
      <c r="A221" t="s">
        <v>1052</v>
      </c>
      <c r="B221" s="4" t="s">
        <v>1053</v>
      </c>
      <c r="C221" s="4">
        <v>2022</v>
      </c>
      <c r="D221" s="4" t="s">
        <v>1054</v>
      </c>
      <c r="E221" s="4" t="str">
        <f>HYPERLINK("http://dx.doi.org/10.1155/2022/7732057","http://dx.doi.org/10.1155/2022/7732057")</f>
        <v>http://dx.doi.org/10.1155/2022/7732057</v>
      </c>
      <c r="F221" s="4" t="e">
        <f>IF(MATCH(B221,'scopus results'!B:B, 0), 1, 0)</f>
        <v>#N/A</v>
      </c>
      <c r="G221" s="4" t="e">
        <v>#N/A</v>
      </c>
      <c r="I221" t="s">
        <v>1537</v>
      </c>
    </row>
    <row r="222" spans="1:9" x14ac:dyDescent="0.3">
      <c r="A222" t="s">
        <v>706</v>
      </c>
      <c r="B222" s="1" t="s">
        <v>557</v>
      </c>
      <c r="C222" s="1">
        <v>2022</v>
      </c>
      <c r="D222" s="1" t="s">
        <v>707</v>
      </c>
      <c r="E222" s="1" t="str">
        <f>HYPERLINK("http://dx.doi.org/10.1016/j.wasman.2022.07.032","http://dx.doi.org/10.1016/j.wasman.2022.07.032")</f>
        <v>http://dx.doi.org/10.1016/j.wasman.2022.07.032</v>
      </c>
      <c r="F222" s="1" t="e">
        <f>IF(MATCH(B222,'scopus results'!B:B, 0), 1, 0)</f>
        <v>#N/A</v>
      </c>
      <c r="G222" s="1" t="e">
        <v>#N/A</v>
      </c>
    </row>
    <row r="223" spans="1:9" x14ac:dyDescent="0.3">
      <c r="A223" t="s">
        <v>1055</v>
      </c>
      <c r="B223" s="1" t="s">
        <v>1056</v>
      </c>
      <c r="C223" s="1">
        <v>2022</v>
      </c>
      <c r="D223" s="1" t="s">
        <v>1057</v>
      </c>
      <c r="E223" s="1" t="str">
        <f>HYPERLINK("http://dx.doi.org/10.3390/foods11172601","http://dx.doi.org/10.3390/foods11172601")</f>
        <v>http://dx.doi.org/10.3390/foods11172601</v>
      </c>
      <c r="F223" s="1" t="e">
        <f>IF(MATCH(B223,'scopus results'!B:B, 0), 1, 0)</f>
        <v>#N/A</v>
      </c>
      <c r="G223" s="1" t="e">
        <v>#N/A</v>
      </c>
    </row>
    <row r="224" spans="1:9" x14ac:dyDescent="0.3">
      <c r="A224" t="s">
        <v>1058</v>
      </c>
      <c r="B224" s="3" t="s">
        <v>1059</v>
      </c>
      <c r="C224" s="3">
        <v>2022</v>
      </c>
      <c r="D224" s="3" t="s">
        <v>1060</v>
      </c>
      <c r="E224" s="3" t="str">
        <f>HYPERLINK("http://dx.doi.org/10.3390/su141711111","http://dx.doi.org/10.3390/su141711111")</f>
        <v>http://dx.doi.org/10.3390/su141711111</v>
      </c>
      <c r="F224" s="3">
        <f>IF(MATCH(B224,'scopus results'!B:B, 0), 1, 0)</f>
        <v>1</v>
      </c>
      <c r="G224" s="3">
        <v>1</v>
      </c>
    </row>
    <row r="225" spans="1:7" x14ac:dyDescent="0.3">
      <c r="A225" t="s">
        <v>1061</v>
      </c>
      <c r="B225" s="3" t="s">
        <v>1062</v>
      </c>
      <c r="C225" s="3">
        <v>2022</v>
      </c>
      <c r="D225" s="3" t="s">
        <v>1063</v>
      </c>
      <c r="E225" s="3" t="str">
        <f>HYPERLINK("http://dx.doi.org/10.1016/j.buildenv.2022.109596","http://dx.doi.org/10.1016/j.buildenv.2022.109596")</f>
        <v>http://dx.doi.org/10.1016/j.buildenv.2022.109596</v>
      </c>
      <c r="F225" s="3">
        <f>IF(MATCH(B225,'scopus results'!B:B, 0), 1, 0)</f>
        <v>1</v>
      </c>
      <c r="G225" s="3">
        <v>1</v>
      </c>
    </row>
    <row r="226" spans="1:7" x14ac:dyDescent="0.3">
      <c r="A226" t="s">
        <v>1064</v>
      </c>
      <c r="B226" s="3" t="s">
        <v>1065</v>
      </c>
      <c r="C226" s="3">
        <v>2022</v>
      </c>
      <c r="D226" s="3" t="s">
        <v>1066</v>
      </c>
      <c r="E226" s="3" t="str">
        <f>HYPERLINK("http://dx.doi.org/10.1016/j.jclepro.2022.134693","http://dx.doi.org/10.1016/j.jclepro.2022.134693")</f>
        <v>http://dx.doi.org/10.1016/j.jclepro.2022.134693</v>
      </c>
      <c r="F226" s="3">
        <f>IF(MATCH(B226,'scopus results'!B:B, 0), 1, 0)</f>
        <v>1</v>
      </c>
      <c r="G226" s="3">
        <v>1</v>
      </c>
    </row>
    <row r="227" spans="1:7" x14ac:dyDescent="0.3">
      <c r="A227" t="s">
        <v>679</v>
      </c>
      <c r="B227" s="3" t="s">
        <v>558</v>
      </c>
      <c r="C227" s="3">
        <v>2022</v>
      </c>
      <c r="D227" s="3" t="s">
        <v>708</v>
      </c>
      <c r="E227" s="3" t="str">
        <f>HYPERLINK("http://dx.doi.org/10.1007/s11367-022-02105-1","http://dx.doi.org/10.1007/s11367-022-02105-1")</f>
        <v>http://dx.doi.org/10.1007/s11367-022-02105-1</v>
      </c>
      <c r="F227" s="3">
        <f>IF(MATCH(B227,'scopus results'!B:B, 0), 1, 0)</f>
        <v>1</v>
      </c>
      <c r="G227" s="3">
        <v>1</v>
      </c>
    </row>
    <row r="228" spans="1:7" x14ac:dyDescent="0.3">
      <c r="A228" t="s">
        <v>1067</v>
      </c>
      <c r="B228" s="3" t="s">
        <v>1068</v>
      </c>
      <c r="C228" s="3">
        <v>2022</v>
      </c>
      <c r="D228" s="3" t="s">
        <v>1069</v>
      </c>
      <c r="E228" s="3" t="str">
        <f>HYPERLINK("http://dx.doi.org/10.3390/ma15248817","http://dx.doi.org/10.3390/ma15248817")</f>
        <v>http://dx.doi.org/10.3390/ma15248817</v>
      </c>
      <c r="F228" s="3">
        <f>IF(MATCH(B228,'scopus results'!B:B, 0), 1, 0)</f>
        <v>1</v>
      </c>
      <c r="G228" s="3">
        <v>1</v>
      </c>
    </row>
    <row r="229" spans="1:7" x14ac:dyDescent="0.3">
      <c r="A229" t="s">
        <v>1070</v>
      </c>
      <c r="B229" s="3" t="s">
        <v>1071</v>
      </c>
      <c r="C229" s="3">
        <v>2023</v>
      </c>
      <c r="D229" s="3" t="s">
        <v>1072</v>
      </c>
      <c r="E229" s="3" t="str">
        <f>HYPERLINK("http://dx.doi.org/10.1016/j.spc.2022.11.020","http://dx.doi.org/10.1016/j.spc.2022.11.020")</f>
        <v>http://dx.doi.org/10.1016/j.spc.2022.11.020</v>
      </c>
      <c r="F229" s="3">
        <f>IF(MATCH(B229,'scopus results'!B:B, 0), 1, 0)</f>
        <v>1</v>
      </c>
      <c r="G229" s="3">
        <v>1</v>
      </c>
    </row>
    <row r="230" spans="1:7" x14ac:dyDescent="0.3">
      <c r="A230" t="s">
        <v>1073</v>
      </c>
      <c r="B230" s="1" t="s">
        <v>1074</v>
      </c>
      <c r="C230" s="1">
        <v>2022</v>
      </c>
      <c r="D230" s="1" t="s">
        <v>1075</v>
      </c>
      <c r="E230" s="1" t="str">
        <f>HYPERLINK("http://dx.doi.org/10.3389/fsufs.2022.1077363","http://dx.doi.org/10.3389/fsufs.2022.1077363")</f>
        <v>http://dx.doi.org/10.3389/fsufs.2022.1077363</v>
      </c>
      <c r="F230" s="1" t="e">
        <f>IF(MATCH(B230,'scopus results'!B:B, 0), 1, 0)</f>
        <v>#N/A</v>
      </c>
      <c r="G230" s="1" t="e">
        <v>#N/A</v>
      </c>
    </row>
    <row r="231" spans="1:7" x14ac:dyDescent="0.3">
      <c r="A231" t="s">
        <v>1076</v>
      </c>
      <c r="B231" s="3" t="s">
        <v>1077</v>
      </c>
      <c r="C231" s="3">
        <v>2023</v>
      </c>
      <c r="D231" s="3" t="s">
        <v>1078</v>
      </c>
      <c r="E231" s="3" t="str">
        <f>HYPERLINK("http://dx.doi.org/10.12911/22998993/170949","http://dx.doi.org/10.12911/22998993/170949")</f>
        <v>http://dx.doi.org/10.12911/22998993/170949</v>
      </c>
      <c r="F231" s="3">
        <f>IF(MATCH(B231,'scopus results'!B:B, 0), 1, 0)</f>
        <v>1</v>
      </c>
      <c r="G231" s="3">
        <v>1</v>
      </c>
    </row>
    <row r="232" spans="1:7" x14ac:dyDescent="0.3">
      <c r="A232" t="s">
        <v>1079</v>
      </c>
      <c r="B232" s="3" t="s">
        <v>1080</v>
      </c>
      <c r="C232" s="3">
        <v>2023</v>
      </c>
      <c r="D232" s="3" t="s">
        <v>1081</v>
      </c>
      <c r="E232" s="3" t="str">
        <f>HYPERLINK("http://dx.doi.org/10.4081/jae.2023.1434","http://dx.doi.org/10.4081/jae.2023.1434")</f>
        <v>http://dx.doi.org/10.4081/jae.2023.1434</v>
      </c>
      <c r="F232" s="3">
        <f>IF(MATCH(B232,'scopus results'!B:B, 0), 1, 0)</f>
        <v>1</v>
      </c>
      <c r="G232" s="3">
        <v>1</v>
      </c>
    </row>
    <row r="233" spans="1:7" x14ac:dyDescent="0.3">
      <c r="A233" t="s">
        <v>709</v>
      </c>
      <c r="B233" s="3" t="s">
        <v>153</v>
      </c>
      <c r="C233" s="3">
        <v>2023</v>
      </c>
      <c r="D233" s="3" t="s">
        <v>315</v>
      </c>
      <c r="E233" s="3" t="str">
        <f>HYPERLINK("http://dx.doi.org/10.1504/IJGW.2023.132275","http://dx.doi.org/10.1504/IJGW.2023.132275")</f>
        <v>http://dx.doi.org/10.1504/IJGW.2023.132275</v>
      </c>
      <c r="F233" s="3">
        <f>IF(MATCH(B233,'scopus results'!B:B, 0), 1, 0)</f>
        <v>1</v>
      </c>
      <c r="G233" s="3">
        <v>1</v>
      </c>
    </row>
    <row r="234" spans="1:7" x14ac:dyDescent="0.3">
      <c r="A234" t="s">
        <v>1082</v>
      </c>
      <c r="B234" s="1" t="s">
        <v>1083</v>
      </c>
      <c r="C234" s="1">
        <v>2023</v>
      </c>
      <c r="D234" s="1" t="s">
        <v>1084</v>
      </c>
      <c r="E234" s="1" t="str">
        <f>HYPERLINK("http://dx.doi.org/10.3390/agriculture13010083","http://dx.doi.org/10.3390/agriculture13010083")</f>
        <v>http://dx.doi.org/10.3390/agriculture13010083</v>
      </c>
      <c r="F234" s="1" t="e">
        <f>IF(MATCH(B234,'scopus results'!B:B, 0), 1, 0)</f>
        <v>#N/A</v>
      </c>
      <c r="G234" s="1" t="e">
        <v>#N/A</v>
      </c>
    </row>
    <row r="235" spans="1:7" x14ac:dyDescent="0.3">
      <c r="A235" t="s">
        <v>1085</v>
      </c>
      <c r="B235" s="3" t="s">
        <v>1086</v>
      </c>
      <c r="C235" s="3">
        <v>2023</v>
      </c>
      <c r="D235" s="3" t="s">
        <v>1087</v>
      </c>
      <c r="E235" s="3" t="str">
        <f>HYPERLINK("http://dx.doi.org/10.3390/su15021466","http://dx.doi.org/10.3390/su15021466")</f>
        <v>http://dx.doi.org/10.3390/su15021466</v>
      </c>
      <c r="F235" s="3">
        <f>IF(MATCH(B235,'scopus results'!B:B, 0), 1, 0)</f>
        <v>1</v>
      </c>
      <c r="G235" s="3">
        <v>1</v>
      </c>
    </row>
    <row r="236" spans="1:7" x14ac:dyDescent="0.3">
      <c r="A236" t="s">
        <v>1088</v>
      </c>
      <c r="B236" s="1" t="s">
        <v>1089</v>
      </c>
      <c r="C236" s="1">
        <v>2023</v>
      </c>
      <c r="D236" s="1" t="s">
        <v>1090</v>
      </c>
      <c r="E236" s="1" t="str">
        <f>HYPERLINK("http://dx.doi.org/10.3390/ani13010103","http://dx.doi.org/10.3390/ani13010103")</f>
        <v>http://dx.doi.org/10.3390/ani13010103</v>
      </c>
      <c r="F236" s="1" t="e">
        <f>IF(MATCH(B236,'scopus results'!B:B, 0), 1, 0)</f>
        <v>#N/A</v>
      </c>
      <c r="G236" s="1" t="e">
        <v>#N/A</v>
      </c>
    </row>
    <row r="237" spans="1:7" x14ac:dyDescent="0.3">
      <c r="A237" t="s">
        <v>710</v>
      </c>
      <c r="B237" s="3" t="s">
        <v>51</v>
      </c>
      <c r="C237" s="3">
        <v>2023</v>
      </c>
      <c r="D237" s="3" t="s">
        <v>218</v>
      </c>
      <c r="E237" s="3" t="str">
        <f>HYPERLINK("http://dx.doi.org/10.3390/en16010378","http://dx.doi.org/10.3390/en16010378")</f>
        <v>http://dx.doi.org/10.3390/en16010378</v>
      </c>
      <c r="F237" s="3">
        <f>IF(MATCH(B237,'scopus results'!B:B, 0), 1, 0)</f>
        <v>1</v>
      </c>
      <c r="G237" s="3">
        <v>1</v>
      </c>
    </row>
    <row r="238" spans="1:7" x14ac:dyDescent="0.3">
      <c r="A238" t="s">
        <v>1091</v>
      </c>
      <c r="B238" s="3" t="s">
        <v>1092</v>
      </c>
      <c r="C238" s="3">
        <v>2023</v>
      </c>
      <c r="D238" s="3" t="s">
        <v>1093</v>
      </c>
      <c r="E238" s="3" t="str">
        <f>HYPERLINK("http://dx.doi.org/10.3390/ma16010243","http://dx.doi.org/10.3390/ma16010243")</f>
        <v>http://dx.doi.org/10.3390/ma16010243</v>
      </c>
      <c r="F238" s="3">
        <f>IF(MATCH(B238,'scopus results'!B:B, 0), 1, 0)</f>
        <v>1</v>
      </c>
      <c r="G238" s="3">
        <v>1</v>
      </c>
    </row>
    <row r="239" spans="1:7" x14ac:dyDescent="0.3">
      <c r="A239" t="s">
        <v>711</v>
      </c>
      <c r="B239" s="3" t="s">
        <v>559</v>
      </c>
      <c r="C239" s="3">
        <v>2023</v>
      </c>
      <c r="D239" s="3" t="s">
        <v>712</v>
      </c>
      <c r="E239" s="3" t="str">
        <f>HYPERLINK("http://dx.doi.org/10.3390/en16010113","http://dx.doi.org/10.3390/en16010113")</f>
        <v>http://dx.doi.org/10.3390/en16010113</v>
      </c>
      <c r="F239" s="3">
        <f>IF(MATCH(B239,'scopus results'!B:B, 0), 1, 0)</f>
        <v>1</v>
      </c>
      <c r="G239" s="3">
        <v>1</v>
      </c>
    </row>
    <row r="240" spans="1:7" x14ac:dyDescent="0.3">
      <c r="A240" t="s">
        <v>1094</v>
      </c>
      <c r="B240" s="3" t="s">
        <v>1095</v>
      </c>
      <c r="C240" s="3">
        <v>2023</v>
      </c>
      <c r="D240" s="3" t="s">
        <v>1096</v>
      </c>
      <c r="E240" s="3" t="str">
        <f>HYPERLINK("http://dx.doi.org/10.15576/ASP.FC/2023.22.3.09","http://dx.doi.org/10.15576/ASP.FC/2023.22.3.09")</f>
        <v>http://dx.doi.org/10.15576/ASP.FC/2023.22.3.09</v>
      </c>
      <c r="F240" s="3">
        <f>IF(MATCH(B240,'scopus results'!B:B, 0), 1, 0)</f>
        <v>1</v>
      </c>
      <c r="G240" s="3">
        <v>1</v>
      </c>
    </row>
    <row r="241" spans="1:7" x14ac:dyDescent="0.3">
      <c r="A241" t="s">
        <v>1097</v>
      </c>
      <c r="B241" s="1" t="s">
        <v>1098</v>
      </c>
      <c r="C241" s="1">
        <v>2023</v>
      </c>
      <c r="D241" s="1" t="s">
        <v>1099</v>
      </c>
      <c r="E241" s="1" t="str">
        <f>HYPERLINK("http://dx.doi.org/10.1039/d2gc04477c","http://dx.doi.org/10.1039/d2gc04477c")</f>
        <v>http://dx.doi.org/10.1039/d2gc04477c</v>
      </c>
      <c r="F241" s="1" t="e">
        <f>IF(MATCH(B241,'scopus results'!B:B, 0), 1, 0)</f>
        <v>#N/A</v>
      </c>
      <c r="G241" s="1" t="e">
        <v>#N/A</v>
      </c>
    </row>
    <row r="242" spans="1:7" x14ac:dyDescent="0.3">
      <c r="A242" t="s">
        <v>713</v>
      </c>
      <c r="B242" s="3" t="s">
        <v>156</v>
      </c>
      <c r="C242" s="3">
        <v>2023</v>
      </c>
      <c r="D242" s="3" t="s">
        <v>318</v>
      </c>
      <c r="E242" s="3" t="str">
        <f>HYPERLINK("http://dx.doi.org/10.3390/buildings13020331","http://dx.doi.org/10.3390/buildings13020331")</f>
        <v>http://dx.doi.org/10.3390/buildings13020331</v>
      </c>
      <c r="F242" s="3">
        <f>IF(MATCH(B242,'scopus results'!B:B, 0), 1, 0)</f>
        <v>1</v>
      </c>
      <c r="G242" s="3">
        <v>1</v>
      </c>
    </row>
    <row r="243" spans="1:7" x14ac:dyDescent="0.3">
      <c r="A243" t="s">
        <v>1100</v>
      </c>
      <c r="B243" s="1" t="s">
        <v>1101</v>
      </c>
      <c r="C243" s="1">
        <v>2023</v>
      </c>
      <c r="D243" s="1" t="s">
        <v>1102</v>
      </c>
      <c r="E243" s="1" t="str">
        <f>HYPERLINK("http://dx.doi.org/10.3390/ma16041721","http://dx.doi.org/10.3390/ma16041721")</f>
        <v>http://dx.doi.org/10.3390/ma16041721</v>
      </c>
      <c r="F243" s="1" t="e">
        <f>IF(MATCH(B243,'scopus results'!B:B, 0), 1, 0)</f>
        <v>#N/A</v>
      </c>
      <c r="G243" s="1" t="e">
        <v>#N/A</v>
      </c>
    </row>
    <row r="244" spans="1:7" x14ac:dyDescent="0.3">
      <c r="A244" t="s">
        <v>714</v>
      </c>
      <c r="B244" s="1" t="s">
        <v>560</v>
      </c>
      <c r="C244" s="1">
        <v>2023</v>
      </c>
      <c r="D244" s="1" t="s">
        <v>190</v>
      </c>
      <c r="E244" s="1" t="str">
        <f>HYPERLINK("http://dx.doi.org/10.3390/buildings13020279","http://dx.doi.org/10.3390/buildings13020279")</f>
        <v>http://dx.doi.org/10.3390/buildings13020279</v>
      </c>
      <c r="F244" s="1" t="e">
        <f>IF(MATCH(B244,'scopus results'!B:B, 0), 1, 0)</f>
        <v>#N/A</v>
      </c>
      <c r="G244" s="1" t="e">
        <v>#N/A</v>
      </c>
    </row>
    <row r="245" spans="1:7" x14ac:dyDescent="0.3">
      <c r="A245" t="s">
        <v>1103</v>
      </c>
      <c r="B245" s="1" t="s">
        <v>1104</v>
      </c>
      <c r="C245" s="1">
        <v>2023</v>
      </c>
      <c r="D245" s="1" t="s">
        <v>1105</v>
      </c>
      <c r="E245" s="1" t="str">
        <f>HYPERLINK("http://dx.doi.org/10.1007/s11250-022-03424-z","http://dx.doi.org/10.1007/s11250-022-03424-z")</f>
        <v>http://dx.doi.org/10.1007/s11250-022-03424-z</v>
      </c>
      <c r="F245" s="1" t="e">
        <f>IF(MATCH(B245,'scopus results'!B:B, 0), 1, 0)</f>
        <v>#N/A</v>
      </c>
      <c r="G245" s="1" t="e">
        <v>#N/A</v>
      </c>
    </row>
    <row r="246" spans="1:7" x14ac:dyDescent="0.3">
      <c r="A246" t="s">
        <v>715</v>
      </c>
      <c r="B246" s="3" t="s">
        <v>17</v>
      </c>
      <c r="C246" s="3">
        <v>2023</v>
      </c>
      <c r="D246" s="3" t="s">
        <v>186</v>
      </c>
      <c r="E246" s="3" t="str">
        <f>HYPERLINK("http://dx.doi.org/10.1016/j.resconrec.2023.106903","http://dx.doi.org/10.1016/j.resconrec.2023.106903")</f>
        <v>http://dx.doi.org/10.1016/j.resconrec.2023.106903</v>
      </c>
      <c r="F246" s="3">
        <f>IF(MATCH(B246,'scopus results'!B:B, 0), 1, 0)</f>
        <v>1</v>
      </c>
      <c r="G246" s="3">
        <v>1</v>
      </c>
    </row>
    <row r="247" spans="1:7" x14ac:dyDescent="0.3">
      <c r="A247" t="s">
        <v>716</v>
      </c>
      <c r="B247" s="3" t="s">
        <v>99</v>
      </c>
      <c r="C247" s="3">
        <v>2023</v>
      </c>
      <c r="D247" s="3" t="s">
        <v>264</v>
      </c>
      <c r="E247" s="3" t="str">
        <f>HYPERLINK("http://dx.doi.org/10.1177/1420326X231155146","http://dx.doi.org/10.1177/1420326X231155146")</f>
        <v>http://dx.doi.org/10.1177/1420326X231155146</v>
      </c>
      <c r="F247" s="3">
        <f>IF(MATCH(B247,'scopus results'!B:B, 0), 1, 0)</f>
        <v>1</v>
      </c>
      <c r="G247" s="3">
        <v>1</v>
      </c>
    </row>
    <row r="248" spans="1:7" x14ac:dyDescent="0.3">
      <c r="A248" t="s">
        <v>1106</v>
      </c>
      <c r="B248" s="3" t="s">
        <v>1107</v>
      </c>
      <c r="C248" s="3">
        <v>2023</v>
      </c>
      <c r="D248" s="3" t="s">
        <v>1108</v>
      </c>
      <c r="E248" s="3" t="str">
        <f>HYPERLINK("http://dx.doi.org/10.1007/s11367-023-02135-3","http://dx.doi.org/10.1007/s11367-023-02135-3")</f>
        <v>http://dx.doi.org/10.1007/s11367-023-02135-3</v>
      </c>
      <c r="F248" s="3">
        <f>IF(MATCH(B248,'scopus results'!B:B, 0), 1, 0)</f>
        <v>1</v>
      </c>
      <c r="G248" s="3">
        <v>1</v>
      </c>
    </row>
    <row r="249" spans="1:7" x14ac:dyDescent="0.3">
      <c r="A249" t="s">
        <v>1109</v>
      </c>
      <c r="B249" s="3" t="s">
        <v>1110</v>
      </c>
      <c r="C249" s="3">
        <v>2023</v>
      </c>
      <c r="D249" s="3" t="s">
        <v>1111</v>
      </c>
      <c r="E249" s="3" t="str">
        <f>HYPERLINK("http://dx.doi.org/10.3390/oceans4010009","http://dx.doi.org/10.3390/oceans4010009")</f>
        <v>http://dx.doi.org/10.3390/oceans4010009</v>
      </c>
      <c r="F249" s="3">
        <f>IF(MATCH(B249,'scopus results'!B:B, 0), 1, 0)</f>
        <v>1</v>
      </c>
      <c r="G249" s="3">
        <v>1</v>
      </c>
    </row>
    <row r="250" spans="1:7" x14ac:dyDescent="0.3">
      <c r="A250" t="s">
        <v>717</v>
      </c>
      <c r="B250" s="3" t="s">
        <v>77</v>
      </c>
      <c r="C250" s="3">
        <v>2023</v>
      </c>
      <c r="D250" s="3" t="s">
        <v>243</v>
      </c>
      <c r="E250" s="3" t="str">
        <f>HYPERLINK("http://dx.doi.org/10.3390/su15065141","http://dx.doi.org/10.3390/su15065141")</f>
        <v>http://dx.doi.org/10.3390/su15065141</v>
      </c>
      <c r="F250" s="3">
        <f>IF(MATCH(B250,'scopus results'!B:B, 0), 1, 0)</f>
        <v>1</v>
      </c>
      <c r="G250" s="3">
        <v>1</v>
      </c>
    </row>
    <row r="251" spans="1:7" x14ac:dyDescent="0.3">
      <c r="A251" t="s">
        <v>1112</v>
      </c>
      <c r="B251" s="1" t="s">
        <v>1113</v>
      </c>
      <c r="C251" s="1">
        <v>2023</v>
      </c>
      <c r="D251" s="1" t="s">
        <v>1114</v>
      </c>
      <c r="E251" s="1" t="str">
        <f>HYPERLINK("http://dx.doi.org/10.3390/coatings13030574","http://dx.doi.org/10.3390/coatings13030574")</f>
        <v>http://dx.doi.org/10.3390/coatings13030574</v>
      </c>
      <c r="F251" s="1" t="e">
        <f>IF(MATCH(B251,'scopus results'!B:B, 0), 1, 0)</f>
        <v>#N/A</v>
      </c>
      <c r="G251" s="1" t="e">
        <v>#N/A</v>
      </c>
    </row>
    <row r="252" spans="1:7" x14ac:dyDescent="0.3">
      <c r="A252" t="s">
        <v>1115</v>
      </c>
      <c r="B252" s="1" t="s">
        <v>1116</v>
      </c>
      <c r="C252" s="1">
        <v>2023</v>
      </c>
      <c r="D252" s="1" t="s">
        <v>1117</v>
      </c>
      <c r="E252" s="1" t="str">
        <f>HYPERLINK("http://dx.doi.org/10.3390/ani13050905","http://dx.doi.org/10.3390/ani13050905")</f>
        <v>http://dx.doi.org/10.3390/ani13050905</v>
      </c>
      <c r="F252" s="1" t="e">
        <f>IF(MATCH(B252,'scopus results'!B:B, 0), 1, 0)</f>
        <v>#N/A</v>
      </c>
      <c r="G252" s="1" t="e">
        <v>#N/A</v>
      </c>
    </row>
    <row r="253" spans="1:7" x14ac:dyDescent="0.3">
      <c r="A253" t="s">
        <v>1118</v>
      </c>
      <c r="B253" s="3" t="s">
        <v>1119</v>
      </c>
      <c r="C253" s="3">
        <v>2023</v>
      </c>
      <c r="D253" s="3" t="s">
        <v>1120</v>
      </c>
      <c r="E253" s="3" t="str">
        <f>HYPERLINK("http://dx.doi.org/10.1007/s11356-023-26371-0","http://dx.doi.org/10.1007/s11356-023-26371-0")</f>
        <v>http://dx.doi.org/10.1007/s11356-023-26371-0</v>
      </c>
      <c r="F253" s="3">
        <f>IF(MATCH(B253,'scopus results'!B:B, 0), 1, 0)</f>
        <v>1</v>
      </c>
      <c r="G253" s="3">
        <v>1</v>
      </c>
    </row>
    <row r="254" spans="1:7" x14ac:dyDescent="0.3">
      <c r="A254" t="s">
        <v>1121</v>
      </c>
      <c r="B254" s="3" t="s">
        <v>1122</v>
      </c>
      <c r="C254" s="3">
        <v>2023</v>
      </c>
      <c r="D254" s="3" t="s">
        <v>1123</v>
      </c>
      <c r="E254" s="3" t="str">
        <f>HYPERLINK("http://dx.doi.org/10.1002/admt.202201953","http://dx.doi.org/10.1002/admt.202201953")</f>
        <v>http://dx.doi.org/10.1002/admt.202201953</v>
      </c>
      <c r="F254" s="3">
        <f>IF(MATCH(B254,'scopus results'!B:B, 0), 1, 0)</f>
        <v>1</v>
      </c>
      <c r="G254" s="3">
        <v>1</v>
      </c>
    </row>
    <row r="255" spans="1:7" x14ac:dyDescent="0.3">
      <c r="A255" t="s">
        <v>1124</v>
      </c>
      <c r="B255" s="3" t="s">
        <v>1125</v>
      </c>
      <c r="C255" s="3">
        <v>2023</v>
      </c>
      <c r="D255" s="3" t="s">
        <v>1126</v>
      </c>
      <c r="E255" s="3" t="str">
        <f>HYPERLINK("http://dx.doi.org/10.1002/ep.14105","http://dx.doi.org/10.1002/ep.14105")</f>
        <v>http://dx.doi.org/10.1002/ep.14105</v>
      </c>
      <c r="F255" s="3">
        <f>IF(MATCH(B255,'scopus results'!B:B, 0), 1, 0)</f>
        <v>1</v>
      </c>
      <c r="G255" s="3">
        <v>1</v>
      </c>
    </row>
    <row r="256" spans="1:7" x14ac:dyDescent="0.3">
      <c r="A256" t="s">
        <v>1127</v>
      </c>
      <c r="B256" s="3" t="s">
        <v>1128</v>
      </c>
      <c r="C256" s="3">
        <v>2023</v>
      </c>
      <c r="D256" s="3" t="s">
        <v>1129</v>
      </c>
      <c r="E256" s="3" t="str">
        <f>HYPERLINK("http://dx.doi.org/10.1016/j.resconrec.2023.106949","http://dx.doi.org/10.1016/j.resconrec.2023.106949")</f>
        <v>http://dx.doi.org/10.1016/j.resconrec.2023.106949</v>
      </c>
      <c r="F256" s="3">
        <f>IF(MATCH(B256,'scopus results'!B:B, 0), 1, 0)</f>
        <v>1</v>
      </c>
      <c r="G256" s="3">
        <v>1</v>
      </c>
    </row>
    <row r="257" spans="1:7" x14ac:dyDescent="0.3">
      <c r="A257" t="s">
        <v>1130</v>
      </c>
      <c r="B257" s="1" t="s">
        <v>1131</v>
      </c>
      <c r="C257" s="1">
        <v>2023</v>
      </c>
      <c r="D257" s="1" t="s">
        <v>1132</v>
      </c>
      <c r="E257" s="1" t="str">
        <f>HYPERLINK("http://dx.doi.org/10.3390/ma16072900","http://dx.doi.org/10.3390/ma16072900")</f>
        <v>http://dx.doi.org/10.3390/ma16072900</v>
      </c>
      <c r="F257" s="1" t="e">
        <f>IF(MATCH(B257,'scopus results'!B:B, 0), 1, 0)</f>
        <v>#N/A</v>
      </c>
      <c r="G257" s="1" t="e">
        <v>#N/A</v>
      </c>
    </row>
    <row r="258" spans="1:7" x14ac:dyDescent="0.3">
      <c r="A258" t="s">
        <v>718</v>
      </c>
      <c r="B258" s="3" t="s">
        <v>152</v>
      </c>
      <c r="C258" s="3">
        <v>2023</v>
      </c>
      <c r="D258" s="3" t="s">
        <v>314</v>
      </c>
      <c r="E258" s="3" t="str">
        <f>HYPERLINK("http://dx.doi.org/10.3390/buildings13041093","http://dx.doi.org/10.3390/buildings13041093")</f>
        <v>http://dx.doi.org/10.3390/buildings13041093</v>
      </c>
      <c r="F258" s="3">
        <f>IF(MATCH(B258,'scopus results'!B:B, 0), 1, 0)</f>
        <v>1</v>
      </c>
      <c r="G258" s="3">
        <v>1</v>
      </c>
    </row>
    <row r="259" spans="1:7" x14ac:dyDescent="0.3">
      <c r="A259" t="s">
        <v>1133</v>
      </c>
      <c r="B259" s="1" t="s">
        <v>1134</v>
      </c>
      <c r="C259" s="1">
        <v>2023</v>
      </c>
      <c r="D259" s="1" t="s">
        <v>1135</v>
      </c>
      <c r="E259" s="1" t="str">
        <f>HYPERLINK("http://dx.doi.org/10.3390/buildings13051152","http://dx.doi.org/10.3390/buildings13051152")</f>
        <v>http://dx.doi.org/10.3390/buildings13051152</v>
      </c>
      <c r="F259" s="1" t="e">
        <f>IF(MATCH(B259,'scopus results'!B:B, 0), 1, 0)</f>
        <v>#N/A</v>
      </c>
      <c r="G259" s="1" t="e">
        <v>#N/A</v>
      </c>
    </row>
    <row r="260" spans="1:7" x14ac:dyDescent="0.3">
      <c r="A260" t="s">
        <v>1136</v>
      </c>
      <c r="B260" s="1" t="s">
        <v>1137</v>
      </c>
      <c r="C260" s="1">
        <v>2023</v>
      </c>
      <c r="D260" s="1" t="s">
        <v>1138</v>
      </c>
      <c r="E260" s="1" t="str">
        <f>HYPERLINK("http://dx.doi.org/10.1111/cote.12690","http://dx.doi.org/10.1111/cote.12690")</f>
        <v>http://dx.doi.org/10.1111/cote.12690</v>
      </c>
      <c r="F260" s="1" t="e">
        <f>IF(MATCH(B260,'scopus results'!B:B, 0), 1, 0)</f>
        <v>#N/A</v>
      </c>
      <c r="G260" s="1" t="e">
        <v>#N/A</v>
      </c>
    </row>
    <row r="261" spans="1:7" x14ac:dyDescent="0.3">
      <c r="A261" t="s">
        <v>1139</v>
      </c>
      <c r="B261" s="3" t="s">
        <v>1140</v>
      </c>
      <c r="C261" s="3">
        <v>2023</v>
      </c>
      <c r="D261" s="3" t="s">
        <v>1141</v>
      </c>
      <c r="E261" s="3" t="str">
        <f>HYPERLINK("http://dx.doi.org/10.1016/j.dibe.2023.100164","http://dx.doi.org/10.1016/j.dibe.2023.100164")</f>
        <v>http://dx.doi.org/10.1016/j.dibe.2023.100164</v>
      </c>
      <c r="F261" s="3">
        <f>IF(MATCH(B261,'scopus results'!B:B, 0), 1, 0)</f>
        <v>1</v>
      </c>
      <c r="G261" s="3">
        <v>1</v>
      </c>
    </row>
    <row r="262" spans="1:7" x14ac:dyDescent="0.3">
      <c r="A262" t="s">
        <v>1142</v>
      </c>
      <c r="B262" s="3" t="s">
        <v>1143</v>
      </c>
      <c r="C262" s="3">
        <v>2023</v>
      </c>
      <c r="D262" s="3" t="s">
        <v>1144</v>
      </c>
      <c r="E262" s="3" t="str">
        <f>HYPERLINK("http://dx.doi.org/10.1016/j.dib.2023.109207","http://dx.doi.org/10.1016/j.dib.2023.109207")</f>
        <v>http://dx.doi.org/10.1016/j.dib.2023.109207</v>
      </c>
      <c r="F262" s="3">
        <f>IF(MATCH(B262,'scopus results'!B:B, 0), 1, 0)</f>
        <v>1</v>
      </c>
      <c r="G262" s="3">
        <v>1</v>
      </c>
    </row>
    <row r="263" spans="1:7" x14ac:dyDescent="0.3">
      <c r="A263" t="s">
        <v>1145</v>
      </c>
      <c r="B263" s="1" t="s">
        <v>1146</v>
      </c>
      <c r="C263" s="1">
        <v>2023</v>
      </c>
      <c r="D263" s="1" t="s">
        <v>1147</v>
      </c>
      <c r="E263" s="1" t="str">
        <f>HYPERLINK("http://dx.doi.org/10.3390/ma16103712","http://dx.doi.org/10.3390/ma16103712")</f>
        <v>http://dx.doi.org/10.3390/ma16103712</v>
      </c>
      <c r="F263" s="1" t="e">
        <f>IF(MATCH(B263,'scopus results'!B:B, 0), 1, 0)</f>
        <v>#N/A</v>
      </c>
      <c r="G263" s="1" t="e">
        <v>#N/A</v>
      </c>
    </row>
    <row r="264" spans="1:7" x14ac:dyDescent="0.3">
      <c r="A264" t="s">
        <v>1148</v>
      </c>
      <c r="B264" s="1" t="s">
        <v>1149</v>
      </c>
      <c r="C264" s="1">
        <v>2023</v>
      </c>
      <c r="D264" s="1" t="s">
        <v>1150</v>
      </c>
      <c r="E264" s="1" t="str">
        <f>HYPERLINK("http://dx.doi.org/10.1016/j.jclepro.2023.137471","http://dx.doi.org/10.1016/j.jclepro.2023.137471")</f>
        <v>http://dx.doi.org/10.1016/j.jclepro.2023.137471</v>
      </c>
      <c r="F264" s="1" t="e">
        <f>IF(MATCH(B264,'scopus results'!B:B, 0), 1, 0)</f>
        <v>#N/A</v>
      </c>
      <c r="G264" s="1" t="e">
        <v>#N/A</v>
      </c>
    </row>
    <row r="265" spans="1:7" x14ac:dyDescent="0.3">
      <c r="A265" t="s">
        <v>1151</v>
      </c>
      <c r="B265" s="1" t="s">
        <v>1152</v>
      </c>
      <c r="C265" s="1">
        <v>2023</v>
      </c>
      <c r="D265" s="1" t="s">
        <v>1153</v>
      </c>
      <c r="E265" s="1" t="str">
        <f>HYPERLINK("http://dx.doi.org/10.1111/jwas.12990","http://dx.doi.org/10.1111/jwas.12990")</f>
        <v>http://dx.doi.org/10.1111/jwas.12990</v>
      </c>
      <c r="F265" s="1" t="e">
        <f>IF(MATCH(B265,'scopus results'!B:B, 0), 1, 0)</f>
        <v>#N/A</v>
      </c>
      <c r="G265" s="1" t="e">
        <v>#N/A</v>
      </c>
    </row>
    <row r="266" spans="1:7" x14ac:dyDescent="0.3">
      <c r="A266" t="s">
        <v>719</v>
      </c>
      <c r="B266" s="3" t="s">
        <v>130</v>
      </c>
      <c r="C266" s="3">
        <v>2023</v>
      </c>
      <c r="D266" s="3" t="s">
        <v>293</v>
      </c>
      <c r="E266" s="3" t="str">
        <f>HYPERLINK("http://dx.doi.org/10.1080/15567036.2023.2210101","http://dx.doi.org/10.1080/15567036.2023.2210101")</f>
        <v>http://dx.doi.org/10.1080/15567036.2023.2210101</v>
      </c>
      <c r="F266" s="3">
        <f>IF(MATCH(B266,'scopus results'!B:B, 0), 1, 0)</f>
        <v>1</v>
      </c>
      <c r="G266" s="3">
        <v>1</v>
      </c>
    </row>
    <row r="267" spans="1:7" x14ac:dyDescent="0.3">
      <c r="A267" t="s">
        <v>1154</v>
      </c>
      <c r="B267" s="1" t="s">
        <v>1155</v>
      </c>
      <c r="C267" s="1">
        <v>2023</v>
      </c>
      <c r="D267" s="1" t="s">
        <v>1156</v>
      </c>
      <c r="E267" s="1" t="str">
        <f>HYPERLINK("http://dx.doi.org/10.1016/j.jobe.2023.107043","http://dx.doi.org/10.1016/j.jobe.2023.107043")</f>
        <v>http://dx.doi.org/10.1016/j.jobe.2023.107043</v>
      </c>
      <c r="F267" s="1">
        <f>IF(MATCH(B267,'scopus results'!B:B, 0), 1, 0)</f>
        <v>1</v>
      </c>
      <c r="G267" s="1">
        <v>1</v>
      </c>
    </row>
    <row r="268" spans="1:7" x14ac:dyDescent="0.3">
      <c r="A268" t="s">
        <v>720</v>
      </c>
      <c r="B268" s="3" t="s">
        <v>52</v>
      </c>
      <c r="C268" s="3">
        <v>2023</v>
      </c>
      <c r="D268" s="3" t="s">
        <v>219</v>
      </c>
      <c r="E268" s="3" t="str">
        <f>HYPERLINK("http://dx.doi.org/10.1016/j.jobe.2023.106974","http://dx.doi.org/10.1016/j.jobe.2023.106974")</f>
        <v>http://dx.doi.org/10.1016/j.jobe.2023.106974</v>
      </c>
      <c r="F268" s="3">
        <f>IF(MATCH(B268,'scopus results'!B:B, 0), 1, 0)</f>
        <v>1</v>
      </c>
      <c r="G268" s="3">
        <v>1</v>
      </c>
    </row>
    <row r="269" spans="1:7" x14ac:dyDescent="0.3">
      <c r="A269" t="s">
        <v>721</v>
      </c>
      <c r="B269" s="3" t="s">
        <v>20</v>
      </c>
      <c r="C269" s="3">
        <v>2023</v>
      </c>
      <c r="D269" s="3" t="s">
        <v>189</v>
      </c>
      <c r="E269" s="3" t="str">
        <f>HYPERLINK("http://dx.doi.org/10.1016/j.enbuild.2023.113228","http://dx.doi.org/10.1016/j.enbuild.2023.113228")</f>
        <v>http://dx.doi.org/10.1016/j.enbuild.2023.113228</v>
      </c>
      <c r="F269" s="3">
        <f>IF(MATCH(B269,'scopus results'!B:B, 0), 1, 0)</f>
        <v>1</v>
      </c>
      <c r="G269" s="3">
        <v>1</v>
      </c>
    </row>
    <row r="270" spans="1:7" x14ac:dyDescent="0.3">
      <c r="A270" t="s">
        <v>722</v>
      </c>
      <c r="B270" s="3" t="s">
        <v>97</v>
      </c>
      <c r="C270" s="3">
        <v>2023</v>
      </c>
      <c r="D270" s="3" t="s">
        <v>262</v>
      </c>
      <c r="E270" s="3" t="str">
        <f>HYPERLINK("http://dx.doi.org/10.1016/j.jclepro.2023.137877","http://dx.doi.org/10.1016/j.jclepro.2023.137877")</f>
        <v>http://dx.doi.org/10.1016/j.jclepro.2023.137877</v>
      </c>
      <c r="F270" s="3">
        <f>IF(MATCH(B270,'scopus results'!B:B, 0), 1, 0)</f>
        <v>1</v>
      </c>
      <c r="G270" s="3">
        <v>1</v>
      </c>
    </row>
    <row r="271" spans="1:7" x14ac:dyDescent="0.3">
      <c r="A271" t="s">
        <v>1157</v>
      </c>
      <c r="B271" s="1" t="s">
        <v>1158</v>
      </c>
      <c r="C271" s="1">
        <v>2023</v>
      </c>
      <c r="D271" s="1" t="s">
        <v>1159</v>
      </c>
      <c r="E271" s="1" t="str">
        <f>HYPERLINK("http://dx.doi.org/10.1002/jsfa.12763","http://dx.doi.org/10.1002/jsfa.12763")</f>
        <v>http://dx.doi.org/10.1002/jsfa.12763</v>
      </c>
      <c r="F271" s="1" t="e">
        <f>IF(MATCH(B271,'scopus results'!B:B, 0), 1, 0)</f>
        <v>#N/A</v>
      </c>
      <c r="G271" s="1" t="e">
        <v>#N/A</v>
      </c>
    </row>
    <row r="272" spans="1:7" x14ac:dyDescent="0.3">
      <c r="A272" t="s">
        <v>723</v>
      </c>
      <c r="B272" s="3" t="s">
        <v>47</v>
      </c>
      <c r="C272" s="3">
        <v>2023</v>
      </c>
      <c r="D272" s="3" t="s">
        <v>214</v>
      </c>
      <c r="E272" s="3" t="str">
        <f>HYPERLINK("http://dx.doi.org/10.1016/j.jobe.2023.107101","http://dx.doi.org/10.1016/j.jobe.2023.107101")</f>
        <v>http://dx.doi.org/10.1016/j.jobe.2023.107101</v>
      </c>
      <c r="F272" s="3">
        <f>IF(MATCH(B272,'scopus results'!B:B, 0), 1, 0)</f>
        <v>1</v>
      </c>
      <c r="G272" s="3">
        <v>1</v>
      </c>
    </row>
    <row r="273" spans="1:9" x14ac:dyDescent="0.3">
      <c r="A273" t="s">
        <v>1160</v>
      </c>
      <c r="B273" s="11" t="s">
        <v>1161</v>
      </c>
      <c r="C273" s="11">
        <v>2023</v>
      </c>
      <c r="D273" s="11" t="s">
        <v>1162</v>
      </c>
      <c r="E273" s="11" t="str">
        <f>HYPERLINK("http://dx.doi.org/10.6036/10823","http://dx.doi.org/10.6036/10823")</f>
        <v>http://dx.doi.org/10.6036/10823</v>
      </c>
      <c r="F273" s="11" t="e">
        <f>IF(MATCH(B273,'scopus results'!B:B, 0), 1, 0)</f>
        <v>#N/A</v>
      </c>
      <c r="G273" s="11" t="e">
        <v>#N/A</v>
      </c>
      <c r="H273">
        <v>1</v>
      </c>
      <c r="I273" s="10" t="s">
        <v>1541</v>
      </c>
    </row>
    <row r="274" spans="1:9" x14ac:dyDescent="0.3">
      <c r="A274" t="s">
        <v>1163</v>
      </c>
      <c r="B274" s="3" t="s">
        <v>1164</v>
      </c>
      <c r="C274" s="3">
        <v>2023</v>
      </c>
      <c r="D274" s="3" t="s">
        <v>1165</v>
      </c>
      <c r="E274" s="3" t="str">
        <f>HYPERLINK("http://dx.doi.org/10.3390/gels9070548","http://dx.doi.org/10.3390/gels9070548")</f>
        <v>http://dx.doi.org/10.3390/gels9070548</v>
      </c>
      <c r="F274" s="3">
        <f>IF(MATCH(B274,'scopus results'!B:B, 0), 1, 0)</f>
        <v>1</v>
      </c>
      <c r="G274" s="3">
        <v>1</v>
      </c>
    </row>
    <row r="275" spans="1:9" x14ac:dyDescent="0.3">
      <c r="A275" t="s">
        <v>1166</v>
      </c>
      <c r="B275" s="3" t="s">
        <v>1167</v>
      </c>
      <c r="C275" s="3">
        <v>2023</v>
      </c>
      <c r="D275" s="3" t="s">
        <v>1168</v>
      </c>
      <c r="E275" s="3" t="str">
        <f>HYPERLINK("http://dx.doi.org/10.3389/fnut.2023.1195015","http://dx.doi.org/10.3389/fnut.2023.1195015")</f>
        <v>http://dx.doi.org/10.3389/fnut.2023.1195015</v>
      </c>
      <c r="F275" s="3">
        <f>IF(MATCH(B275,'scopus results'!B:B, 0), 1, 0)</f>
        <v>1</v>
      </c>
      <c r="G275" s="3">
        <v>1</v>
      </c>
    </row>
    <row r="276" spans="1:9" x14ac:dyDescent="0.3">
      <c r="A276" t="s">
        <v>724</v>
      </c>
      <c r="B276" s="1" t="s">
        <v>561</v>
      </c>
      <c r="C276" s="1">
        <v>2023</v>
      </c>
      <c r="D276" s="1" t="s">
        <v>725</v>
      </c>
      <c r="E276" s="1" t="str">
        <f>HYPERLINK("http://dx.doi.org/10.1016/j.resconrec.2023.107119","http://dx.doi.org/10.1016/j.resconrec.2023.107119")</f>
        <v>http://dx.doi.org/10.1016/j.resconrec.2023.107119</v>
      </c>
      <c r="F276" s="1" t="e">
        <f>IF(MATCH(B276,'scopus results'!B:B, 0), 1, 0)</f>
        <v>#N/A</v>
      </c>
      <c r="G276" s="1" t="e">
        <v>#N/A</v>
      </c>
    </row>
    <row r="277" spans="1:9" x14ac:dyDescent="0.3">
      <c r="A277" t="s">
        <v>726</v>
      </c>
      <c r="B277" s="3" t="s">
        <v>54</v>
      </c>
      <c r="C277" s="3">
        <v>2023</v>
      </c>
      <c r="D277" s="3" t="s">
        <v>221</v>
      </c>
      <c r="E277" s="3" t="str">
        <f>HYPERLINK("http://dx.doi.org/10.3390/su151511666","http://dx.doi.org/10.3390/su151511666")</f>
        <v>http://dx.doi.org/10.3390/su151511666</v>
      </c>
      <c r="F277" s="3">
        <f>IF(MATCH(B277,'scopus results'!B:B, 0), 1, 0)</f>
        <v>1</v>
      </c>
      <c r="G277" s="3">
        <v>1</v>
      </c>
    </row>
    <row r="278" spans="1:9" x14ac:dyDescent="0.3">
      <c r="A278" t="s">
        <v>1169</v>
      </c>
      <c r="B278" s="1" t="s">
        <v>1170</v>
      </c>
      <c r="C278" s="1">
        <v>2023</v>
      </c>
      <c r="D278" s="1" t="s">
        <v>1171</v>
      </c>
      <c r="E278" s="1" t="str">
        <f>HYPERLINK("http://dx.doi.org/10.3390/ma16155458","http://dx.doi.org/10.3390/ma16155458")</f>
        <v>http://dx.doi.org/10.3390/ma16155458</v>
      </c>
      <c r="F278" s="1" t="e">
        <f>IF(MATCH(B278,'scopus results'!B:B, 0), 1, 0)</f>
        <v>#N/A</v>
      </c>
      <c r="G278" s="1" t="e">
        <v>#N/A</v>
      </c>
    </row>
    <row r="279" spans="1:9" x14ac:dyDescent="0.3">
      <c r="A279" t="s">
        <v>1172</v>
      </c>
      <c r="B279" s="1" t="s">
        <v>1173</v>
      </c>
      <c r="C279" s="1">
        <v>2023</v>
      </c>
      <c r="D279" s="1" t="s">
        <v>1174</v>
      </c>
      <c r="E279" s="1" t="str">
        <f>HYPERLINK("http://dx.doi.org/10.3390/ani13152431","http://dx.doi.org/10.3390/ani13152431")</f>
        <v>http://dx.doi.org/10.3390/ani13152431</v>
      </c>
      <c r="F279" s="1" t="e">
        <f>IF(MATCH(B279,'scopus results'!B:B, 0), 1, 0)</f>
        <v>#N/A</v>
      </c>
      <c r="G279" s="1" t="e">
        <v>#N/A</v>
      </c>
    </row>
    <row r="280" spans="1:9" x14ac:dyDescent="0.3">
      <c r="A280" t="s">
        <v>1175</v>
      </c>
      <c r="B280" s="1" t="s">
        <v>1176</v>
      </c>
      <c r="C280" s="1">
        <v>2023</v>
      </c>
      <c r="D280" s="1" t="s">
        <v>1177</v>
      </c>
      <c r="E280" s="1" t="str">
        <f>HYPERLINK("http://dx.doi.org/10.1186/s13071-023-05890-2","http://dx.doi.org/10.1186/s13071-023-05890-2")</f>
        <v>http://dx.doi.org/10.1186/s13071-023-05890-2</v>
      </c>
      <c r="F280" s="1" t="e">
        <f>IF(MATCH(B280,'scopus results'!B:B, 0), 1, 0)</f>
        <v>#N/A</v>
      </c>
      <c r="G280" s="1" t="e">
        <v>#N/A</v>
      </c>
    </row>
    <row r="281" spans="1:9" x14ac:dyDescent="0.3">
      <c r="A281" t="s">
        <v>1178</v>
      </c>
      <c r="B281" s="3" t="s">
        <v>1179</v>
      </c>
      <c r="C281" s="3">
        <v>2023</v>
      </c>
      <c r="D281" s="3" t="s">
        <v>1180</v>
      </c>
      <c r="E281" s="3" t="str">
        <f>HYPERLINK("http://dx.doi.org/10.1007/s13197-023-05817-w","http://dx.doi.org/10.1007/s13197-023-05817-w")</f>
        <v>http://dx.doi.org/10.1007/s13197-023-05817-w</v>
      </c>
      <c r="F281" s="3">
        <f>IF(MATCH(B281,'scopus results'!B:B, 0), 1, 0)</f>
        <v>1</v>
      </c>
      <c r="G281" s="3">
        <v>1</v>
      </c>
    </row>
    <row r="282" spans="1:9" x14ac:dyDescent="0.3">
      <c r="A282" t="s">
        <v>1181</v>
      </c>
      <c r="B282" s="1" t="s">
        <v>1182</v>
      </c>
      <c r="C282" s="1">
        <v>2023</v>
      </c>
      <c r="D282" s="1" t="s">
        <v>1183</v>
      </c>
      <c r="E282" s="1" t="str">
        <f>HYPERLINK("http://dx.doi.org/10.3390/pr11092683","http://dx.doi.org/10.3390/pr11092683")</f>
        <v>http://dx.doi.org/10.3390/pr11092683</v>
      </c>
      <c r="F282" s="1" t="e">
        <f>IF(MATCH(B282,'scopus results'!B:B, 0), 1, 0)</f>
        <v>#N/A</v>
      </c>
      <c r="G282" s="1" t="e">
        <v>#N/A</v>
      </c>
    </row>
    <row r="283" spans="1:9" x14ac:dyDescent="0.3">
      <c r="A283" t="s">
        <v>1184</v>
      </c>
      <c r="B283" s="1" t="s">
        <v>1185</v>
      </c>
      <c r="C283" s="1">
        <v>2023</v>
      </c>
      <c r="D283" s="1" t="s">
        <v>1186</v>
      </c>
      <c r="E283" s="1" t="str">
        <f>HYPERLINK("http://dx.doi.org/10.3390/agriculture13091708","http://dx.doi.org/10.3390/agriculture13091708")</f>
        <v>http://dx.doi.org/10.3390/agriculture13091708</v>
      </c>
      <c r="F283" s="1" t="e">
        <f>IF(MATCH(B283,'scopus results'!B:B, 0), 1, 0)</f>
        <v>#N/A</v>
      </c>
      <c r="G283" s="1" t="e">
        <v>#N/A</v>
      </c>
    </row>
    <row r="284" spans="1:9" x14ac:dyDescent="0.3">
      <c r="A284" t="s">
        <v>1187</v>
      </c>
      <c r="B284" s="1" t="s">
        <v>1188</v>
      </c>
      <c r="C284" s="1">
        <v>2023</v>
      </c>
      <c r="D284" s="1" t="s">
        <v>1189</v>
      </c>
      <c r="E284" s="1" t="str">
        <f>HYPERLINK("http://dx.doi.org/10.3390/plants12173062","http://dx.doi.org/10.3390/plants12173062")</f>
        <v>http://dx.doi.org/10.3390/plants12173062</v>
      </c>
      <c r="F284" s="1" t="e">
        <f>IF(MATCH(B284,'scopus results'!B:B, 0), 1, 0)</f>
        <v>#N/A</v>
      </c>
      <c r="G284" s="1" t="e">
        <v>#N/A</v>
      </c>
    </row>
    <row r="285" spans="1:9" x14ac:dyDescent="0.3">
      <c r="A285" t="s">
        <v>1190</v>
      </c>
      <c r="B285" s="1" t="s">
        <v>1191</v>
      </c>
      <c r="C285" s="1">
        <v>2023</v>
      </c>
      <c r="D285" s="1" t="s">
        <v>1192</v>
      </c>
      <c r="E285" s="1" t="str">
        <f>HYPERLINK("http://dx.doi.org/10.3390/su152014992","http://dx.doi.org/10.3390/su152014992")</f>
        <v>http://dx.doi.org/10.3390/su152014992</v>
      </c>
      <c r="F285" s="1" t="e">
        <f>IF(MATCH(B285,'scopus results'!B:B, 0), 1, 0)</f>
        <v>#N/A</v>
      </c>
      <c r="G285" s="1" t="e">
        <v>#N/A</v>
      </c>
    </row>
    <row r="286" spans="1:9" x14ac:dyDescent="0.3">
      <c r="A286" t="s">
        <v>727</v>
      </c>
      <c r="B286" s="3" t="s">
        <v>91</v>
      </c>
      <c r="C286" s="3">
        <v>2023</v>
      </c>
      <c r="D286" s="3" t="s">
        <v>256</v>
      </c>
      <c r="E286" s="3" t="str">
        <f>HYPERLINK("http://dx.doi.org/10.1016/j.buildenv.2023.110875","http://dx.doi.org/10.1016/j.buildenv.2023.110875")</f>
        <v>http://dx.doi.org/10.1016/j.buildenv.2023.110875</v>
      </c>
      <c r="F286" s="3">
        <f>IF(MATCH(B286,'scopus results'!B:B, 0), 1, 0)</f>
        <v>1</v>
      </c>
      <c r="G286" s="3">
        <v>1</v>
      </c>
    </row>
    <row r="287" spans="1:9" x14ac:dyDescent="0.3">
      <c r="A287" t="s">
        <v>1193</v>
      </c>
      <c r="B287" s="1" t="s">
        <v>1194</v>
      </c>
      <c r="C287" s="1">
        <v>2023</v>
      </c>
      <c r="D287" s="1" t="s">
        <v>1195</v>
      </c>
      <c r="E287" s="1" t="str">
        <f>HYPERLINK("http://dx.doi.org/10.1016/j.micres.2023.127505","http://dx.doi.org/10.1016/j.micres.2023.127505")</f>
        <v>http://dx.doi.org/10.1016/j.micres.2023.127505</v>
      </c>
      <c r="F287" s="1" t="e">
        <f>IF(MATCH(B287,'scopus results'!B:B, 0), 1, 0)</f>
        <v>#N/A</v>
      </c>
      <c r="G287" s="1" t="e">
        <v>#N/A</v>
      </c>
    </row>
    <row r="288" spans="1:9" x14ac:dyDescent="0.3">
      <c r="A288" t="s">
        <v>728</v>
      </c>
      <c r="B288" s="3" t="s">
        <v>72</v>
      </c>
      <c r="C288" s="3">
        <v>2024</v>
      </c>
      <c r="D288" s="3" t="s">
        <v>238</v>
      </c>
      <c r="E288" s="3" t="str">
        <f>HYPERLINK("http://dx.doi.org/10.1007/s11367-023-02243-0","http://dx.doi.org/10.1007/s11367-023-02243-0")</f>
        <v>http://dx.doi.org/10.1007/s11367-023-02243-0</v>
      </c>
      <c r="F288" s="3">
        <f>IF(MATCH(B288,'scopus results'!B:B, 0), 1, 0)</f>
        <v>1</v>
      </c>
      <c r="G288" s="3">
        <v>1</v>
      </c>
    </row>
    <row r="289" spans="1:7" x14ac:dyDescent="0.3">
      <c r="A289" t="s">
        <v>1196</v>
      </c>
      <c r="B289" s="1" t="s">
        <v>1197</v>
      </c>
      <c r="C289" s="1">
        <v>2023</v>
      </c>
      <c r="D289" s="1" t="s">
        <v>1198</v>
      </c>
      <c r="E289" s="1" t="str">
        <f>HYPERLINK("http://dx.doi.org/10.3390/ma16227248","http://dx.doi.org/10.3390/ma16227248")</f>
        <v>http://dx.doi.org/10.3390/ma16227248</v>
      </c>
      <c r="F289" s="1" t="e">
        <f>IF(MATCH(B289,'scopus results'!B:B, 0), 1, 0)</f>
        <v>#N/A</v>
      </c>
      <c r="G289" s="1" t="e">
        <v>#N/A</v>
      </c>
    </row>
    <row r="290" spans="1:7" x14ac:dyDescent="0.3">
      <c r="A290" t="s">
        <v>729</v>
      </c>
      <c r="B290" s="3" t="s">
        <v>73</v>
      </c>
      <c r="C290" s="3">
        <v>2023</v>
      </c>
      <c r="D290" s="3" t="s">
        <v>239</v>
      </c>
      <c r="E290" s="3" t="str">
        <f>HYPERLINK("http://dx.doi.org/10.3390/buildings13112774","http://dx.doi.org/10.3390/buildings13112774")</f>
        <v>http://dx.doi.org/10.3390/buildings13112774</v>
      </c>
      <c r="F290" s="3">
        <f>IF(MATCH(B290,'scopus results'!B:B, 0), 1, 0)</f>
        <v>1</v>
      </c>
      <c r="G290" s="3">
        <v>1</v>
      </c>
    </row>
    <row r="291" spans="1:7" x14ac:dyDescent="0.3">
      <c r="A291" t="s">
        <v>730</v>
      </c>
      <c r="B291" s="1" t="s">
        <v>562</v>
      </c>
      <c r="C291" s="1">
        <v>2023</v>
      </c>
      <c r="D291" s="1" t="s">
        <v>731</v>
      </c>
      <c r="E291" s="1" t="str">
        <f>HYPERLINK("http://dx.doi.org/10.3390/su152115267","http://dx.doi.org/10.3390/su152115267")</f>
        <v>http://dx.doi.org/10.3390/su152115267</v>
      </c>
      <c r="F291" s="1" t="e">
        <f>IF(MATCH(B291,'scopus results'!B:B, 0), 1, 0)</f>
        <v>#N/A</v>
      </c>
      <c r="G291" s="1" t="e">
        <v>#N/A</v>
      </c>
    </row>
    <row r="292" spans="1:7" x14ac:dyDescent="0.3">
      <c r="A292" t="s">
        <v>1199</v>
      </c>
      <c r="B292" s="1" t="s">
        <v>1200</v>
      </c>
      <c r="C292" s="1">
        <v>2023</v>
      </c>
      <c r="D292" s="1" t="s">
        <v>1201</v>
      </c>
      <c r="E292" s="1" t="str">
        <f>HYPERLINK("http://dx.doi.org/10.12706/itea.2023.021","http://dx.doi.org/10.12706/itea.2023.021")</f>
        <v>http://dx.doi.org/10.12706/itea.2023.021</v>
      </c>
      <c r="F292" s="1" t="e">
        <f>IF(MATCH(B292,'scopus results'!B:B, 0), 1, 0)</f>
        <v>#N/A</v>
      </c>
      <c r="G292" s="1" t="e">
        <v>#N/A</v>
      </c>
    </row>
    <row r="293" spans="1:7" x14ac:dyDescent="0.3">
      <c r="A293" t="s">
        <v>1202</v>
      </c>
      <c r="B293" s="3" t="s">
        <v>1203</v>
      </c>
      <c r="C293" s="3">
        <v>2023</v>
      </c>
      <c r="D293" s="3" t="s">
        <v>1204</v>
      </c>
      <c r="E293" s="3" t="str">
        <f>HYPERLINK("http://dx.doi.org/10.1016/j.susmat.2023.e00767","http://dx.doi.org/10.1016/j.susmat.2023.e00767")</f>
        <v>http://dx.doi.org/10.1016/j.susmat.2023.e00767</v>
      </c>
      <c r="F293" s="3">
        <f>IF(MATCH(B293,'scopus results'!B:B, 0), 1, 0)</f>
        <v>1</v>
      </c>
      <c r="G293" s="3">
        <v>1</v>
      </c>
    </row>
    <row r="294" spans="1:7" x14ac:dyDescent="0.3">
      <c r="A294" t="s">
        <v>1205</v>
      </c>
      <c r="B294" s="3" t="s">
        <v>1206</v>
      </c>
      <c r="C294" s="3">
        <v>2024</v>
      </c>
      <c r="D294" s="3" t="s">
        <v>1207</v>
      </c>
      <c r="E294" s="3" t="str">
        <f>HYPERLINK("http://dx.doi.org/10.1016/j.agsy.2023.103809","http://dx.doi.org/10.1016/j.agsy.2023.103809")</f>
        <v>http://dx.doi.org/10.1016/j.agsy.2023.103809</v>
      </c>
      <c r="F294" s="3">
        <f>IF(MATCH(B294,'scopus results'!B:B, 0), 1, 0)</f>
        <v>1</v>
      </c>
      <c r="G294" s="3">
        <v>1</v>
      </c>
    </row>
    <row r="295" spans="1:7" x14ac:dyDescent="0.3">
      <c r="A295" t="s">
        <v>1208</v>
      </c>
      <c r="B295" s="3" t="s">
        <v>1209</v>
      </c>
      <c r="C295" s="3">
        <v>2024</v>
      </c>
      <c r="D295" s="3" t="s">
        <v>1210</v>
      </c>
      <c r="E295" s="3" t="str">
        <f>HYPERLINK("http://dx.doi.org/10.1016/j.est.2023.109748","http://dx.doi.org/10.1016/j.est.2023.109748")</f>
        <v>http://dx.doi.org/10.1016/j.est.2023.109748</v>
      </c>
      <c r="F295" s="3">
        <f>IF(MATCH(B295,'scopus results'!B:B, 0), 1, 0)</f>
        <v>1</v>
      </c>
      <c r="G295" s="3">
        <v>1</v>
      </c>
    </row>
    <row r="296" spans="1:7" x14ac:dyDescent="0.3">
      <c r="A296" t="s">
        <v>1211</v>
      </c>
      <c r="B296" s="3" t="s">
        <v>1212</v>
      </c>
      <c r="C296" s="3">
        <v>2023</v>
      </c>
      <c r="D296" s="3" t="s">
        <v>1213</v>
      </c>
      <c r="E296" s="3" t="str">
        <f>HYPERLINK("http://dx.doi.org/10.1016/j.prevetmed.2023.106078","http://dx.doi.org/10.1016/j.prevetmed.2023.106078")</f>
        <v>http://dx.doi.org/10.1016/j.prevetmed.2023.106078</v>
      </c>
      <c r="F296" s="3">
        <f>IF(MATCH(B296,'scopus results'!B:B, 0), 1, 0)</f>
        <v>1</v>
      </c>
      <c r="G296" s="3">
        <v>1</v>
      </c>
    </row>
    <row r="297" spans="1:7" x14ac:dyDescent="0.3">
      <c r="A297" t="s">
        <v>732</v>
      </c>
      <c r="B297" s="3" t="s">
        <v>563</v>
      </c>
      <c r="C297" s="3">
        <v>2024</v>
      </c>
      <c r="D297" s="3" t="s">
        <v>733</v>
      </c>
      <c r="E297" s="3" t="str">
        <f>HYPERLINK("http://dx.doi.org/10.1016/j.envres.2023.117716","http://dx.doi.org/10.1016/j.envres.2023.117716")</f>
        <v>http://dx.doi.org/10.1016/j.envres.2023.117716</v>
      </c>
      <c r="F297" s="3">
        <f>IF(MATCH(B297,'scopus results'!B:B, 0), 1, 0)</f>
        <v>1</v>
      </c>
      <c r="G297" s="3">
        <v>1</v>
      </c>
    </row>
    <row r="298" spans="1:7" x14ac:dyDescent="0.3">
      <c r="A298" t="s">
        <v>1214</v>
      </c>
      <c r="B298" s="3" t="s">
        <v>1215</v>
      </c>
      <c r="C298" s="3">
        <v>2023</v>
      </c>
      <c r="D298" s="3" t="s">
        <v>1216</v>
      </c>
      <c r="E298" s="3" t="str">
        <f>HYPERLINK("http://dx.doi.org/10.3390/cryst13121645","http://dx.doi.org/10.3390/cryst13121645")</f>
        <v>http://dx.doi.org/10.3390/cryst13121645</v>
      </c>
      <c r="F298" s="3">
        <f>IF(MATCH(B298,'scopus results'!B:B, 0), 1, 0)</f>
        <v>1</v>
      </c>
      <c r="G298" s="3">
        <v>1</v>
      </c>
    </row>
    <row r="299" spans="1:7" x14ac:dyDescent="0.3">
      <c r="A299" t="s">
        <v>1217</v>
      </c>
      <c r="B299" s="3" t="s">
        <v>1218</v>
      </c>
      <c r="C299" s="3">
        <v>2024</v>
      </c>
      <c r="D299" s="3" t="s">
        <v>1219</v>
      </c>
      <c r="E299" s="3" t="str">
        <f>HYPERLINK("http://dx.doi.org/10.1007/s11356-023-31452-1","http://dx.doi.org/10.1007/s11356-023-31452-1")</f>
        <v>http://dx.doi.org/10.1007/s11356-023-31452-1</v>
      </c>
      <c r="F299" s="3">
        <f>IF(MATCH(B299,'scopus results'!B:B, 0), 1, 0)</f>
        <v>1</v>
      </c>
      <c r="G299" s="3">
        <v>1</v>
      </c>
    </row>
    <row r="300" spans="1:7" x14ac:dyDescent="0.3">
      <c r="A300" t="s">
        <v>1220</v>
      </c>
      <c r="B300" s="1" t="s">
        <v>1221</v>
      </c>
      <c r="C300" s="1">
        <v>2024</v>
      </c>
      <c r="D300" s="1" t="s">
        <v>1222</v>
      </c>
      <c r="E300" s="1" t="str">
        <f>HYPERLINK("http://dx.doi.org/10.1016/j.scp.2023.101417","http://dx.doi.org/10.1016/j.scp.2023.101417")</f>
        <v>http://dx.doi.org/10.1016/j.scp.2023.101417</v>
      </c>
      <c r="F300" s="1" t="e">
        <f>IF(MATCH(B300,'scopus results'!B:B, 0), 1, 0)</f>
        <v>#N/A</v>
      </c>
      <c r="G300" s="1" t="e">
        <v>#N/A</v>
      </c>
    </row>
    <row r="301" spans="1:7" x14ac:dyDescent="0.3">
      <c r="A301" t="s">
        <v>1223</v>
      </c>
      <c r="B301" s="3" t="s">
        <v>1224</v>
      </c>
      <c r="C301" s="3">
        <v>2024</v>
      </c>
      <c r="D301" s="3" t="s">
        <v>1225</v>
      </c>
      <c r="E301" s="3" t="str">
        <f>HYPERLINK("http://dx.doi.org/10.2478/rtuect-2024-0006","http://dx.doi.org/10.2478/rtuect-2024-0006")</f>
        <v>http://dx.doi.org/10.2478/rtuect-2024-0006</v>
      </c>
      <c r="F301" s="3">
        <f>IF(MATCH(B301,'scopus results'!B:B, 0), 1, 0)</f>
        <v>1</v>
      </c>
      <c r="G301" s="3">
        <v>1</v>
      </c>
    </row>
    <row r="302" spans="1:7" x14ac:dyDescent="0.3">
      <c r="A302" t="s">
        <v>1226</v>
      </c>
      <c r="B302" s="1" t="s">
        <v>1227</v>
      </c>
      <c r="C302" s="1">
        <v>2024</v>
      </c>
      <c r="D302" s="1" t="s">
        <v>1228</v>
      </c>
      <c r="E302" s="1" t="str">
        <f>HYPERLINK("http://dx.doi.org/10.3390/ani14010104","http://dx.doi.org/10.3390/ani14010104")</f>
        <v>http://dx.doi.org/10.3390/ani14010104</v>
      </c>
      <c r="F302" s="1" t="e">
        <f>IF(MATCH(B302,'scopus results'!B:B, 0), 1, 0)</f>
        <v>#N/A</v>
      </c>
      <c r="G302" s="1" t="e">
        <v>#N/A</v>
      </c>
    </row>
    <row r="303" spans="1:7" x14ac:dyDescent="0.3">
      <c r="A303" t="s">
        <v>734</v>
      </c>
      <c r="B303" s="3" t="s">
        <v>16</v>
      </c>
      <c r="C303" s="3">
        <v>2024</v>
      </c>
      <c r="D303" s="3" t="s">
        <v>185</v>
      </c>
      <c r="E303" s="3" t="str">
        <f>HYPERLINK("http://dx.doi.org/10.1016/j.jclepro.2023.140376","http://dx.doi.org/10.1016/j.jclepro.2023.140376")</f>
        <v>http://dx.doi.org/10.1016/j.jclepro.2023.140376</v>
      </c>
      <c r="F303" s="3">
        <f>IF(MATCH(B303,'scopus results'!B:B, 0), 1, 0)</f>
        <v>1</v>
      </c>
      <c r="G303" s="3">
        <v>1</v>
      </c>
    </row>
    <row r="304" spans="1:7" x14ac:dyDescent="0.3">
      <c r="A304" t="s">
        <v>735</v>
      </c>
      <c r="B304" s="3" t="s">
        <v>111</v>
      </c>
      <c r="C304" s="3">
        <v>2024</v>
      </c>
      <c r="D304" s="3" t="s">
        <v>275</v>
      </c>
      <c r="E304" s="3" t="str">
        <f>HYPERLINK("http://dx.doi.org/10.1007/s10163-023-01882-7","http://dx.doi.org/10.1007/s10163-023-01882-7")</f>
        <v>http://dx.doi.org/10.1007/s10163-023-01882-7</v>
      </c>
      <c r="F304" s="3">
        <f>IF(MATCH(B304,'scopus results'!B:B, 0), 1, 0)</f>
        <v>1</v>
      </c>
      <c r="G304" s="3">
        <v>1</v>
      </c>
    </row>
    <row r="305" spans="1:7" x14ac:dyDescent="0.3">
      <c r="A305" t="s">
        <v>1229</v>
      </c>
      <c r="B305" s="1" t="s">
        <v>1230</v>
      </c>
      <c r="C305" s="1">
        <v>2024</v>
      </c>
      <c r="D305" s="1" t="s">
        <v>1231</v>
      </c>
      <c r="E305" s="1" t="str">
        <f>HYPERLINK("http://dx.doi.org/10.1016/j.diamond.2024.110827","http://dx.doi.org/10.1016/j.diamond.2024.110827")</f>
        <v>http://dx.doi.org/10.1016/j.diamond.2024.110827</v>
      </c>
      <c r="F305" s="1" t="e">
        <f>IF(MATCH(B305,'scopus results'!B:B, 0), 1, 0)</f>
        <v>#N/A</v>
      </c>
      <c r="G305" s="1" t="e">
        <v>#N/A</v>
      </c>
    </row>
    <row r="306" spans="1:7" x14ac:dyDescent="0.3">
      <c r="A306" t="s">
        <v>1232</v>
      </c>
      <c r="B306" s="1" t="s">
        <v>1233</v>
      </c>
      <c r="C306" s="1">
        <v>2024</v>
      </c>
      <c r="D306" s="1" t="s">
        <v>1234</v>
      </c>
      <c r="E306" s="1" t="str">
        <f>HYPERLINK("http://dx.doi.org/10.1016/j.jobe.2023.108430","http://dx.doi.org/10.1016/j.jobe.2023.108430")</f>
        <v>http://dx.doi.org/10.1016/j.jobe.2023.108430</v>
      </c>
      <c r="F306" s="1" t="e">
        <f>IF(MATCH(B306,'scopus results'!B:B, 0), 1, 0)</f>
        <v>#N/A</v>
      </c>
      <c r="G306" s="1" t="e">
        <v>#N/A</v>
      </c>
    </row>
    <row r="307" spans="1:7" x14ac:dyDescent="0.3">
      <c r="A307" t="s">
        <v>1235</v>
      </c>
      <c r="B307" s="3" t="s">
        <v>1236</v>
      </c>
      <c r="C307" s="3">
        <v>2024</v>
      </c>
      <c r="D307" s="3" t="s">
        <v>1237</v>
      </c>
      <c r="E307" s="3" t="str">
        <f>HYPERLINK("http://dx.doi.org/10.1016/j.jclepro.2024.140727","http://dx.doi.org/10.1016/j.jclepro.2024.140727")</f>
        <v>http://dx.doi.org/10.1016/j.jclepro.2024.140727</v>
      </c>
      <c r="F307" s="3">
        <f>IF(MATCH(B307,'scopus results'!B:B, 0), 1, 0)</f>
        <v>1</v>
      </c>
      <c r="G307" s="3">
        <v>1</v>
      </c>
    </row>
    <row r="308" spans="1:7" x14ac:dyDescent="0.3">
      <c r="A308" t="s">
        <v>736</v>
      </c>
      <c r="B308" s="3" t="s">
        <v>564</v>
      </c>
      <c r="C308" s="3">
        <v>2024</v>
      </c>
      <c r="D308" s="3" t="s">
        <v>737</v>
      </c>
      <c r="E308" s="3" t="str">
        <f>HYPERLINK("http://dx.doi.org/10.1371/journal.pone.0292066","http://dx.doi.org/10.1371/journal.pone.0292066")</f>
        <v>http://dx.doi.org/10.1371/journal.pone.0292066</v>
      </c>
      <c r="F308" s="3">
        <f>IF(MATCH(B308,'scopus results'!B:B, 0), 1, 0)</f>
        <v>1</v>
      </c>
      <c r="G308" s="3">
        <v>1</v>
      </c>
    </row>
    <row r="309" spans="1:7" x14ac:dyDescent="0.3">
      <c r="A309" t="s">
        <v>738</v>
      </c>
      <c r="B309" s="1" t="s">
        <v>565</v>
      </c>
      <c r="C309" s="1">
        <v>2024</v>
      </c>
      <c r="D309" s="1" t="s">
        <v>739</v>
      </c>
      <c r="E309" s="1" t="str">
        <f>HYPERLINK("http://dx.doi.org/10.3390/en17040768","http://dx.doi.org/10.3390/en17040768")</f>
        <v>http://dx.doi.org/10.3390/en17040768</v>
      </c>
      <c r="F309" s="1" t="e">
        <f>IF(MATCH(B309,'scopus results'!B:B, 0), 1, 0)</f>
        <v>#N/A</v>
      </c>
      <c r="G309" s="1" t="e">
        <v>#N/A</v>
      </c>
    </row>
    <row r="310" spans="1:7" x14ac:dyDescent="0.3">
      <c r="A310" t="s">
        <v>1238</v>
      </c>
      <c r="B310" s="1" t="s">
        <v>1239</v>
      </c>
      <c r="C310" s="1">
        <v>2024</v>
      </c>
      <c r="D310" s="1" t="s">
        <v>1240</v>
      </c>
      <c r="E310" s="1" t="str">
        <f>HYPERLINK("http://dx.doi.org/10.1177/24723444241230120","http://dx.doi.org/10.1177/24723444241230120")</f>
        <v>http://dx.doi.org/10.1177/24723444241230120</v>
      </c>
      <c r="F310" s="1" t="e">
        <f>IF(MATCH(B310,'scopus results'!B:B, 0), 1, 0)</f>
        <v>#N/A</v>
      </c>
      <c r="G310" s="1" t="e">
        <v>#N/A</v>
      </c>
    </row>
    <row r="311" spans="1:7" x14ac:dyDescent="0.3">
      <c r="A311" t="s">
        <v>1241</v>
      </c>
      <c r="B311" s="3" t="s">
        <v>1242</v>
      </c>
      <c r="C311" s="3">
        <v>2024</v>
      </c>
      <c r="D311" s="3" t="s">
        <v>1243</v>
      </c>
      <c r="E311" s="3" t="str">
        <f>HYPERLINK("http://dx.doi.org/10.1016/j.scitotenv.2024.171014","http://dx.doi.org/10.1016/j.scitotenv.2024.171014")</f>
        <v>http://dx.doi.org/10.1016/j.scitotenv.2024.171014</v>
      </c>
      <c r="F311" s="3">
        <f>IF(MATCH(B311,'scopus results'!B:B, 0), 1, 0)</f>
        <v>1</v>
      </c>
      <c r="G311" s="3">
        <v>1</v>
      </c>
    </row>
    <row r="312" spans="1:7" x14ac:dyDescent="0.3">
      <c r="A312" t="s">
        <v>1244</v>
      </c>
      <c r="B312" s="3" t="s">
        <v>1245</v>
      </c>
      <c r="C312" s="3">
        <v>2024</v>
      </c>
      <c r="D312" s="3" t="s">
        <v>1246</v>
      </c>
      <c r="E312" s="3" t="str">
        <f>HYPERLINK("http://dx.doi.org/10.3389/fsufs.2024.1321288","http://dx.doi.org/10.3389/fsufs.2024.1321288")</f>
        <v>http://dx.doi.org/10.3389/fsufs.2024.1321288</v>
      </c>
      <c r="F312" s="3">
        <f>IF(MATCH(B312,'scopus results'!B:B, 0), 1, 0)</f>
        <v>1</v>
      </c>
      <c r="G312" s="3">
        <v>1</v>
      </c>
    </row>
    <row r="313" spans="1:7" x14ac:dyDescent="0.3">
      <c r="A313" t="s">
        <v>740</v>
      </c>
      <c r="B313" s="3" t="s">
        <v>566</v>
      </c>
      <c r="C313" s="3">
        <v>2024</v>
      </c>
      <c r="D313" s="3" t="s">
        <v>741</v>
      </c>
      <c r="E313" s="3" t="str">
        <f>HYPERLINK("http://dx.doi.org/10.3389/fenvs.2024.1365162","http://dx.doi.org/10.3389/fenvs.2024.1365162")</f>
        <v>http://dx.doi.org/10.3389/fenvs.2024.1365162</v>
      </c>
      <c r="F313" s="3">
        <f>IF(MATCH(B313,'scopus results'!B:B, 0), 1, 0)</f>
        <v>1</v>
      </c>
      <c r="G313" s="3">
        <v>1</v>
      </c>
    </row>
    <row r="314" spans="1:7" x14ac:dyDescent="0.3">
      <c r="A314" t="s">
        <v>1247</v>
      </c>
      <c r="B314" s="3" t="s">
        <v>1248</v>
      </c>
      <c r="C314" s="3">
        <v>2024</v>
      </c>
      <c r="D314" s="3" t="s">
        <v>1249</v>
      </c>
      <c r="E314" s="3" t="str">
        <f>HYPERLINK("http://dx.doi.org/10.3390/su16062228","http://dx.doi.org/10.3390/su16062228")</f>
        <v>http://dx.doi.org/10.3390/su16062228</v>
      </c>
      <c r="F314" s="3">
        <f>IF(MATCH(B314,'scopus results'!B:B, 0), 1, 0)</f>
        <v>1</v>
      </c>
      <c r="G314" s="3">
        <v>1</v>
      </c>
    </row>
    <row r="315" spans="1:7" x14ac:dyDescent="0.3">
      <c r="A315" t="s">
        <v>1250</v>
      </c>
      <c r="B315" s="3" t="s">
        <v>1251</v>
      </c>
      <c r="C315" s="3">
        <v>2024</v>
      </c>
      <c r="D315" s="3" t="s">
        <v>1252</v>
      </c>
      <c r="E315" s="3" t="str">
        <f>HYPERLINK("http://dx.doi.org/10.3390/su16062594","http://dx.doi.org/10.3390/su16062594")</f>
        <v>http://dx.doi.org/10.3390/su16062594</v>
      </c>
      <c r="F315" s="3">
        <f>IF(MATCH(B315,'scopus results'!B:B, 0), 1, 0)</f>
        <v>1</v>
      </c>
      <c r="G31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scopus results</vt:lpstr>
      <vt:lpstr>WEB OF SCIENCE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2024-05-15T20:55:40Z</dcterms:modified>
</cp:coreProperties>
</file>